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Energy\Greg Nothstein's stuff\"/>
    </mc:Choice>
  </mc:AlternateContent>
  <bookViews>
    <workbookView xWindow="0" yWindow="0" windowWidth="19200" windowHeight="7050"/>
  </bookViews>
  <sheets>
    <sheet name="Cover" sheetId="32" r:id="rId1"/>
    <sheet name="dashboard" sheetId="1" r:id="rId2"/>
    <sheet name="annual tables" sheetId="50" r:id="rId3"/>
    <sheet name="quinquennial tables" sheetId="51" r:id="rId4"/>
    <sheet name="parameters" sheetId="2" r:id="rId5"/>
    <sheet name="elasticities" sheetId="19" r:id="rId6"/>
    <sheet name="ramps" sheetId="14" r:id="rId7"/>
    <sheet name="price scenario A" sheetId="43" r:id="rId8"/>
    <sheet name="price scenario B" sheetId="45" r:id="rId9"/>
    <sheet name="price scenario C" sheetId="46" r:id="rId10"/>
    <sheet name="consumption scenario A" sheetId="44" r:id="rId11"/>
    <sheet name="consumption scenario B" sheetId="47" r:id="rId12"/>
    <sheet name="consumption scenario C" sheetId="48" r:id="rId13"/>
    <sheet name="Baseline Price" sheetId="8" r:id="rId14"/>
    <sheet name="Baseline Consumption" sheetId="16" r:id="rId15"/>
    <sheet name="Baseline Emissions" sheetId="11" r:id="rId16"/>
    <sheet name="Baseline expend" sheetId="38" r:id="rId17"/>
    <sheet name="Price Change" sheetId="15" r:id="rId18"/>
    <sheet name="Adjusted price" sheetId="36" r:id="rId19"/>
    <sheet name="Adjusted Consumption" sheetId="17" r:id="rId20"/>
    <sheet name="Adjusted Emissions" sheetId="18" r:id="rId21"/>
    <sheet name="Adjusted expend" sheetId="35" r:id="rId22"/>
    <sheet name="Revenue" sheetId="10" r:id="rId23"/>
    <sheet name="units" sheetId="49" r:id="rId24"/>
    <sheet name="cites" sheetId="22" r:id="rId25"/>
    <sheet name="log" sheetId="33" r:id="rId26"/>
    <sheet name="lookup" sheetId="42" r:id="rId27"/>
  </sheets>
  <definedNames>
    <definedName name="acreftTOgal">units!$E$72</definedName>
    <definedName name="acreftTOm3">units!$E$73</definedName>
    <definedName name="acreinTOgal">units!$E$74</definedName>
    <definedName name="acreTOft2">units!$E$50</definedName>
    <definedName name="acreTOha">units!$E$51</definedName>
    <definedName name="acreTOkm2" localSheetId="23">units!$E$52</definedName>
    <definedName name="acreTOm2">units!$E$53</definedName>
    <definedName name="acreTOmi2">units!$E$54</definedName>
    <definedName name="atmTObar">units!$E$98</definedName>
    <definedName name="atmTOpsi">units!$E$99</definedName>
    <definedName name="B">dashboard!$C$23</definedName>
    <definedName name="barTOPa">units!$E$100</definedName>
    <definedName name="barTOpsi">units!$E$101</definedName>
    <definedName name="bblTOgal" localSheetId="23">units!$E$75</definedName>
    <definedName name="bblTOL" localSheetId="23">units!$E$76</definedName>
    <definedName name="Btu.ft3TOMJ.m3">units!$E$206</definedName>
    <definedName name="Btu.hphTOmmBtu.MWh">units!$E$174</definedName>
    <definedName name="Btu.lbTOMJ.kg">units!$E$197</definedName>
    <definedName name="Btu.lbTOmmBtu.ton" localSheetId="23">units!$E$198</definedName>
    <definedName name="BtuTOcal">units!$E$105</definedName>
    <definedName name="BtuTOJ" localSheetId="23">units!$E$106</definedName>
    <definedName name="BtuTOkJ" localSheetId="23">units!$E$107</definedName>
    <definedName name="BtuTOkWh" localSheetId="23">units!$E$108</definedName>
    <definedName name="BtuTOkWh">units!$E$108</definedName>
    <definedName name="BtuTOMJ" localSheetId="23">units!$E$109</definedName>
    <definedName name="BtuTOWh">units!$E$110</definedName>
    <definedName name="calTOBtu">units!$E$111</definedName>
    <definedName name="calTOJ">units!$E$112</definedName>
    <definedName name="CB_84cb1b1a69b04681ae0b7e9e26a3bb2a" localSheetId="1" hidden="1">dashboard!$T$51</definedName>
    <definedName name="CB_Block_00000000000000000000000000000000" localSheetId="1" hidden="1">"'7.0.0.0"</definedName>
    <definedName name="CB_Block_00000000000000000000000000000001" localSheetId="1" hidden="1">"'634427117382815997"</definedName>
    <definedName name="CB_Block_00000000000000000000000000000003" localSheetId="1" hidden="1">"'11.1.1077.0"</definedName>
    <definedName name="CB_BlockExt_00000000000000000000000000000003" localSheetId="1" hidden="1">"'11.1.1.3.00"</definedName>
    <definedName name="CBCR_a900dff9e613449ca88a0980e73bb26e" localSheetId="1" hidden="1">dashboard!#REF!</definedName>
    <definedName name="CBx_Sheet_Guid" localSheetId="1" hidden="1">"'d149a177-c7e1-4cfe-8295-a3b9dbef0e6e"</definedName>
    <definedName name="CBx_SheetRef" localSheetId="1" hidden="1">#REF!</definedName>
    <definedName name="CBx_StorageType" localSheetId="1" hidden="1">2</definedName>
    <definedName name="cmTOin">units!$E$7</definedName>
    <definedName name="dayTOmin" localSheetId="23">units!$E$32</definedName>
    <definedName name="dayTOyr">units!$E$33</definedName>
    <definedName name="EJTOTWh">units!$E$113</definedName>
    <definedName name="ft2TOm2">units!$E$55</definedName>
    <definedName name="ft2TOyd2">units!$E$56</definedName>
    <definedName name="ft3TOgal">units!$E$77</definedName>
    <definedName name="ft3TOL">units!$E$78</definedName>
    <definedName name="ft3TOm3" localSheetId="23">units!$E$79</definedName>
    <definedName name="ftTOm">units!$E$8</definedName>
    <definedName name="g.hphTOlb.MWh">units!$E$182</definedName>
    <definedName name="g.kWhTOlb.MWh">units!$E$183</definedName>
    <definedName name="galTOacreft">units!$E$80</definedName>
    <definedName name="galTOacrein">units!$E$81</definedName>
    <definedName name="galTObbl">units!$E$82</definedName>
    <definedName name="galTOL" localSheetId="23">units!$E$83</definedName>
    <definedName name="galTOliter" localSheetId="23">units!$E$83</definedName>
    <definedName name="galTOm3">units!$E$84</definedName>
    <definedName name="GJ.hrTOMW" localSheetId="23">units!$E$156</definedName>
    <definedName name="GJTOmmBtu" localSheetId="23">units!$E$116</definedName>
    <definedName name="GJTOMWh">units!$E$115</definedName>
    <definedName name="GJTOtherm" localSheetId="23">units!$E$117</definedName>
    <definedName name="gpmTOliter.s">units!$E$169</definedName>
    <definedName name="gTOlb">units!$E$16</definedName>
    <definedName name="GWTOkW">units!$E$157</definedName>
    <definedName name="GWTOquad.yr">units!$E$158</definedName>
    <definedName name="GWTOTWh.yr">units!$E$159</definedName>
    <definedName name="haTOacre" localSheetId="23">units!$E$57</definedName>
    <definedName name="haTOkm2" localSheetId="23">units!$E$58</definedName>
    <definedName name="hpTOkW">units!$E$160</definedName>
    <definedName name="hrTOday">units!$E$34</definedName>
    <definedName name="hrTOmin" localSheetId="23">units!$E$35</definedName>
    <definedName name="hrTOs" localSheetId="23">units!$E$36</definedName>
    <definedName name="hrTOyr" localSheetId="23">units!$E$37</definedName>
    <definedName name="inTOcm">units!$E$9</definedName>
    <definedName name="inTOmm">units!$E$10</definedName>
    <definedName name="JTOBtu">units!$E$118</definedName>
    <definedName name="JTOcal">units!$E$119</definedName>
    <definedName name="JTOWh">units!$E$120</definedName>
    <definedName name="kcalTOMJ">units!$E$121</definedName>
    <definedName name="kg.GJTOlb.MWh">units!$E$184</definedName>
    <definedName name="kgTOg">units!$E$17</definedName>
    <definedName name="kgTOlb">units!$E$18</definedName>
    <definedName name="kJ.kWhTOmmBtu.MWh">units!$E$175</definedName>
    <definedName name="kJTOBtu" localSheetId="23">units!$E$122</definedName>
    <definedName name="km.lTOmi.gal">units!$E$210</definedName>
    <definedName name="km2TOacre">units!$E$59</definedName>
    <definedName name="km2TOha">units!$E$60</definedName>
    <definedName name="km2TOm2">units!$E$61</definedName>
    <definedName name="km2TOmi2">units!$E$62</definedName>
    <definedName name="kmTOmi" localSheetId="23">units!$E$11</definedName>
    <definedName name="kWh.tonTOMJ.kg">units!$E$199</definedName>
    <definedName name="kWhTOBtu">units!$E$123</definedName>
    <definedName name="kWhTOMJ">units!$E$124</definedName>
    <definedName name="kWTOhp">units!$E$161</definedName>
    <definedName name="L.sTOgpm" localSheetId="23">units!$E$170</definedName>
    <definedName name="lb.mmBtuTOMg.mmBtu">units!$E$185</definedName>
    <definedName name="lb.mmBtuTOng.J">units!$E$186</definedName>
    <definedName name="lb.mmBtuTOTg.quad">units!$E$187</definedName>
    <definedName name="lb.MWhTOg.hph">units!$E$188</definedName>
    <definedName name="lb.MWhTOg.kWh">units!$E$189</definedName>
    <definedName name="lb.MWhTOkg.GJ">units!$E$190</definedName>
    <definedName name="lb.MWhTOton.GWh">units!$E$191</definedName>
    <definedName name="lbTOg">units!$E$19</definedName>
    <definedName name="lbTOkg" localSheetId="23">units!$E$20</definedName>
    <definedName name="lbTOMg">units!$E$21</definedName>
    <definedName name="lbTON">units!$E$95</definedName>
    <definedName name="lbTOoz" localSheetId="23">units!$E$25</definedName>
    <definedName name="lbTOton">units!$E$22</definedName>
    <definedName name="lookupBoolean">lookup!$B$4:$B$5</definedName>
    <definedName name="LTOft3">units!$E$85</definedName>
    <definedName name="LTOgal" localSheetId="23">units!$E$86</definedName>
    <definedName name="LTOm3" localSheetId="23">units!$E$87</definedName>
    <definedName name="m2TOacre">units!$E$63</definedName>
    <definedName name="m2TOft2">units!$E$64</definedName>
    <definedName name="m2TOha">units!$E$65</definedName>
    <definedName name="m2TOkm2">units!$E$66</definedName>
    <definedName name="m3.dayTOgpm">units!$E$171</definedName>
    <definedName name="m3TOacreft">units!$E$88</definedName>
    <definedName name="m3TOft3">units!$E$89</definedName>
    <definedName name="m3TOgal">units!$E$90</definedName>
    <definedName name="m3TOliter">units!$E$91</definedName>
    <definedName name="Mg.hayrTOton.acreyr">units!$E$213</definedName>
    <definedName name="MgTOkg">units!$E$23</definedName>
    <definedName name="MgTOton" localSheetId="23">units!$E$24</definedName>
    <definedName name="mi2TOacre">units!$E$67</definedName>
    <definedName name="mi2TOkm2">units!$E$69</definedName>
    <definedName name="minTOday">units!$E$38</definedName>
    <definedName name="miTOkm">units!$E$12</definedName>
    <definedName name="MJ.hrTOkW">units!$E$162</definedName>
    <definedName name="MJ.kgTOBtu.lb" localSheetId="23">units!$E$200</definedName>
    <definedName name="MJ.kgTOkWh.ton">units!$E$201</definedName>
    <definedName name="MJ.kgTOmmBtu.ton">units!$E$202</definedName>
    <definedName name="MJ.kWhTOmmBtu.MWh">units!$E$176</definedName>
    <definedName name="MJ.m3TOBtu.ft3">units!$E$207</definedName>
    <definedName name="MJTOBtu">units!$E$125</definedName>
    <definedName name="MJTOkcal" localSheetId="23">units!$E$127</definedName>
    <definedName name="MJTOkWh" localSheetId="23">units!$E$126</definedName>
    <definedName name="MJTOMWh">units!$E$128</definedName>
    <definedName name="MJTOtherm" localSheetId="23">units!$E$129</definedName>
    <definedName name="mmBtu.MWhTOBtu.hph">units!$E$177</definedName>
    <definedName name="mmBtu.MWhTOkJ.kWh">units!$E$178</definedName>
    <definedName name="mmBtu.MWhTOMJ.kWh">units!$E$179</definedName>
    <definedName name="mmBtu.tonTOBtu.lb">units!$E$203</definedName>
    <definedName name="mmBtuTOkWh">units!$E$130</definedName>
    <definedName name="mmBtuTOMJ" localSheetId="23">units!$E$131</definedName>
    <definedName name="mmBtuTOMWh">units!$E$132</definedName>
    <definedName name="mmBtuTOtherm" localSheetId="23">units!$E$133</definedName>
    <definedName name="mmBtuTOTJ">units!$E$134</definedName>
    <definedName name="mmTOin">units!$E$13</definedName>
    <definedName name="moTOday">units!$E$39</definedName>
    <definedName name="moTOyr">units!$E$40</definedName>
    <definedName name="MtoeTOGWh">units!$E$135</definedName>
    <definedName name="MtoeTOmmBtu">units!$E$136</definedName>
    <definedName name="MtoeTOTJ">units!$E$137</definedName>
    <definedName name="MWaTOMWh">units!$E$138</definedName>
    <definedName name="MWhTOGJ" localSheetId="23">units!$E$139</definedName>
    <definedName name="MWhTOmmBtu">units!$E$140</definedName>
    <definedName name="MWhTOMWa">units!$E$141</definedName>
    <definedName name="MWhTOTJ">units!$E$142</definedName>
    <definedName name="MWTOGJ.hr">units!$E$163</definedName>
    <definedName name="MWTOkW">units!$E$164</definedName>
    <definedName name="ng.JTOlb.mmBtu">units!$E$192</definedName>
    <definedName name="ozTOkg">units!$E$26</definedName>
    <definedName name="Property_Tax_Offset">dashboard!$C$13</definedName>
    <definedName name="psiTOPa">units!$E$102</definedName>
    <definedName name="quad.yrTOGW">units!$E$165</definedName>
    <definedName name="quadTOEJ" localSheetId="23">units!$E$143</definedName>
    <definedName name="quadTOTWh" localSheetId="23">units!$E$144</definedName>
    <definedName name="Regional_baseline">dashboard!$C$23</definedName>
    <definedName name="sTOday">units!$E$41</definedName>
    <definedName name="sTOhr">units!$E$42</definedName>
    <definedName name="sTOyr">units!$E$43</definedName>
    <definedName name="tableBoolean">lookup!$B$4:$B$5</definedName>
    <definedName name="Tg.quadTOlb.mmBtu">units!$E$193</definedName>
    <definedName name="thermTOBtu" localSheetId="23">units!$E$145</definedName>
    <definedName name="thermTOGJ">units!$E$146</definedName>
    <definedName name="thermTOkWh">units!$E$147</definedName>
    <definedName name="thermTOMJ" localSheetId="23">units!$E$148</definedName>
    <definedName name="thermTOTJ">units!$E$149</definedName>
    <definedName name="ton.GWhTOlb.MWh">units!$E$194</definedName>
    <definedName name="tonTOkg" localSheetId="23">units!$E$28</definedName>
    <definedName name="tonTOlb">units!$E$27</definedName>
    <definedName name="tonTOMg" localSheetId="23">units!$E$29</definedName>
    <definedName name="TWh.yrTOGW">units!$E$166</definedName>
    <definedName name="TWhTOEJ" localSheetId="23">units!$E$150</definedName>
    <definedName name="TWhTOquad">units!$E$151</definedName>
    <definedName name="WhTOBtu">units!$E$152</definedName>
    <definedName name="WhTOJ" localSheetId="23">units!$E$153</definedName>
    <definedName name="yd2TOft2">units!$E$68</definedName>
    <definedName name="yd3TOm3">units!$E$92</definedName>
    <definedName name="yrTOday" localSheetId="23">units!$E$44</definedName>
    <definedName name="yrTOhr" localSheetId="23">units!$E$45</definedName>
    <definedName name="yrTOmo" localSheetId="23">units!$E$46</definedName>
    <definedName name="yrTOs">units!$E$47</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V76" i="44" l="1"/>
  <c r="B4" i="10" l="1"/>
  <c r="B4" i="18"/>
  <c r="B4" i="36"/>
  <c r="B4" i="35"/>
  <c r="AV82" i="48"/>
  <c r="AV81" i="48"/>
  <c r="AV80" i="48"/>
  <c r="AV79" i="48"/>
  <c r="AV78" i="48"/>
  <c r="AV77" i="48"/>
  <c r="AV76" i="48"/>
  <c r="AV82" i="47"/>
  <c r="AV81" i="47"/>
  <c r="AV80" i="47"/>
  <c r="AV79" i="47"/>
  <c r="AV78" i="47"/>
  <c r="AV77" i="47"/>
  <c r="AV76" i="47"/>
  <c r="B34" i="2" l="1"/>
  <c r="AV56" i="48"/>
  <c r="AV55" i="48"/>
  <c r="AV54" i="48"/>
  <c r="AV53" i="48"/>
  <c r="AV52" i="48"/>
  <c r="AV51" i="48"/>
  <c r="AV50" i="48"/>
  <c r="AV49" i="48"/>
  <c r="AV48" i="48"/>
  <c r="AV47" i="48"/>
  <c r="AV46" i="48"/>
  <c r="AV43" i="48"/>
  <c r="AV42" i="48"/>
  <c r="AV41" i="48"/>
  <c r="AV40" i="48"/>
  <c r="AV37" i="48"/>
  <c r="AV35" i="48"/>
  <c r="AV32" i="48"/>
  <c r="AV31" i="48"/>
  <c r="AV29" i="48"/>
  <c r="AV28" i="48"/>
  <c r="AV27" i="48"/>
  <c r="AV26" i="48"/>
  <c r="AV23" i="48"/>
  <c r="AV22" i="48"/>
  <c r="AV20" i="48"/>
  <c r="AV18" i="48"/>
  <c r="AV16" i="48"/>
  <c r="AV15" i="48"/>
  <c r="AV12" i="48"/>
  <c r="AV11" i="48"/>
  <c r="AV10" i="48"/>
  <c r="AV9" i="48"/>
  <c r="AV8" i="48"/>
  <c r="AV7" i="48"/>
  <c r="AV82" i="44"/>
  <c r="AV56" i="47"/>
  <c r="AV55" i="47"/>
  <c r="AV54" i="47"/>
  <c r="AV53" i="47"/>
  <c r="AV52" i="47"/>
  <c r="AV51" i="47"/>
  <c r="AV50" i="47"/>
  <c r="AV49" i="47"/>
  <c r="AV48" i="47"/>
  <c r="AV47" i="47"/>
  <c r="AV46" i="47"/>
  <c r="AV43" i="47"/>
  <c r="AV42" i="47"/>
  <c r="AV41" i="47"/>
  <c r="AV40" i="47"/>
  <c r="AV37" i="47"/>
  <c r="AV35" i="47"/>
  <c r="AV32" i="47"/>
  <c r="AV31" i="47"/>
  <c r="AV29" i="47"/>
  <c r="AV28" i="47"/>
  <c r="AV27" i="47"/>
  <c r="AV26" i="47"/>
  <c r="AV23" i="47"/>
  <c r="AV22" i="47"/>
  <c r="AV20" i="47"/>
  <c r="AV18" i="47"/>
  <c r="AV16" i="47"/>
  <c r="AV15" i="47"/>
  <c r="AV12" i="47"/>
  <c r="AV11" i="47"/>
  <c r="AV10" i="47"/>
  <c r="AV9" i="47"/>
  <c r="AV8" i="47"/>
  <c r="AV7" i="47"/>
  <c r="AV81" i="44"/>
  <c r="AV80" i="44"/>
  <c r="AV79" i="44"/>
  <c r="AV78" i="44"/>
  <c r="AV77" i="44"/>
  <c r="AV50" i="44"/>
  <c r="AV51" i="44"/>
  <c r="AV52" i="44"/>
  <c r="AV53" i="44"/>
  <c r="AV54" i="44"/>
  <c r="AV55" i="44"/>
  <c r="AV56" i="44"/>
  <c r="AV49" i="44"/>
  <c r="AV48" i="44"/>
  <c r="AV47" i="44"/>
  <c r="AV46" i="44"/>
  <c r="AV41" i="44"/>
  <c r="AV42" i="44"/>
  <c r="AV43" i="44"/>
  <c r="AV40" i="44"/>
  <c r="AV37" i="44"/>
  <c r="AV32" i="44"/>
  <c r="AV35" i="44"/>
  <c r="AV31" i="44"/>
  <c r="AV29" i="44"/>
  <c r="AV28" i="44"/>
  <c r="AV27" i="44"/>
  <c r="AV26" i="44"/>
  <c r="AV22" i="44"/>
  <c r="AV23" i="44"/>
  <c r="AV20" i="44"/>
  <c r="AV18" i="44"/>
  <c r="AV17" i="44"/>
  <c r="AV16" i="44"/>
  <c r="AV15" i="44"/>
  <c r="AV8" i="44"/>
  <c r="AV9" i="44"/>
  <c r="AV10" i="44"/>
  <c r="AV11" i="44"/>
  <c r="AV12" i="44"/>
  <c r="AV7" i="44"/>
  <c r="C204" i="17"/>
  <c r="D204" i="17"/>
  <c r="E204" i="17"/>
  <c r="F204" i="17"/>
  <c r="G204" i="17"/>
  <c r="H204" i="17"/>
  <c r="I204" i="17"/>
  <c r="J204" i="17"/>
  <c r="K204" i="17"/>
  <c r="L204" i="17"/>
  <c r="M204" i="17"/>
  <c r="N204" i="17"/>
  <c r="O204" i="17"/>
  <c r="P204" i="17"/>
  <c r="Q204" i="17"/>
  <c r="R204" i="17"/>
  <c r="S204" i="17"/>
  <c r="T204" i="17"/>
  <c r="U204" i="17"/>
  <c r="V204" i="17"/>
  <c r="W204" i="17"/>
  <c r="X204" i="17"/>
  <c r="Y204" i="17"/>
  <c r="Z204" i="17"/>
  <c r="AA204" i="17"/>
  <c r="AB204" i="17"/>
  <c r="AC204" i="17"/>
  <c r="AD204" i="17"/>
  <c r="AE204" i="17"/>
  <c r="AF204" i="17"/>
  <c r="B204" i="17"/>
  <c r="C108" i="17" l="1"/>
  <c r="D108" i="17"/>
  <c r="E108" i="17"/>
  <c r="F108" i="17"/>
  <c r="G108" i="17"/>
  <c r="H108" i="17"/>
  <c r="I108" i="17"/>
  <c r="J108" i="17"/>
  <c r="K108" i="17"/>
  <c r="L108" i="17"/>
  <c r="M108" i="17"/>
  <c r="N108" i="17"/>
  <c r="O108" i="17"/>
  <c r="P108" i="17"/>
  <c r="Q108" i="17"/>
  <c r="R108" i="17"/>
  <c r="S108" i="17"/>
  <c r="T108" i="17"/>
  <c r="U108" i="17"/>
  <c r="V108" i="17"/>
  <c r="W108" i="17"/>
  <c r="X108" i="17"/>
  <c r="Y108" i="17"/>
  <c r="Z108" i="17"/>
  <c r="AA108" i="17"/>
  <c r="AB108" i="17"/>
  <c r="AC108" i="17"/>
  <c r="AD108" i="17"/>
  <c r="AE108" i="17"/>
  <c r="AF108" i="17"/>
  <c r="B108" i="17"/>
  <c r="Z90" i="16" l="1"/>
  <c r="Z91" i="16"/>
  <c r="Z92" i="16"/>
  <c r="Z89" i="16"/>
  <c r="C20" i="17" l="1"/>
  <c r="D20" i="17" s="1"/>
  <c r="E20" i="17" s="1"/>
  <c r="F20" i="17" s="1"/>
  <c r="G20" i="17" s="1"/>
  <c r="H20" i="17" s="1"/>
  <c r="I20" i="17" s="1"/>
  <c r="J20" i="17" s="1"/>
  <c r="K20" i="17" s="1"/>
  <c r="L20" i="17" s="1"/>
  <c r="M20" i="17" s="1"/>
  <c r="N20" i="17" s="1"/>
  <c r="O20" i="17" s="1"/>
  <c r="P20" i="17" s="1"/>
  <c r="Q20" i="17" s="1"/>
  <c r="R20" i="17" s="1"/>
  <c r="S20" i="17" s="1"/>
  <c r="T20" i="17" s="1"/>
  <c r="U20" i="17" s="1"/>
  <c r="V20" i="17" s="1"/>
  <c r="W20" i="17" s="1"/>
  <c r="X20" i="17" s="1"/>
  <c r="Y20" i="17" s="1"/>
  <c r="Z20" i="17" s="1"/>
  <c r="AA20" i="17" s="1"/>
  <c r="AB20" i="17" s="1"/>
  <c r="AC20" i="17" s="1"/>
  <c r="AD20" i="17" s="1"/>
  <c r="AE20" i="17" s="1"/>
  <c r="AF20" i="17" s="1"/>
  <c r="C21" i="17"/>
  <c r="B22" i="17" l="1"/>
  <c r="D21" i="17"/>
  <c r="E21" i="17" s="1"/>
  <c r="F21" i="17" s="1"/>
  <c r="G21" i="17" s="1"/>
  <c r="H21" i="17" s="1"/>
  <c r="I21" i="17" s="1"/>
  <c r="J21" i="17" s="1"/>
  <c r="K21" i="17" s="1"/>
  <c r="L21" i="17" s="1"/>
  <c r="M21" i="17" s="1"/>
  <c r="N21" i="17" s="1"/>
  <c r="O21" i="17" s="1"/>
  <c r="P21" i="17" s="1"/>
  <c r="Q21" i="17" s="1"/>
  <c r="R21" i="17" s="1"/>
  <c r="S21" i="17" s="1"/>
  <c r="T21" i="17" s="1"/>
  <c r="U21" i="17" s="1"/>
  <c r="V21" i="17" s="1"/>
  <c r="W21" i="17" s="1"/>
  <c r="X21" i="17" s="1"/>
  <c r="Y21" i="17" s="1"/>
  <c r="Z21" i="17" s="1"/>
  <c r="AA21" i="17" s="1"/>
  <c r="AB21" i="17" s="1"/>
  <c r="AC21" i="17" s="1"/>
  <c r="AD21" i="17" s="1"/>
  <c r="AE21" i="17" s="1"/>
  <c r="AF21" i="17" s="1"/>
  <c r="B66" i="2" l="1"/>
  <c r="B67" i="2"/>
  <c r="B65" i="2"/>
  <c r="C84" i="47" l="1"/>
  <c r="D84" i="47"/>
  <c r="E84" i="47"/>
  <c r="F84" i="47"/>
  <c r="G84" i="47"/>
  <c r="H84" i="47"/>
  <c r="I84" i="47"/>
  <c r="J84" i="47"/>
  <c r="K84" i="47"/>
  <c r="L84" i="47"/>
  <c r="M84" i="47"/>
  <c r="B84" i="47"/>
  <c r="B119" i="2" l="1"/>
  <c r="B115" i="2"/>
  <c r="B111" i="2"/>
  <c r="B121" i="17" l="1"/>
  <c r="D121" i="17" l="1"/>
  <c r="E121" i="17"/>
  <c r="F121" i="17"/>
  <c r="G121" i="17"/>
  <c r="H121" i="17"/>
  <c r="I121" i="17"/>
  <c r="J121" i="17"/>
  <c r="K121" i="17"/>
  <c r="L121" i="17"/>
  <c r="M121" i="17"/>
  <c r="N121" i="17"/>
  <c r="O121" i="17"/>
  <c r="P121" i="17"/>
  <c r="Q121" i="17"/>
  <c r="R121" i="17"/>
  <c r="S121" i="17"/>
  <c r="T121" i="17"/>
  <c r="U121" i="17"/>
  <c r="V121" i="17"/>
  <c r="W121" i="17"/>
  <c r="X121" i="17"/>
  <c r="Y121" i="17"/>
  <c r="Z121" i="17"/>
  <c r="AA121" i="17"/>
  <c r="AB121" i="17"/>
  <c r="AC121" i="17"/>
  <c r="AD121" i="17"/>
  <c r="AE121" i="17"/>
  <c r="AF121" i="17"/>
  <c r="C121" i="17"/>
  <c r="C103" i="17"/>
  <c r="B33" i="2" l="1"/>
  <c r="AE42" i="16" s="1"/>
  <c r="AE43" i="11" s="1"/>
  <c r="H16" i="19"/>
  <c r="B10" i="2"/>
  <c r="B11" i="2"/>
  <c r="B12" i="2"/>
  <c r="F70" i="1"/>
  <c r="B37" i="2" s="1"/>
  <c r="B53" i="2"/>
  <c r="F71" i="1"/>
  <c r="B38" i="2" s="1"/>
  <c r="F72" i="1"/>
  <c r="B39" i="2" s="1"/>
  <c r="B56" i="2"/>
  <c r="F59" i="1"/>
  <c r="AE89" i="14" s="1"/>
  <c r="AD89" i="14"/>
  <c r="P89" i="14"/>
  <c r="N89" i="14"/>
  <c r="E89" i="14"/>
  <c r="D89" i="14"/>
  <c r="H14" i="19"/>
  <c r="AF22" i="17"/>
  <c r="F41" i="1"/>
  <c r="M72" i="14" s="1"/>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C22" i="17"/>
  <c r="F42" i="1"/>
  <c r="AG73" i="14" s="1"/>
  <c r="D35" i="1"/>
  <c r="B24" i="2" s="1"/>
  <c r="B23" i="2"/>
  <c r="F95" i="1"/>
  <c r="U85" i="17" s="1"/>
  <c r="F97" i="1"/>
  <c r="AF87" i="17" s="1"/>
  <c r="F96" i="1"/>
  <c r="AD86" i="17" s="1"/>
  <c r="F89" i="1"/>
  <c r="D103" i="17"/>
  <c r="E103" i="17" s="1"/>
  <c r="F90" i="1"/>
  <c r="AF117" i="17" s="1"/>
  <c r="AF118" i="17" s="1"/>
  <c r="B41" i="2"/>
  <c r="B9" i="2"/>
  <c r="AF7" i="14" s="1"/>
  <c r="B13" i="2"/>
  <c r="B32" i="2"/>
  <c r="P86" i="16" s="1"/>
  <c r="B42" i="2"/>
  <c r="B43" i="2"/>
  <c r="C104" i="17"/>
  <c r="C109" i="17" s="1"/>
  <c r="B104" i="17"/>
  <c r="B109" i="17" s="1"/>
  <c r="F78" i="1"/>
  <c r="AC11" i="14" s="1"/>
  <c r="F53" i="1"/>
  <c r="AG84" i="14" s="1"/>
  <c r="F77" i="1"/>
  <c r="S10" i="14" s="1"/>
  <c r="F52" i="1"/>
  <c r="AG83" i="14" s="1"/>
  <c r="B144" i="2"/>
  <c r="B145" i="2"/>
  <c r="B152" i="2"/>
  <c r="B153" i="2"/>
  <c r="B154" i="2"/>
  <c r="F45" i="1"/>
  <c r="AG76" i="14" s="1"/>
  <c r="F50" i="1"/>
  <c r="AG81" i="14" s="1"/>
  <c r="B30" i="2"/>
  <c r="AG24" i="14" s="1"/>
  <c r="B74" i="2"/>
  <c r="F44" i="1"/>
  <c r="AC75" i="14" s="1"/>
  <c r="F48" i="1"/>
  <c r="AG79" i="14" s="1"/>
  <c r="F47" i="1"/>
  <c r="AG78" i="14" s="1"/>
  <c r="F49" i="1"/>
  <c r="AG80" i="14" s="1"/>
  <c r="F83" i="1"/>
  <c r="AA107" i="14" s="1"/>
  <c r="AA110" i="14" s="1"/>
  <c r="F54" i="1"/>
  <c r="AA85" i="14" s="1"/>
  <c r="B29" i="2"/>
  <c r="AB20" i="14" s="1"/>
  <c r="B83" i="2"/>
  <c r="F84" i="1"/>
  <c r="AF108" i="14" s="1"/>
  <c r="AF111" i="14" s="1"/>
  <c r="AF79" i="14"/>
  <c r="AC24" i="14"/>
  <c r="Z24" i="14"/>
  <c r="V108" i="14"/>
  <c r="V111" i="14" s="1"/>
  <c r="U108" i="14"/>
  <c r="S107" i="14"/>
  <c r="S110" i="14" s="1"/>
  <c r="AC23" i="8"/>
  <c r="AC34" i="16"/>
  <c r="AC35" i="11" s="1"/>
  <c r="O107" i="14"/>
  <c r="O110" i="14" s="1"/>
  <c r="AB9" i="8"/>
  <c r="AB22" i="16"/>
  <c r="AB22" i="11" s="1"/>
  <c r="AB60" i="16"/>
  <c r="AB71" i="11" s="1"/>
  <c r="AB61" i="16"/>
  <c r="AB72" i="11" s="1"/>
  <c r="AA18" i="16"/>
  <c r="AA18" i="11" s="1"/>
  <c r="AA20" i="16"/>
  <c r="AA20" i="11" s="1"/>
  <c r="AA17" i="8"/>
  <c r="AA24" i="16"/>
  <c r="L34" i="17" s="1"/>
  <c r="L24" i="18" s="1"/>
  <c r="AA32" i="16"/>
  <c r="AA33" i="11" s="1"/>
  <c r="AA25" i="8"/>
  <c r="E17" i="51" s="1"/>
  <c r="AA36" i="16"/>
  <c r="AA37" i="11" s="1"/>
  <c r="AA38" i="16"/>
  <c r="M80" i="14"/>
  <c r="AA42" i="16"/>
  <c r="AA43" i="11" s="1"/>
  <c r="AA28" i="8"/>
  <c r="AA34" i="8"/>
  <c r="E14" i="51" s="1"/>
  <c r="AA56" i="16"/>
  <c r="AA67" i="11" s="1"/>
  <c r="AA37" i="8"/>
  <c r="M20" i="50" s="1"/>
  <c r="AA40" i="8"/>
  <c r="Z30" i="8"/>
  <c r="Z8" i="16"/>
  <c r="Z8" i="11" s="1"/>
  <c r="L58" i="50" s="1"/>
  <c r="Z10" i="16"/>
  <c r="Z10" i="11" s="1"/>
  <c r="Z19" i="16"/>
  <c r="Z19" i="11" s="1"/>
  <c r="Z20" i="16"/>
  <c r="Z20" i="11" s="1"/>
  <c r="Z17" i="8"/>
  <c r="Z23" i="8"/>
  <c r="Z32" i="16"/>
  <c r="Z33" i="11" s="1"/>
  <c r="Z25" i="8"/>
  <c r="L17" i="50" s="1"/>
  <c r="Z37" i="16"/>
  <c r="Z38" i="11" s="1"/>
  <c r="Z38" i="16"/>
  <c r="Z39" i="11" s="1"/>
  <c r="Z42" i="16"/>
  <c r="Z43" i="11" s="1"/>
  <c r="Z28" i="8"/>
  <c r="Z53" i="16"/>
  <c r="Z64" i="11" s="1"/>
  <c r="Z34" i="8"/>
  <c r="L14" i="50" s="1"/>
  <c r="Z56" i="16"/>
  <c r="Z67" i="11" s="1"/>
  <c r="L71" i="50" s="1"/>
  <c r="Z37" i="8"/>
  <c r="L20" i="50" s="1"/>
  <c r="Z60" i="16"/>
  <c r="Z71" i="11" s="1"/>
  <c r="Z40" i="8"/>
  <c r="Y30" i="8"/>
  <c r="Y8" i="16"/>
  <c r="Y8" i="11" s="1"/>
  <c r="K58" i="50" s="1"/>
  <c r="Y9" i="8"/>
  <c r="Y10" i="16"/>
  <c r="Y10" i="11" s="1"/>
  <c r="Y19" i="16"/>
  <c r="Y20" i="16"/>
  <c r="Y20" i="11" s="1"/>
  <c r="Y22" i="16"/>
  <c r="Y22" i="11" s="1"/>
  <c r="Y17" i="8"/>
  <c r="Y23" i="8"/>
  <c r="Y32" i="16"/>
  <c r="Y33" i="11" s="1"/>
  <c r="Y34" i="16"/>
  <c r="Y35" i="11" s="1"/>
  <c r="Y25" i="8"/>
  <c r="K17" i="50" s="1"/>
  <c r="Y37" i="16"/>
  <c r="Y38" i="11" s="1"/>
  <c r="Y38" i="16"/>
  <c r="Y39" i="11" s="1"/>
  <c r="Y42" i="16"/>
  <c r="Y43" i="11" s="1"/>
  <c r="Y28" i="8"/>
  <c r="K107" i="14"/>
  <c r="K110" i="14" s="1"/>
  <c r="Y53" i="16"/>
  <c r="Y64" i="11" s="1"/>
  <c r="Y35" i="8"/>
  <c r="Y56" i="16"/>
  <c r="Y67" i="11" s="1"/>
  <c r="K71" i="50" s="1"/>
  <c r="Y39" i="8"/>
  <c r="Y60" i="16"/>
  <c r="Y71" i="11" s="1"/>
  <c r="Y62" i="16"/>
  <c r="J79" i="17" s="1"/>
  <c r="J62" i="10" s="1"/>
  <c r="X30" i="8"/>
  <c r="X9" i="16"/>
  <c r="X9" i="11" s="1"/>
  <c r="X9" i="8"/>
  <c r="X15" i="8"/>
  <c r="X19" i="16"/>
  <c r="X19" i="11" s="1"/>
  <c r="X21" i="16"/>
  <c r="X22" i="16"/>
  <c r="X22" i="11" s="1"/>
  <c r="X31" i="16"/>
  <c r="X32" i="11" s="1"/>
  <c r="X23" i="8"/>
  <c r="X24" i="8"/>
  <c r="X34" i="16"/>
  <c r="X35" i="11" s="1"/>
  <c r="X26" i="8"/>
  <c r="J15" i="50" s="1"/>
  <c r="X37" i="16"/>
  <c r="X38" i="11" s="1"/>
  <c r="X41" i="16"/>
  <c r="X42" i="11" s="1"/>
  <c r="X42" i="16"/>
  <c r="X43" i="11" s="1"/>
  <c r="X44" i="16"/>
  <c r="I61" i="17" s="1"/>
  <c r="I45" i="18" s="1"/>
  <c r="X53" i="16"/>
  <c r="X64" i="11" s="1"/>
  <c r="X35" i="8"/>
  <c r="X56" i="16"/>
  <c r="X67" i="11" s="1"/>
  <c r="J71" i="50" s="1"/>
  <c r="X39" i="8"/>
  <c r="X60" i="16"/>
  <c r="X71" i="11" s="1"/>
  <c r="X62" i="16"/>
  <c r="W30" i="8"/>
  <c r="W9" i="16"/>
  <c r="W9" i="11" s="1"/>
  <c r="W9" i="8"/>
  <c r="W15" i="8"/>
  <c r="I10" i="50" s="1"/>
  <c r="W19" i="16"/>
  <c r="W19" i="11" s="1"/>
  <c r="W21" i="16"/>
  <c r="W21" i="11" s="1"/>
  <c r="I62" i="50" s="1"/>
  <c r="W22" i="16"/>
  <c r="W22" i="11" s="1"/>
  <c r="W31" i="16"/>
  <c r="W23" i="8"/>
  <c r="W24" i="8"/>
  <c r="W34" i="16"/>
  <c r="W35" i="11" s="1"/>
  <c r="W26" i="8"/>
  <c r="I15" i="50" s="1"/>
  <c r="W37" i="16"/>
  <c r="W38" i="11" s="1"/>
  <c r="W41" i="16"/>
  <c r="W42" i="16"/>
  <c r="W43" i="11" s="1"/>
  <c r="W44" i="16"/>
  <c r="I107" i="14"/>
  <c r="I110" i="14" s="1"/>
  <c r="W54" i="16"/>
  <c r="W65" i="11" s="1"/>
  <c r="W35" i="8"/>
  <c r="W58" i="16"/>
  <c r="W69" i="11" s="1"/>
  <c r="I68" i="50" s="1"/>
  <c r="W39" i="8"/>
  <c r="W61" i="16"/>
  <c r="W72" i="11" s="1"/>
  <c r="W62" i="16"/>
  <c r="H79" i="17" s="1"/>
  <c r="H62" i="10" s="1"/>
  <c r="V8" i="8"/>
  <c r="V9" i="16"/>
  <c r="V9" i="11" s="1"/>
  <c r="V18" i="16"/>
  <c r="V18" i="11" s="1"/>
  <c r="D61" i="51" s="1"/>
  <c r="V15" i="8"/>
  <c r="V16" i="8"/>
  <c r="V21" i="16"/>
  <c r="V21" i="11" s="1"/>
  <c r="V24" i="16"/>
  <c r="V31" i="16"/>
  <c r="V32" i="11" s="1"/>
  <c r="V33" i="16"/>
  <c r="V34" i="11" s="1"/>
  <c r="V24" i="8"/>
  <c r="V36" i="16"/>
  <c r="V37" i="11" s="1"/>
  <c r="V26" i="8"/>
  <c r="H15" i="50" s="1"/>
  <c r="V39" i="16"/>
  <c r="V40" i="11" s="1"/>
  <c r="V41" i="16"/>
  <c r="V42" i="11" s="1"/>
  <c r="V43" i="16"/>
  <c r="V44" i="16"/>
  <c r="V54" i="16"/>
  <c r="V65" i="11" s="1"/>
  <c r="V35" i="8"/>
  <c r="H108" i="14"/>
  <c r="H111" i="14" s="1"/>
  <c r="V58" i="16"/>
  <c r="V69" i="11" s="1"/>
  <c r="V39" i="8"/>
  <c r="V60" i="16"/>
  <c r="V40" i="8"/>
  <c r="V61" i="16"/>
  <c r="V72" i="11" s="1"/>
  <c r="V62" i="16"/>
  <c r="G79" i="17" s="1"/>
  <c r="G62" i="10" s="1"/>
  <c r="U30" i="8"/>
  <c r="U8" i="16"/>
  <c r="U8" i="11" s="1"/>
  <c r="G58" i="50" s="1"/>
  <c r="U8" i="8"/>
  <c r="G7" i="50" s="1"/>
  <c r="U9" i="16"/>
  <c r="U9" i="11" s="1"/>
  <c r="U9" i="8"/>
  <c r="U10" i="16"/>
  <c r="U10" i="11" s="1"/>
  <c r="U18" i="16"/>
  <c r="U15" i="8"/>
  <c r="G10" i="50" s="1"/>
  <c r="U19" i="16"/>
  <c r="U19" i="11" s="1"/>
  <c r="U20" i="16"/>
  <c r="U20" i="11" s="1"/>
  <c r="U16" i="8"/>
  <c r="U21" i="16"/>
  <c r="U21" i="11" s="1"/>
  <c r="G62" i="50" s="1"/>
  <c r="U22" i="16"/>
  <c r="U22" i="11" s="1"/>
  <c r="U17" i="8"/>
  <c r="U24" i="16"/>
  <c r="U31" i="16"/>
  <c r="U32" i="11" s="1"/>
  <c r="U23" i="8"/>
  <c r="U32" i="16"/>
  <c r="U33" i="11" s="1"/>
  <c r="U33" i="16"/>
  <c r="U34" i="11" s="1"/>
  <c r="G65" i="50" s="1"/>
  <c r="U24" i="8"/>
  <c r="U34" i="16"/>
  <c r="U35" i="11" s="1"/>
  <c r="U25" i="8"/>
  <c r="U36" i="16"/>
  <c r="U37" i="11" s="1"/>
  <c r="U26" i="8"/>
  <c r="G15" i="50" s="1"/>
  <c r="U37" i="16"/>
  <c r="U38" i="16"/>
  <c r="U39" i="11" s="1"/>
  <c r="U39" i="16"/>
  <c r="U40" i="11" s="1"/>
  <c r="U41" i="16"/>
  <c r="U42" i="11" s="1"/>
  <c r="U42" i="16"/>
  <c r="U43" i="11" s="1"/>
  <c r="U28" i="8"/>
  <c r="U43" i="16"/>
  <c r="U44" i="16"/>
  <c r="F61" i="17" s="1"/>
  <c r="F45" i="18" s="1"/>
  <c r="U53" i="16"/>
  <c r="U64" i="11" s="1"/>
  <c r="U34" i="8"/>
  <c r="G14" i="50" s="1"/>
  <c r="U54" i="16"/>
  <c r="U65" i="11" s="1"/>
  <c r="U35" i="8"/>
  <c r="U56" i="16"/>
  <c r="U67" i="11" s="1"/>
  <c r="G71" i="50" s="1"/>
  <c r="U37" i="8"/>
  <c r="G20" i="50" s="1"/>
  <c r="U58" i="16"/>
  <c r="U69" i="11" s="1"/>
  <c r="G68" i="50" s="1"/>
  <c r="U39" i="8"/>
  <c r="U60" i="16"/>
  <c r="U40" i="8"/>
  <c r="U61" i="16"/>
  <c r="U72" i="11" s="1"/>
  <c r="U62" i="16"/>
  <c r="F79" i="17" s="1"/>
  <c r="T30" i="8"/>
  <c r="T8" i="16"/>
  <c r="T8" i="11" s="1"/>
  <c r="F58" i="50" s="1"/>
  <c r="T8" i="8"/>
  <c r="F7" i="50" s="1"/>
  <c r="T9" i="16"/>
  <c r="T9" i="11" s="1"/>
  <c r="T9" i="8"/>
  <c r="T10" i="16"/>
  <c r="T10" i="11" s="1"/>
  <c r="T18" i="16"/>
  <c r="T18" i="11" s="1"/>
  <c r="F61" i="50" s="1"/>
  <c r="T15" i="8"/>
  <c r="T19" i="16"/>
  <c r="T19" i="11" s="1"/>
  <c r="T20" i="16"/>
  <c r="T20" i="11" s="1"/>
  <c r="T16" i="8"/>
  <c r="F11" i="50" s="1"/>
  <c r="T21" i="16"/>
  <c r="T21" i="11" s="1"/>
  <c r="F62" i="50" s="1"/>
  <c r="T22" i="16"/>
  <c r="T22" i="11" s="1"/>
  <c r="T17" i="8"/>
  <c r="T24" i="16"/>
  <c r="E34" i="17" s="1"/>
  <c r="E24" i="18" s="1"/>
  <c r="T31" i="16"/>
  <c r="T32" i="11" s="1"/>
  <c r="T23" i="8"/>
  <c r="T32" i="16"/>
  <c r="T33" i="11" s="1"/>
  <c r="T33" i="16"/>
  <c r="T34" i="11" s="1"/>
  <c r="F65" i="50" s="1"/>
  <c r="F79" i="14"/>
  <c r="T24" i="8"/>
  <c r="T34" i="16"/>
  <c r="T35" i="11" s="1"/>
  <c r="T25" i="8"/>
  <c r="F17" i="50" s="1"/>
  <c r="T36" i="16"/>
  <c r="T37" i="11" s="1"/>
  <c r="T26" i="8"/>
  <c r="F15" i="50" s="1"/>
  <c r="T37" i="16"/>
  <c r="T38" i="11" s="1"/>
  <c r="T38" i="16"/>
  <c r="T39" i="11" s="1"/>
  <c r="T39" i="16"/>
  <c r="T41" i="16"/>
  <c r="T42" i="11" s="1"/>
  <c r="T42" i="16"/>
  <c r="T43" i="11" s="1"/>
  <c r="T28" i="8"/>
  <c r="T43" i="16"/>
  <c r="E60" i="17" s="1"/>
  <c r="E44" i="18" s="1"/>
  <c r="T44" i="16"/>
  <c r="E61" i="17" s="1"/>
  <c r="E45" i="18" s="1"/>
  <c r="T53" i="16"/>
  <c r="T34" i="8"/>
  <c r="T54" i="16"/>
  <c r="T65" i="11" s="1"/>
  <c r="T35" i="8"/>
  <c r="T56" i="16"/>
  <c r="T67" i="11" s="1"/>
  <c r="F71" i="50" s="1"/>
  <c r="T37" i="8"/>
  <c r="T58" i="16"/>
  <c r="T69" i="11" s="1"/>
  <c r="F68" i="50" s="1"/>
  <c r="T39" i="8"/>
  <c r="T60" i="16"/>
  <c r="T71" i="11" s="1"/>
  <c r="T40" i="8"/>
  <c r="T61" i="16"/>
  <c r="T72" i="11" s="1"/>
  <c r="T62" i="16"/>
  <c r="S30" i="8"/>
  <c r="S8" i="16"/>
  <c r="S8" i="11" s="1"/>
  <c r="E58" i="50" s="1"/>
  <c r="S8" i="8"/>
  <c r="S9" i="16"/>
  <c r="S9" i="11" s="1"/>
  <c r="S9" i="8"/>
  <c r="S10" i="16"/>
  <c r="S10" i="11" s="1"/>
  <c r="S18" i="16"/>
  <c r="S18" i="11" s="1"/>
  <c r="E61" i="50" s="1"/>
  <c r="S15" i="8"/>
  <c r="E10" i="50" s="1"/>
  <c r="S19" i="16"/>
  <c r="S19" i="11" s="1"/>
  <c r="S20" i="16"/>
  <c r="S20" i="11" s="1"/>
  <c r="S16" i="8"/>
  <c r="E11" i="50" s="1"/>
  <c r="S21" i="16"/>
  <c r="S21" i="11" s="1"/>
  <c r="E62" i="50" s="1"/>
  <c r="S22" i="16"/>
  <c r="S22" i="11" s="1"/>
  <c r="S17" i="8"/>
  <c r="E75" i="14"/>
  <c r="S24" i="16"/>
  <c r="S31" i="16"/>
  <c r="S23" i="8"/>
  <c r="S32" i="16"/>
  <c r="S33" i="11" s="1"/>
  <c r="S33" i="16"/>
  <c r="S34" i="11" s="1"/>
  <c r="E65" i="50" s="1"/>
  <c r="S24" i="8"/>
  <c r="S34" i="16"/>
  <c r="S35" i="11" s="1"/>
  <c r="S25" i="8"/>
  <c r="E17" i="50" s="1"/>
  <c r="S36" i="16"/>
  <c r="S26" i="8"/>
  <c r="E15" i="50" s="1"/>
  <c r="S37" i="16"/>
  <c r="S38" i="11" s="1"/>
  <c r="S38" i="16"/>
  <c r="S39" i="11" s="1"/>
  <c r="S39" i="16"/>
  <c r="S40" i="11" s="1"/>
  <c r="S41" i="16"/>
  <c r="S42" i="16"/>
  <c r="S43" i="11" s="1"/>
  <c r="S28" i="8"/>
  <c r="S43" i="16"/>
  <c r="D60" i="17" s="1"/>
  <c r="D44" i="18" s="1"/>
  <c r="S44" i="16"/>
  <c r="D61" i="17" s="1"/>
  <c r="D45" i="18" s="1"/>
  <c r="S53" i="16"/>
  <c r="S34" i="8"/>
  <c r="E14" i="50" s="1"/>
  <c r="S54" i="16"/>
  <c r="S65" i="11" s="1"/>
  <c r="S35" i="8"/>
  <c r="S56" i="16"/>
  <c r="S67" i="11" s="1"/>
  <c r="E71" i="50" s="1"/>
  <c r="S37" i="8"/>
  <c r="E20" i="50" s="1"/>
  <c r="S58" i="16"/>
  <c r="S69" i="11" s="1"/>
  <c r="E68" i="50" s="1"/>
  <c r="S39" i="8"/>
  <c r="S60" i="16"/>
  <c r="S71" i="11" s="1"/>
  <c r="S40" i="8"/>
  <c r="S61" i="16"/>
  <c r="S72" i="11" s="1"/>
  <c r="S62" i="16"/>
  <c r="R30" i="8"/>
  <c r="R8" i="16"/>
  <c r="R8" i="11" s="1"/>
  <c r="D58" i="50" s="1"/>
  <c r="R8" i="8"/>
  <c r="R9" i="16"/>
  <c r="R9" i="11" s="1"/>
  <c r="R9" i="8"/>
  <c r="R10" i="16"/>
  <c r="R10" i="11" s="1"/>
  <c r="R18" i="16"/>
  <c r="R18" i="11" s="1"/>
  <c r="D61" i="50" s="1"/>
  <c r="R15" i="8"/>
  <c r="D10" i="50" s="1"/>
  <c r="R19" i="16"/>
  <c r="R19" i="11" s="1"/>
  <c r="R20" i="16"/>
  <c r="R16" i="8"/>
  <c r="D11" i="50" s="1"/>
  <c r="R21" i="16"/>
  <c r="R21" i="11" s="1"/>
  <c r="D62" i="50" s="1"/>
  <c r="R22" i="16"/>
  <c r="R17" i="8"/>
  <c r="R24" i="16"/>
  <c r="C34" i="17" s="1"/>
  <c r="C24" i="18" s="1"/>
  <c r="R31" i="16"/>
  <c r="R32" i="11" s="1"/>
  <c r="R23" i="8"/>
  <c r="R32" i="16"/>
  <c r="R33" i="11" s="1"/>
  <c r="R33" i="16"/>
  <c r="R34" i="11" s="1"/>
  <c r="D65" i="50" s="1"/>
  <c r="R24" i="8"/>
  <c r="R34" i="16"/>
  <c r="R35" i="11" s="1"/>
  <c r="R25" i="8"/>
  <c r="D17" i="50" s="1"/>
  <c r="R36" i="16"/>
  <c r="R37" i="11" s="1"/>
  <c r="R26" i="8"/>
  <c r="D15" i="50" s="1"/>
  <c r="R37" i="16"/>
  <c r="R38" i="11" s="1"/>
  <c r="R38" i="16"/>
  <c r="R39" i="16"/>
  <c r="R40" i="11" s="1"/>
  <c r="R41" i="16"/>
  <c r="R42" i="16"/>
  <c r="R28" i="8"/>
  <c r="R43" i="16"/>
  <c r="R44" i="16"/>
  <c r="C61" i="17" s="1"/>
  <c r="C45" i="18" s="1"/>
  <c r="R53" i="16"/>
  <c r="R64" i="11" s="1"/>
  <c r="R34" i="8"/>
  <c r="D14" i="50" s="1"/>
  <c r="R54" i="16"/>
  <c r="R65" i="11" s="1"/>
  <c r="R35" i="8"/>
  <c r="R56" i="16"/>
  <c r="R67" i="11" s="1"/>
  <c r="D71" i="50" s="1"/>
  <c r="D85" i="14"/>
  <c r="R37" i="8"/>
  <c r="R58" i="16"/>
  <c r="R69" i="11" s="1"/>
  <c r="D68" i="50" s="1"/>
  <c r="R39" i="8"/>
  <c r="R60" i="16"/>
  <c r="R71" i="11" s="1"/>
  <c r="R40" i="8"/>
  <c r="R61" i="16"/>
  <c r="R72" i="11" s="1"/>
  <c r="R62" i="16"/>
  <c r="Q30" i="8"/>
  <c r="Q8" i="16"/>
  <c r="Q8" i="11" s="1"/>
  <c r="Q8" i="8"/>
  <c r="Q9" i="16"/>
  <c r="Q9" i="11" s="1"/>
  <c r="Q9" i="8"/>
  <c r="Q10" i="16"/>
  <c r="Q10" i="11" s="1"/>
  <c r="Q18" i="16"/>
  <c r="Q15" i="8"/>
  <c r="C10" i="51" s="1"/>
  <c r="Q19" i="16"/>
  <c r="Q19" i="11" s="1"/>
  <c r="Q20" i="16"/>
  <c r="Q20" i="11" s="1"/>
  <c r="Q16" i="8"/>
  <c r="C11" i="50" s="1"/>
  <c r="Q21" i="16"/>
  <c r="Q21" i="11" s="1"/>
  <c r="Q22" i="16"/>
  <c r="Q22" i="11" s="1"/>
  <c r="Q17" i="8"/>
  <c r="Q24" i="16"/>
  <c r="Q23" i="8"/>
  <c r="Q32" i="16"/>
  <c r="Q33" i="16"/>
  <c r="Q34" i="11" s="1"/>
  <c r="C65" i="51" s="1"/>
  <c r="Q24" i="8"/>
  <c r="Q34" i="16"/>
  <c r="Q35" i="11" s="1"/>
  <c r="Q25" i="8"/>
  <c r="Q36" i="16"/>
  <c r="Q37" i="11" s="1"/>
  <c r="Q26" i="8"/>
  <c r="C15" i="51" s="1"/>
  <c r="Q37" i="16"/>
  <c r="Q38" i="11" s="1"/>
  <c r="Q38" i="16"/>
  <c r="Q39" i="11" s="1"/>
  <c r="Q39" i="16"/>
  <c r="Q40" i="11" s="1"/>
  <c r="Q41" i="16"/>
  <c r="Q42" i="11" s="1"/>
  <c r="Q42" i="16"/>
  <c r="Q43" i="11" s="1"/>
  <c r="Q28" i="8"/>
  <c r="Q43" i="16"/>
  <c r="B60" i="17" s="1"/>
  <c r="B44" i="18" s="1"/>
  <c r="Q44" i="16"/>
  <c r="B61" i="17" s="1"/>
  <c r="B45" i="18" s="1"/>
  <c r="Q53" i="16"/>
  <c r="Q64" i="11" s="1"/>
  <c r="Q34" i="8"/>
  <c r="C14" i="50" s="1"/>
  <c r="Q54" i="16"/>
  <c r="Q65" i="11" s="1"/>
  <c r="Q35" i="8"/>
  <c r="Q56" i="16"/>
  <c r="Q67" i="11" s="1"/>
  <c r="C71" i="51" s="1"/>
  <c r="Q37" i="8"/>
  <c r="Q58" i="16"/>
  <c r="Q69" i="11" s="1"/>
  <c r="C68" i="50" s="1"/>
  <c r="Q39" i="8"/>
  <c r="Q60" i="16"/>
  <c r="Q40" i="8"/>
  <c r="Q61" i="16"/>
  <c r="Q72" i="11" s="1"/>
  <c r="Q62" i="16"/>
  <c r="B79" i="17" s="1"/>
  <c r="B62" i="10" s="1"/>
  <c r="A110" i="51"/>
  <c r="AU12" i="16"/>
  <c r="AU25" i="16"/>
  <c r="AF35" i="17" s="1"/>
  <c r="AU46" i="16"/>
  <c r="AU47" i="16"/>
  <c r="AU59" i="16"/>
  <c r="AU70" i="11" s="1"/>
  <c r="B31" i="2"/>
  <c r="AT12" i="16"/>
  <c r="AT25" i="16"/>
  <c r="AE35" i="17" s="1"/>
  <c r="AE25" i="18" s="1"/>
  <c r="AT46" i="16"/>
  <c r="AT47" i="11" s="1"/>
  <c r="AT47" i="16"/>
  <c r="AT59" i="16"/>
  <c r="AE76" i="17" s="1"/>
  <c r="AE70" i="18" s="1"/>
  <c r="AS12" i="16"/>
  <c r="AS12" i="11" s="1"/>
  <c r="AS25" i="16"/>
  <c r="AD35" i="17" s="1"/>
  <c r="AD25" i="18" s="1"/>
  <c r="AS46" i="16"/>
  <c r="AS47" i="11" s="1"/>
  <c r="AS47" i="16"/>
  <c r="AD64" i="17" s="1"/>
  <c r="AD48" i="18" s="1"/>
  <c r="AS59" i="16"/>
  <c r="AR12" i="16"/>
  <c r="AC12" i="17" s="1"/>
  <c r="AC12" i="18" s="1"/>
  <c r="AR25" i="16"/>
  <c r="AC35" i="17" s="1"/>
  <c r="AC25" i="18" s="1"/>
  <c r="AR46" i="16"/>
  <c r="AC63" i="17" s="1"/>
  <c r="AC47" i="18" s="1"/>
  <c r="AR47" i="16"/>
  <c r="AR59" i="16"/>
  <c r="AQ12" i="16"/>
  <c r="AQ25" i="16"/>
  <c r="AB35" i="17" s="1"/>
  <c r="AB25" i="18" s="1"/>
  <c r="AQ46" i="16"/>
  <c r="AQ47" i="16"/>
  <c r="AQ59" i="16"/>
  <c r="AB76" i="17" s="1"/>
  <c r="AB70" i="18" s="1"/>
  <c r="AP12" i="16"/>
  <c r="AP25" i="16"/>
  <c r="AA35" i="17" s="1"/>
  <c r="AA25" i="18" s="1"/>
  <c r="AP46" i="16"/>
  <c r="AP47" i="16"/>
  <c r="AA64" i="17" s="1"/>
  <c r="AA48" i="18" s="1"/>
  <c r="AP59" i="16"/>
  <c r="AO12" i="16"/>
  <c r="AO25" i="16"/>
  <c r="Z35" i="17" s="1"/>
  <c r="Z25" i="18" s="1"/>
  <c r="AO46" i="16"/>
  <c r="AO47" i="16"/>
  <c r="AO59" i="16"/>
  <c r="Z76" i="17" s="1"/>
  <c r="Z70" i="18" s="1"/>
  <c r="AN12" i="16"/>
  <c r="AN25" i="16"/>
  <c r="Y35" i="17" s="1"/>
  <c r="Y25" i="18" s="1"/>
  <c r="AN46" i="16"/>
  <c r="AN47" i="11" s="1"/>
  <c r="AN47" i="16"/>
  <c r="AN59" i="16"/>
  <c r="AM12" i="16"/>
  <c r="AM25" i="16"/>
  <c r="X35" i="17" s="1"/>
  <c r="X25" i="18" s="1"/>
  <c r="AM46" i="16"/>
  <c r="AM47" i="16"/>
  <c r="X64" i="17" s="1"/>
  <c r="X48" i="18" s="1"/>
  <c r="AM59" i="16"/>
  <c r="AL12" i="16"/>
  <c r="AL25" i="16"/>
  <c r="W35" i="17" s="1"/>
  <c r="W25" i="18" s="1"/>
  <c r="AL46" i="16"/>
  <c r="AL47" i="16"/>
  <c r="AL59" i="16"/>
  <c r="AL70" i="11" s="1"/>
  <c r="AK12" i="16"/>
  <c r="AK25" i="16"/>
  <c r="V35" i="17" s="1"/>
  <c r="V25" i="18" s="1"/>
  <c r="AK46" i="16"/>
  <c r="AK47" i="16"/>
  <c r="AK59" i="16"/>
  <c r="V76" i="17" s="1"/>
  <c r="V70" i="18" s="1"/>
  <c r="AJ12" i="16"/>
  <c r="AJ25" i="16"/>
  <c r="U35" i="17" s="1"/>
  <c r="U25" i="18" s="1"/>
  <c r="AJ46" i="16"/>
  <c r="AJ47" i="16"/>
  <c r="AJ59" i="16"/>
  <c r="AJ70" i="11" s="1"/>
  <c r="AI12" i="16"/>
  <c r="AI25" i="16"/>
  <c r="T35" i="17" s="1"/>
  <c r="T25" i="18" s="1"/>
  <c r="AI46" i="16"/>
  <c r="AI47" i="16"/>
  <c r="U111" i="14"/>
  <c r="AI59" i="16"/>
  <c r="AH12" i="16"/>
  <c r="AH25" i="16"/>
  <c r="S35" i="17" s="1"/>
  <c r="S25" i="18" s="1"/>
  <c r="AH46" i="16"/>
  <c r="AH47" i="16"/>
  <c r="AH59" i="16"/>
  <c r="AG12" i="16"/>
  <c r="AG12" i="11" s="1"/>
  <c r="AG25" i="16"/>
  <c r="R35" i="17" s="1"/>
  <c r="R25" i="18" s="1"/>
  <c r="AG46" i="16"/>
  <c r="R63" i="17" s="1"/>
  <c r="R47" i="18" s="1"/>
  <c r="AG47" i="16"/>
  <c r="AG59" i="16"/>
  <c r="AF12" i="16"/>
  <c r="AF25" i="16"/>
  <c r="Q35" i="17" s="1"/>
  <c r="Q25" i="18" s="1"/>
  <c r="AF46" i="16"/>
  <c r="Q63" i="17" s="1"/>
  <c r="Q47" i="18" s="1"/>
  <c r="AF47" i="16"/>
  <c r="AF59" i="16"/>
  <c r="AF70" i="11" s="1"/>
  <c r="AE12" i="16"/>
  <c r="AE12" i="11" s="1"/>
  <c r="AE25" i="16"/>
  <c r="P35" i="17" s="1"/>
  <c r="P25" i="18" s="1"/>
  <c r="AE46" i="16"/>
  <c r="P63" i="17" s="1"/>
  <c r="P47" i="18" s="1"/>
  <c r="AE47" i="16"/>
  <c r="AE59" i="16"/>
  <c r="AD12" i="16"/>
  <c r="O12" i="17" s="1"/>
  <c r="O12" i="18" s="1"/>
  <c r="AD25" i="16"/>
  <c r="O35" i="17" s="1"/>
  <c r="O25" i="18" s="1"/>
  <c r="AD46" i="16"/>
  <c r="AD47" i="16"/>
  <c r="AD59" i="16"/>
  <c r="AD70" i="11" s="1"/>
  <c r="AC12" i="16"/>
  <c r="AC25" i="16"/>
  <c r="N35" i="17" s="1"/>
  <c r="N25" i="18" s="1"/>
  <c r="AC46" i="16"/>
  <c r="AC47" i="16"/>
  <c r="AC59" i="16"/>
  <c r="N76" i="17" s="1"/>
  <c r="N70" i="18" s="1"/>
  <c r="AB12" i="16"/>
  <c r="AB25" i="16"/>
  <c r="M35" i="17" s="1"/>
  <c r="M25" i="18" s="1"/>
  <c r="AB46" i="16"/>
  <c r="AB47" i="11" s="1"/>
  <c r="AB47" i="16"/>
  <c r="AB59" i="16"/>
  <c r="M76" i="17" s="1"/>
  <c r="M70" i="18" s="1"/>
  <c r="AA12" i="16"/>
  <c r="AA12" i="11" s="1"/>
  <c r="AA25" i="16"/>
  <c r="L35" i="17" s="1"/>
  <c r="L25" i="18" s="1"/>
  <c r="AA46" i="16"/>
  <c r="AA47" i="11" s="1"/>
  <c r="AA47" i="16"/>
  <c r="L64" i="17" s="1"/>
  <c r="L48" i="18" s="1"/>
  <c r="AA59" i="16"/>
  <c r="Z12" i="16"/>
  <c r="Z25" i="16"/>
  <c r="K35" i="17" s="1"/>
  <c r="K25" i="18" s="1"/>
  <c r="Z46" i="16"/>
  <c r="K63" i="17" s="1"/>
  <c r="K47" i="18" s="1"/>
  <c r="Z47" i="16"/>
  <c r="K64" i="17" s="1"/>
  <c r="K48" i="18" s="1"/>
  <c r="Z59" i="16"/>
  <c r="K76" i="17" s="1"/>
  <c r="K70" i="18" s="1"/>
  <c r="Y12" i="16"/>
  <c r="Y25" i="16"/>
  <c r="Y46" i="16"/>
  <c r="Y47" i="16"/>
  <c r="Y59" i="16"/>
  <c r="J76" i="17" s="1"/>
  <c r="J70" i="18" s="1"/>
  <c r="X12" i="16"/>
  <c r="X25" i="16"/>
  <c r="I35" i="17" s="1"/>
  <c r="I25" i="18" s="1"/>
  <c r="X46" i="16"/>
  <c r="X47" i="16"/>
  <c r="X59" i="16"/>
  <c r="W12" i="16"/>
  <c r="W25" i="16"/>
  <c r="H35" i="17" s="1"/>
  <c r="H25" i="18" s="1"/>
  <c r="W46" i="16"/>
  <c r="H63" i="17" s="1"/>
  <c r="H47" i="18" s="1"/>
  <c r="W47" i="16"/>
  <c r="H64" i="17" s="1"/>
  <c r="H48" i="18" s="1"/>
  <c r="W59" i="16"/>
  <c r="V12" i="16"/>
  <c r="G12" i="17" s="1"/>
  <c r="G12" i="18" s="1"/>
  <c r="V25" i="16"/>
  <c r="G35" i="17" s="1"/>
  <c r="G25" i="18" s="1"/>
  <c r="V46" i="16"/>
  <c r="V47" i="16"/>
  <c r="G64" i="17" s="1"/>
  <c r="G48" i="18" s="1"/>
  <c r="V59" i="16"/>
  <c r="U12" i="16"/>
  <c r="F12" i="17" s="1"/>
  <c r="F12" i="18" s="1"/>
  <c r="U25" i="16"/>
  <c r="U46" i="16"/>
  <c r="F63" i="17" s="1"/>
  <c r="F47" i="18" s="1"/>
  <c r="U47" i="16"/>
  <c r="U59" i="16"/>
  <c r="F76" i="17" s="1"/>
  <c r="F70" i="18" s="1"/>
  <c r="T12" i="16"/>
  <c r="T25" i="16"/>
  <c r="E35" i="17" s="1"/>
  <c r="E25" i="18" s="1"/>
  <c r="T46" i="16"/>
  <c r="E63" i="17" s="1"/>
  <c r="E47" i="18" s="1"/>
  <c r="T47" i="16"/>
  <c r="T59" i="16"/>
  <c r="E76" i="17" s="1"/>
  <c r="E70" i="18" s="1"/>
  <c r="S12" i="16"/>
  <c r="S12" i="11" s="1"/>
  <c r="S25" i="16"/>
  <c r="D35" i="17" s="1"/>
  <c r="D25" i="18" s="1"/>
  <c r="S46" i="16"/>
  <c r="D63" i="17" s="1"/>
  <c r="D47" i="18" s="1"/>
  <c r="S47" i="16"/>
  <c r="S59" i="16"/>
  <c r="D76" i="17" s="1"/>
  <c r="D70" i="18" s="1"/>
  <c r="R12" i="16"/>
  <c r="R25" i="16"/>
  <c r="C35" i="17" s="1"/>
  <c r="C25" i="18" s="1"/>
  <c r="R46" i="16"/>
  <c r="R47" i="16"/>
  <c r="R59" i="16"/>
  <c r="C76" i="17" s="1"/>
  <c r="C70" i="18" s="1"/>
  <c r="Q12" i="16"/>
  <c r="Q25" i="16"/>
  <c r="B35" i="17" s="1"/>
  <c r="B25" i="18" s="1"/>
  <c r="Q46" i="16"/>
  <c r="B63" i="17" s="1"/>
  <c r="B47" i="18" s="1"/>
  <c r="Q47" i="16"/>
  <c r="Q59" i="16"/>
  <c r="A23" i="51"/>
  <c r="A57" i="51" s="1"/>
  <c r="A91" i="51" s="1"/>
  <c r="A40" i="51"/>
  <c r="A74" i="51"/>
  <c r="I46" i="51"/>
  <c r="H46" i="51"/>
  <c r="G46" i="51"/>
  <c r="F46" i="51"/>
  <c r="E46" i="51"/>
  <c r="D46" i="51"/>
  <c r="C46" i="51"/>
  <c r="I42" i="51"/>
  <c r="H42" i="51"/>
  <c r="G42" i="51"/>
  <c r="F42" i="51"/>
  <c r="E42" i="51"/>
  <c r="D42" i="51"/>
  <c r="C42" i="51"/>
  <c r="B105" i="2"/>
  <c r="B120" i="2"/>
  <c r="B116" i="2"/>
  <c r="O89" i="16"/>
  <c r="O90" i="16"/>
  <c r="P90" i="16" s="1"/>
  <c r="O91" i="16"/>
  <c r="P91" i="16" s="1"/>
  <c r="P13" i="16"/>
  <c r="P26" i="16"/>
  <c r="P75" i="16"/>
  <c r="O13" i="16"/>
  <c r="O26" i="16"/>
  <c r="O63" i="16"/>
  <c r="O75" i="16"/>
  <c r="N13" i="16"/>
  <c r="N26" i="16"/>
  <c r="N63" i="16"/>
  <c r="N75" i="16"/>
  <c r="M13" i="16"/>
  <c r="M26" i="16"/>
  <c r="M48" i="16"/>
  <c r="M63" i="16"/>
  <c r="M75" i="16"/>
  <c r="L13" i="16"/>
  <c r="L26" i="16"/>
  <c r="L48" i="16"/>
  <c r="L63" i="16"/>
  <c r="L75" i="16"/>
  <c r="K13" i="16"/>
  <c r="K26" i="16"/>
  <c r="K48" i="16"/>
  <c r="K63" i="16"/>
  <c r="K75" i="16"/>
  <c r="J13" i="16"/>
  <c r="J26" i="16"/>
  <c r="J48" i="16"/>
  <c r="J63" i="16"/>
  <c r="J75" i="16"/>
  <c r="I13" i="16"/>
  <c r="I26" i="16"/>
  <c r="I48" i="16"/>
  <c r="I63" i="16"/>
  <c r="I75" i="16"/>
  <c r="H13" i="16"/>
  <c r="H26" i="16"/>
  <c r="H48" i="16"/>
  <c r="H63" i="16"/>
  <c r="H75" i="16"/>
  <c r="G13" i="16"/>
  <c r="G26" i="16"/>
  <c r="G48" i="16"/>
  <c r="G63" i="16"/>
  <c r="G75" i="16"/>
  <c r="F13" i="16"/>
  <c r="F26" i="16"/>
  <c r="F48" i="16"/>
  <c r="F63" i="16"/>
  <c r="F75" i="16"/>
  <c r="E13" i="16"/>
  <c r="E26" i="16"/>
  <c r="E48" i="16"/>
  <c r="E63" i="16"/>
  <c r="E75" i="16"/>
  <c r="D13" i="16"/>
  <c r="D26" i="16"/>
  <c r="D48" i="16"/>
  <c r="D63" i="16"/>
  <c r="D75" i="16"/>
  <c r="C13" i="16"/>
  <c r="C26" i="16"/>
  <c r="C48" i="16"/>
  <c r="C63" i="16"/>
  <c r="C75" i="16"/>
  <c r="P74" i="16"/>
  <c r="O74" i="16"/>
  <c r="N74" i="16"/>
  <c r="M74" i="16"/>
  <c r="L74" i="16"/>
  <c r="K74" i="16"/>
  <c r="J74" i="16"/>
  <c r="I74" i="16"/>
  <c r="H74" i="16"/>
  <c r="G74" i="16"/>
  <c r="F74" i="16"/>
  <c r="E74" i="16"/>
  <c r="D74" i="16"/>
  <c r="C74" i="16"/>
  <c r="P73" i="16"/>
  <c r="O73" i="16"/>
  <c r="N73" i="16"/>
  <c r="M73" i="16"/>
  <c r="L73" i="16"/>
  <c r="K73" i="16"/>
  <c r="J73" i="16"/>
  <c r="I73" i="16"/>
  <c r="H73" i="16"/>
  <c r="G73" i="16"/>
  <c r="F73" i="16"/>
  <c r="E73" i="16"/>
  <c r="D73" i="16"/>
  <c r="C73" i="16"/>
  <c r="P72" i="16"/>
  <c r="O72" i="16"/>
  <c r="N72" i="16"/>
  <c r="M72" i="16"/>
  <c r="L72" i="16"/>
  <c r="K72" i="16"/>
  <c r="J72" i="16"/>
  <c r="I72" i="16"/>
  <c r="H72" i="16"/>
  <c r="G72" i="16"/>
  <c r="F72" i="16"/>
  <c r="E72" i="16"/>
  <c r="D72" i="16"/>
  <c r="C72" i="16"/>
  <c r="B13" i="16"/>
  <c r="B26" i="16"/>
  <c r="B48" i="16"/>
  <c r="B63" i="16"/>
  <c r="B75" i="16"/>
  <c r="B74" i="16"/>
  <c r="B73" i="16"/>
  <c r="B72" i="16"/>
  <c r="O92" i="16"/>
  <c r="P92" i="16"/>
  <c r="C116" i="14"/>
  <c r="C121" i="14" s="1"/>
  <c r="D116" i="14"/>
  <c r="D121" i="14" s="1"/>
  <c r="E116" i="14"/>
  <c r="E121" i="14" s="1"/>
  <c r="F116" i="14"/>
  <c r="F121" i="14" s="1"/>
  <c r="G116" i="14"/>
  <c r="G121" i="14" s="1"/>
  <c r="H116" i="14"/>
  <c r="H121" i="14" s="1"/>
  <c r="I116" i="14"/>
  <c r="I121" i="14" s="1"/>
  <c r="J116" i="14"/>
  <c r="J121" i="14" s="1"/>
  <c r="K116" i="14"/>
  <c r="K121" i="14" s="1"/>
  <c r="L116" i="14"/>
  <c r="L121" i="14" s="1"/>
  <c r="M116" i="14"/>
  <c r="M121" i="14" s="1"/>
  <c r="N116" i="14"/>
  <c r="N121" i="14" s="1"/>
  <c r="O116" i="14"/>
  <c r="Y124" i="14" s="1"/>
  <c r="P116" i="14"/>
  <c r="P121" i="14" s="1"/>
  <c r="Q116" i="14"/>
  <c r="R116" i="14"/>
  <c r="R121" i="14" s="1"/>
  <c r="S116" i="14"/>
  <c r="T116" i="14"/>
  <c r="T121" i="14" s="1"/>
  <c r="U116" i="14"/>
  <c r="V116" i="14"/>
  <c r="V121" i="14" s="1"/>
  <c r="W116" i="14"/>
  <c r="X116" i="14"/>
  <c r="X121" i="14" s="1"/>
  <c r="Y116" i="14"/>
  <c r="Y121" i="14" s="1"/>
  <c r="Z116" i="14"/>
  <c r="Z121" i="14" s="1"/>
  <c r="AA116" i="14"/>
  <c r="AA121" i="14" s="1"/>
  <c r="AB116" i="14"/>
  <c r="AB121" i="14" s="1"/>
  <c r="AC116" i="14"/>
  <c r="AC121" i="14" s="1"/>
  <c r="AD116" i="14"/>
  <c r="AD121" i="14" s="1"/>
  <c r="AE116" i="14"/>
  <c r="AE121" i="14" s="1"/>
  <c r="AF116" i="14"/>
  <c r="AF121" i="14" s="1"/>
  <c r="AG116" i="14"/>
  <c r="AG121" i="14" s="1"/>
  <c r="N124" i="14"/>
  <c r="O124" i="14"/>
  <c r="P124" i="14"/>
  <c r="Q124" i="14"/>
  <c r="R124" i="14"/>
  <c r="S124" i="14"/>
  <c r="T124" i="14"/>
  <c r="U124" i="14"/>
  <c r="V124" i="14"/>
  <c r="W124" i="14"/>
  <c r="X124" i="14"/>
  <c r="X123" i="14" s="1"/>
  <c r="B14" i="2"/>
  <c r="C117" i="14"/>
  <c r="I20" i="19"/>
  <c r="H20" i="19"/>
  <c r="I18" i="19"/>
  <c r="H18" i="19"/>
  <c r="I8" i="19"/>
  <c r="H8" i="19"/>
  <c r="I22" i="19"/>
  <c r="H22" i="19"/>
  <c r="I23" i="19"/>
  <c r="H23" i="19"/>
  <c r="I24" i="19"/>
  <c r="H24" i="19"/>
  <c r="I19" i="19"/>
  <c r="H19" i="19"/>
  <c r="C35" i="1"/>
  <c r="P84" i="16"/>
  <c r="O84" i="16"/>
  <c r="N84" i="16"/>
  <c r="M84" i="16"/>
  <c r="L84" i="16"/>
  <c r="P83" i="16"/>
  <c r="O83" i="16"/>
  <c r="N83" i="16"/>
  <c r="M83" i="16"/>
  <c r="L83" i="16"/>
  <c r="P82" i="16"/>
  <c r="O82" i="16"/>
  <c r="N82" i="16"/>
  <c r="M82" i="16"/>
  <c r="L82" i="16"/>
  <c r="P81" i="16"/>
  <c r="O81" i="16"/>
  <c r="N81" i="16"/>
  <c r="M81" i="16"/>
  <c r="L81" i="16"/>
  <c r="P80" i="16"/>
  <c r="O80" i="16"/>
  <c r="N80" i="16"/>
  <c r="M80" i="16"/>
  <c r="L80" i="16"/>
  <c r="P79" i="16"/>
  <c r="O79" i="16"/>
  <c r="N79" i="16"/>
  <c r="M79" i="16"/>
  <c r="L79" i="16"/>
  <c r="P78" i="16"/>
  <c r="O78" i="16"/>
  <c r="N78" i="16"/>
  <c r="M78" i="16"/>
  <c r="L78" i="16"/>
  <c r="P77" i="16"/>
  <c r="O77" i="16"/>
  <c r="N77" i="16"/>
  <c r="M77" i="16"/>
  <c r="L77" i="16"/>
  <c r="P76" i="16"/>
  <c r="O76" i="16"/>
  <c r="N76" i="16"/>
  <c r="M76" i="16"/>
  <c r="L76" i="16"/>
  <c r="K84" i="16"/>
  <c r="K83" i="16"/>
  <c r="K82" i="16"/>
  <c r="K81" i="16"/>
  <c r="K80" i="16"/>
  <c r="K79" i="16"/>
  <c r="K78" i="16"/>
  <c r="K77" i="16"/>
  <c r="K76" i="16"/>
  <c r="I27" i="19"/>
  <c r="H27" i="19"/>
  <c r="L47" i="8"/>
  <c r="L54" i="8" s="1"/>
  <c r="M49" i="8"/>
  <c r="M51" i="8" s="1"/>
  <c r="N48" i="8"/>
  <c r="N52" i="8" s="1"/>
  <c r="O49" i="8"/>
  <c r="O51" i="8" s="1"/>
  <c r="O48" i="8"/>
  <c r="O53" i="8" s="1"/>
  <c r="P49" i="8"/>
  <c r="P48" i="8"/>
  <c r="P46" i="8"/>
  <c r="P47" i="8"/>
  <c r="E132" i="49"/>
  <c r="E130" i="49" s="1"/>
  <c r="I13" i="19"/>
  <c r="H13" i="19"/>
  <c r="I15" i="19"/>
  <c r="H15" i="19"/>
  <c r="I6" i="19"/>
  <c r="H6" i="19"/>
  <c r="I17" i="19"/>
  <c r="H17" i="19"/>
  <c r="I11" i="19"/>
  <c r="H11" i="19"/>
  <c r="I9" i="19"/>
  <c r="H9" i="19"/>
  <c r="I10" i="19"/>
  <c r="H10" i="19"/>
  <c r="AK53" i="11"/>
  <c r="AK54" i="11"/>
  <c r="F60" i="1"/>
  <c r="AB90" i="14" s="1"/>
  <c r="AK55" i="11"/>
  <c r="F61" i="1"/>
  <c r="AD91" i="14" s="1"/>
  <c r="AK56" i="11"/>
  <c r="F62" i="1"/>
  <c r="AE92" i="14" s="1"/>
  <c r="AK57" i="11"/>
  <c r="F63" i="1"/>
  <c r="W93" i="14" s="1"/>
  <c r="AK58" i="11"/>
  <c r="F64" i="1"/>
  <c r="AE94" i="14" s="1"/>
  <c r="AK59" i="11"/>
  <c r="F65" i="1"/>
  <c r="Z95" i="14" s="1"/>
  <c r="A110" i="50"/>
  <c r="A40" i="50"/>
  <c r="A74" i="50" s="1"/>
  <c r="X117" i="14"/>
  <c r="Y117" i="14"/>
  <c r="Z117" i="14"/>
  <c r="AA117" i="14"/>
  <c r="AB117" i="14"/>
  <c r="AC117" i="14"/>
  <c r="AD117" i="14"/>
  <c r="AE117" i="14"/>
  <c r="AF117" i="14"/>
  <c r="AG117" i="14"/>
  <c r="X118" i="14"/>
  <c r="Y118" i="14"/>
  <c r="Z118" i="14"/>
  <c r="AA118" i="14"/>
  <c r="AB118" i="14"/>
  <c r="AC118" i="14"/>
  <c r="AD118" i="14"/>
  <c r="AE118" i="14"/>
  <c r="AF118" i="14"/>
  <c r="AG118" i="14"/>
  <c r="X119" i="14"/>
  <c r="Y119" i="14"/>
  <c r="Z119" i="14"/>
  <c r="AA119" i="14"/>
  <c r="AB119" i="14"/>
  <c r="AC119" i="14"/>
  <c r="AD119" i="14"/>
  <c r="AE119" i="14"/>
  <c r="AF119" i="14"/>
  <c r="AG119" i="14"/>
  <c r="AM53" i="11"/>
  <c r="AL56" i="11"/>
  <c r="AN56" i="11"/>
  <c r="A23" i="50"/>
  <c r="A57" i="50"/>
  <c r="A91" i="50" s="1"/>
  <c r="B93" i="2"/>
  <c r="B95" i="2"/>
  <c r="B88" i="2"/>
  <c r="B85" i="2"/>
  <c r="B77" i="2"/>
  <c r="F108" i="49"/>
  <c r="I16" i="19"/>
  <c r="I14" i="19"/>
  <c r="E147" i="2"/>
  <c r="E148" i="2"/>
  <c r="E149" i="2" s="1"/>
  <c r="E150" i="2" s="1"/>
  <c r="E151" i="2" s="1"/>
  <c r="A54" i="36"/>
  <c r="A55" i="36"/>
  <c r="A56" i="36"/>
  <c r="A53" i="36"/>
  <c r="B4" i="8"/>
  <c r="B3" i="46"/>
  <c r="B3" i="45"/>
  <c r="B2" i="43"/>
  <c r="B81" i="2"/>
  <c r="E24" i="49"/>
  <c r="E57" i="49"/>
  <c r="E213" i="49" s="1"/>
  <c r="E11" i="49"/>
  <c r="E210" i="49" s="1"/>
  <c r="E107" i="49"/>
  <c r="E206" i="49" s="1"/>
  <c r="E207" i="49" s="1"/>
  <c r="E203" i="49"/>
  <c r="E198" i="49"/>
  <c r="E124" i="49"/>
  <c r="E126" i="49" s="1"/>
  <c r="E128" i="49" s="1"/>
  <c r="E194" i="49"/>
  <c r="E191" i="49" s="1"/>
  <c r="E18" i="49"/>
  <c r="E182" i="49" s="1"/>
  <c r="E118" i="49"/>
  <c r="E161" i="49"/>
  <c r="E21" i="49"/>
  <c r="E185" i="49" s="1"/>
  <c r="E178" i="49"/>
  <c r="E175" i="49" s="1"/>
  <c r="E174" i="49"/>
  <c r="E177" i="49" s="1"/>
  <c r="E170" i="49"/>
  <c r="E171" i="49" s="1"/>
  <c r="E37" i="49"/>
  <c r="E166" i="49" s="1"/>
  <c r="E159" i="49" s="1"/>
  <c r="E140" i="49"/>
  <c r="E151" i="49"/>
  <c r="E144" i="49" s="1"/>
  <c r="E156" i="49"/>
  <c r="E163" i="49" s="1"/>
  <c r="E110" i="49"/>
  <c r="E152" i="49" s="1"/>
  <c r="E150" i="49"/>
  <c r="E113" i="49" s="1"/>
  <c r="E147" i="49"/>
  <c r="E138" i="49"/>
  <c r="E131" i="49"/>
  <c r="E134" i="49" s="1"/>
  <c r="E121" i="49"/>
  <c r="E127" i="49" s="1"/>
  <c r="E125" i="49"/>
  <c r="E123" i="49"/>
  <c r="E120" i="49"/>
  <c r="E119" i="49"/>
  <c r="E111" i="49"/>
  <c r="E109" i="49"/>
  <c r="E91" i="49"/>
  <c r="E90" i="49"/>
  <c r="E89" i="49"/>
  <c r="E88" i="49"/>
  <c r="E86" i="49"/>
  <c r="E82" i="49"/>
  <c r="E81" i="49"/>
  <c r="E80" i="49"/>
  <c r="E76" i="49"/>
  <c r="E67" i="49"/>
  <c r="E64" i="49"/>
  <c r="E63" i="49"/>
  <c r="E60" i="49"/>
  <c r="E59" i="49"/>
  <c r="E56" i="49"/>
  <c r="E47" i="49"/>
  <c r="E43" i="49"/>
  <c r="E42" i="49"/>
  <c r="E40" i="49"/>
  <c r="E39" i="49"/>
  <c r="E38" i="49"/>
  <c r="E33" i="49"/>
  <c r="E28" i="49"/>
  <c r="E26" i="49"/>
  <c r="E22" i="49"/>
  <c r="E19" i="49"/>
  <c r="E13" i="49"/>
  <c r="E9" i="49"/>
  <c r="E7" i="49"/>
  <c r="A41" i="36"/>
  <c r="A46" i="35"/>
  <c r="A46" i="38" s="1"/>
  <c r="A40" i="36"/>
  <c r="A45" i="35" s="1"/>
  <c r="A45" i="38" s="1"/>
  <c r="A39" i="36"/>
  <c r="A44" i="35"/>
  <c r="A44" i="38" s="1"/>
  <c r="A38" i="36"/>
  <c r="A43" i="35" s="1"/>
  <c r="A43" i="38" s="1"/>
  <c r="A37" i="36"/>
  <c r="A42" i="35"/>
  <c r="A42" i="38" s="1"/>
  <c r="A36" i="36"/>
  <c r="A41" i="35" s="1"/>
  <c r="A41" i="38" s="1"/>
  <c r="A35" i="36"/>
  <c r="A40" i="35"/>
  <c r="A40" i="38" s="1"/>
  <c r="A34" i="36"/>
  <c r="A39" i="35" s="1"/>
  <c r="A39" i="38" s="1"/>
  <c r="A32" i="36"/>
  <c r="A37" i="35"/>
  <c r="A30" i="36"/>
  <c r="A34" i="35"/>
  <c r="A34" i="38" s="1"/>
  <c r="A29" i="36"/>
  <c r="A33" i="35" s="1"/>
  <c r="A33" i="38" s="1"/>
  <c r="A28" i="36"/>
  <c r="A32" i="35"/>
  <c r="A32" i="38" s="1"/>
  <c r="A27" i="36"/>
  <c r="A31" i="35" s="1"/>
  <c r="A31" i="38" s="1"/>
  <c r="A26" i="36"/>
  <c r="A30" i="35"/>
  <c r="A30" i="38" s="1"/>
  <c r="A25" i="36"/>
  <c r="A28" i="35" s="1"/>
  <c r="A28" i="38" s="1"/>
  <c r="A24" i="36"/>
  <c r="A27" i="35"/>
  <c r="A27" i="38" s="1"/>
  <c r="A23" i="36"/>
  <c r="A25" i="35" s="1"/>
  <c r="A25" i="38" s="1"/>
  <c r="A21" i="36"/>
  <c r="A23" i="35"/>
  <c r="A19" i="36"/>
  <c r="A20" i="35"/>
  <c r="A20" i="38" s="1"/>
  <c r="A18" i="36"/>
  <c r="A19" i="35" s="1"/>
  <c r="A19" i="38" s="1"/>
  <c r="A17" i="36"/>
  <c r="A18" i="35"/>
  <c r="A18" i="38" s="1"/>
  <c r="A16" i="36"/>
  <c r="A17" i="35" s="1"/>
  <c r="A17" i="38" s="1"/>
  <c r="A15" i="36"/>
  <c r="A16" i="35"/>
  <c r="A16" i="38" s="1"/>
  <c r="A13" i="36"/>
  <c r="A14" i="35" s="1"/>
  <c r="A11" i="36"/>
  <c r="A11" i="35" s="1"/>
  <c r="A11" i="38"/>
  <c r="A10" i="36"/>
  <c r="A10" i="35"/>
  <c r="A10" i="38" s="1"/>
  <c r="A9" i="36"/>
  <c r="A9" i="35" s="1"/>
  <c r="A9" i="38" s="1"/>
  <c r="A8" i="36"/>
  <c r="A8" i="35"/>
  <c r="A8" i="38" s="1"/>
  <c r="A6" i="36"/>
  <c r="A6" i="35" s="1"/>
  <c r="A35" i="38"/>
  <c r="A29" i="38"/>
  <c r="A26" i="38"/>
  <c r="A21" i="38"/>
  <c r="A12" i="38"/>
  <c r="A32" i="8"/>
  <c r="A21" i="8"/>
  <c r="A13" i="8"/>
  <c r="W119" i="14"/>
  <c r="V119" i="14"/>
  <c r="U119" i="14"/>
  <c r="T119" i="14"/>
  <c r="S119" i="14"/>
  <c r="R119" i="14"/>
  <c r="Q119" i="14"/>
  <c r="P119" i="14"/>
  <c r="O119" i="14"/>
  <c r="N119" i="14"/>
  <c r="M119" i="14"/>
  <c r="L119" i="14"/>
  <c r="K119" i="14"/>
  <c r="J119" i="14"/>
  <c r="I119" i="14"/>
  <c r="H119" i="14"/>
  <c r="G119" i="14"/>
  <c r="F119" i="14"/>
  <c r="E119" i="14"/>
  <c r="D119" i="14"/>
  <c r="C119" i="14"/>
  <c r="W118" i="14"/>
  <c r="V118" i="14"/>
  <c r="U118" i="14"/>
  <c r="T118" i="14"/>
  <c r="S118" i="14"/>
  <c r="R118" i="14"/>
  <c r="Q118" i="14"/>
  <c r="P118" i="14"/>
  <c r="O118" i="14"/>
  <c r="N118" i="14"/>
  <c r="M118" i="14"/>
  <c r="L118" i="14"/>
  <c r="K118" i="14"/>
  <c r="J118" i="14"/>
  <c r="I118" i="14"/>
  <c r="H118" i="14"/>
  <c r="G118" i="14"/>
  <c r="F118" i="14"/>
  <c r="E118" i="14"/>
  <c r="D118" i="14"/>
  <c r="C118" i="14"/>
  <c r="W117" i="14"/>
  <c r="V117" i="14"/>
  <c r="U117" i="14"/>
  <c r="T117" i="14"/>
  <c r="S117" i="14"/>
  <c r="R117" i="14"/>
  <c r="Q117" i="14"/>
  <c r="P117" i="14"/>
  <c r="O117" i="14"/>
  <c r="N117" i="14"/>
  <c r="M117" i="14"/>
  <c r="L117" i="14"/>
  <c r="K117" i="14"/>
  <c r="J117" i="14"/>
  <c r="I117" i="14"/>
  <c r="H117" i="14"/>
  <c r="G117" i="14"/>
  <c r="F117" i="14"/>
  <c r="E117" i="14"/>
  <c r="D117" i="14"/>
  <c r="B106" i="2"/>
  <c r="B90" i="2"/>
  <c r="D19" i="1"/>
  <c r="B19" i="2" s="1"/>
  <c r="C19" i="1"/>
  <c r="E197" i="49"/>
  <c r="E200" i="49"/>
  <c r="E202" i="49" s="1"/>
  <c r="E141" i="49"/>
  <c r="E188" i="49"/>
  <c r="E162" i="49"/>
  <c r="E192" i="49"/>
  <c r="E186" i="49" s="1"/>
  <c r="E179" i="49"/>
  <c r="E176" i="49"/>
  <c r="E139" i="49"/>
  <c r="E193" i="49"/>
  <c r="E187" i="49" s="1"/>
  <c r="E199" i="49"/>
  <c r="E201" i="49" s="1"/>
  <c r="E183" i="49"/>
  <c r="E189" i="49" s="1"/>
  <c r="AL53" i="11"/>
  <c r="AL27" i="8"/>
  <c r="AP27" i="8"/>
  <c r="AT27" i="8"/>
  <c r="AL29" i="8"/>
  <c r="AP29" i="8"/>
  <c r="AT29" i="8"/>
  <c r="AM27" i="8"/>
  <c r="AQ27" i="8"/>
  <c r="AU27" i="8"/>
  <c r="AM29" i="8"/>
  <c r="AQ29" i="8"/>
  <c r="AU29" i="8"/>
  <c r="AN27" i="8"/>
  <c r="AR27" i="8"/>
  <c r="AN29" i="8"/>
  <c r="AR29" i="8"/>
  <c r="AO27" i="8"/>
  <c r="AS27" i="8"/>
  <c r="AO29" i="8"/>
  <c r="AL54" i="11"/>
  <c r="AL58" i="11"/>
  <c r="AS29" i="8"/>
  <c r="AM54" i="11"/>
  <c r="AM56" i="11"/>
  <c r="AM57" i="11"/>
  <c r="AL55" i="11"/>
  <c r="AN54" i="11"/>
  <c r="AL59" i="11"/>
  <c r="AM55" i="11"/>
  <c r="AL57" i="11"/>
  <c r="AM59" i="11"/>
  <c r="AM35" i="16"/>
  <c r="AM36" i="11" s="1"/>
  <c r="AQ35" i="16"/>
  <c r="AU35" i="16"/>
  <c r="AM45" i="16"/>
  <c r="AQ45" i="16"/>
  <c r="AU45" i="16"/>
  <c r="AT35" i="16"/>
  <c r="AN35" i="16"/>
  <c r="AR35" i="16"/>
  <c r="AR36" i="11" s="1"/>
  <c r="AN45" i="16"/>
  <c r="AR45" i="16"/>
  <c r="AP35" i="16"/>
  <c r="AP36" i="11" s="1"/>
  <c r="AO35" i="16"/>
  <c r="AS35" i="16"/>
  <c r="AS36" i="11" s="1"/>
  <c r="AO45" i="16"/>
  <c r="AS45" i="16"/>
  <c r="AL35" i="16"/>
  <c r="AP45" i="16"/>
  <c r="AT45" i="16"/>
  <c r="AL45" i="16"/>
  <c r="AU14" i="16"/>
  <c r="AK14" i="16"/>
  <c r="AN14" i="16"/>
  <c r="AQ14" i="16"/>
  <c r="AT14" i="16"/>
  <c r="AL14" i="16"/>
  <c r="AO14" i="16"/>
  <c r="AS14" i="16"/>
  <c r="AR14" i="16"/>
  <c r="AM14" i="16"/>
  <c r="AP14" i="16"/>
  <c r="I36" i="16"/>
  <c r="I37" i="11" s="1"/>
  <c r="G45" i="16"/>
  <c r="K38" i="8"/>
  <c r="B32" i="16"/>
  <c r="B33" i="11" s="1"/>
  <c r="AF45" i="16"/>
  <c r="G78" i="16"/>
  <c r="L25" i="16"/>
  <c r="L35" i="16"/>
  <c r="L36" i="11" s="1"/>
  <c r="C20" i="16"/>
  <c r="C20" i="11" s="1"/>
  <c r="G35" i="16"/>
  <c r="G36" i="11" s="1"/>
  <c r="G81" i="16"/>
  <c r="E84" i="16"/>
  <c r="E32" i="16"/>
  <c r="E33" i="11" s="1"/>
  <c r="C79" i="16"/>
  <c r="C40" i="8"/>
  <c r="L56" i="11"/>
  <c r="Q53" i="11"/>
  <c r="AA59" i="11"/>
  <c r="AI58" i="11"/>
  <c r="AD56" i="11"/>
  <c r="AI59" i="11"/>
  <c r="O54" i="16"/>
  <c r="O65" i="11" s="1"/>
  <c r="P61" i="16"/>
  <c r="P72" i="11" s="1"/>
  <c r="M26" i="8"/>
  <c r="O42" i="16"/>
  <c r="O43" i="11" s="1"/>
  <c r="P43" i="16"/>
  <c r="P44" i="11" s="1"/>
  <c r="K41" i="16"/>
  <c r="K42" i="11" s="1"/>
  <c r="U45" i="16"/>
  <c r="H23" i="16"/>
  <c r="D11" i="16"/>
  <c r="D11" i="11" s="1"/>
  <c r="I23" i="16"/>
  <c r="E11" i="16"/>
  <c r="E11" i="11" s="1"/>
  <c r="C11" i="16"/>
  <c r="C11" i="11" s="1"/>
  <c r="L11" i="16"/>
  <c r="L11" i="11" s="1"/>
  <c r="N23" i="16"/>
  <c r="N25" i="11" s="1"/>
  <c r="J11" i="16"/>
  <c r="J11" i="11" s="1"/>
  <c r="K23" i="16"/>
  <c r="K23" i="11" s="1"/>
  <c r="K11" i="16"/>
  <c r="K11" i="11" s="1"/>
  <c r="P37" i="16"/>
  <c r="P38" i="11" s="1"/>
  <c r="M37" i="16"/>
  <c r="M38" i="11" s="1"/>
  <c r="J37" i="16"/>
  <c r="J38" i="11" s="1"/>
  <c r="C37" i="16"/>
  <c r="C38" i="11" s="1"/>
  <c r="E8" i="8"/>
  <c r="M30" i="8"/>
  <c r="U54" i="11"/>
  <c r="B30" i="8"/>
  <c r="N54" i="11"/>
  <c r="T58" i="11"/>
  <c r="AB54" i="11"/>
  <c r="N58" i="16"/>
  <c r="N69" i="11" s="1"/>
  <c r="AE55" i="11"/>
  <c r="AJ58" i="11"/>
  <c r="L53" i="16"/>
  <c r="L64" i="11" s="1"/>
  <c r="L44" i="16"/>
  <c r="L45" i="11" s="1"/>
  <c r="K28" i="8"/>
  <c r="N26" i="8"/>
  <c r="L25" i="8"/>
  <c r="C23" i="16"/>
  <c r="P11" i="16"/>
  <c r="P11" i="11" s="1"/>
  <c r="L23" i="16"/>
  <c r="L25" i="11" s="1"/>
  <c r="M23" i="16"/>
  <c r="M25" i="11" s="1"/>
  <c r="I11" i="16"/>
  <c r="I11" i="11" s="1"/>
  <c r="G23" i="16"/>
  <c r="G23" i="11" s="1"/>
  <c r="O11" i="16"/>
  <c r="O11" i="11" s="1"/>
  <c r="N11" i="16"/>
  <c r="N11" i="11" s="1"/>
  <c r="D37" i="16"/>
  <c r="D38" i="11" s="1"/>
  <c r="N37" i="16"/>
  <c r="G37" i="16"/>
  <c r="G38" i="11" s="1"/>
  <c r="P38" i="8"/>
  <c r="L28" i="8"/>
  <c r="M24" i="8"/>
  <c r="H10" i="8"/>
  <c r="R53" i="11"/>
  <c r="O59" i="16"/>
  <c r="O70" i="11" s="1"/>
  <c r="I18" i="8"/>
  <c r="Q59" i="11"/>
  <c r="V56" i="11"/>
  <c r="AG56" i="11"/>
  <c r="AF54" i="11"/>
  <c r="N62" i="16"/>
  <c r="N73" i="11" s="1"/>
  <c r="L16" i="8"/>
  <c r="M61" i="16"/>
  <c r="M72" i="11" s="1"/>
  <c r="P60" i="16"/>
  <c r="P71" i="11" s="1"/>
  <c r="O61" i="16"/>
  <c r="O72" i="11" s="1"/>
  <c r="N44" i="16"/>
  <c r="N45" i="11" s="1"/>
  <c r="O28" i="8"/>
  <c r="AC45" i="16"/>
  <c r="P23" i="16"/>
  <c r="P25" i="11" s="1"/>
  <c r="M11" i="16"/>
  <c r="M11" i="11" s="1"/>
  <c r="O23" i="16"/>
  <c r="O23" i="11" s="1"/>
  <c r="F23" i="16"/>
  <c r="F23" i="11" s="1"/>
  <c r="B23" i="16"/>
  <c r="B23" i="11" s="1"/>
  <c r="H37" i="16"/>
  <c r="H38" i="11" s="1"/>
  <c r="E37" i="16"/>
  <c r="E38" i="11" s="1"/>
  <c r="K37" i="16"/>
  <c r="K38" i="11" s="1"/>
  <c r="L26" i="8"/>
  <c r="N42" i="16"/>
  <c r="N43" i="11" s="1"/>
  <c r="X54" i="11"/>
  <c r="M58" i="16"/>
  <c r="M69" i="11" s="1"/>
  <c r="N54" i="16"/>
  <c r="N65" i="11" s="1"/>
  <c r="G11" i="16"/>
  <c r="G11" i="11" s="1"/>
  <c r="E23" i="16"/>
  <c r="E23" i="11" s="1"/>
  <c r="I37" i="16"/>
  <c r="I38" i="11" s="1"/>
  <c r="B37" i="16"/>
  <c r="B38" i="11" s="1"/>
  <c r="N25" i="8"/>
  <c r="P44" i="16"/>
  <c r="P45" i="11" s="1"/>
  <c r="P12" i="16"/>
  <c r="P12" i="11" s="1"/>
  <c r="AI35" i="16"/>
  <c r="AI36" i="11" s="1"/>
  <c r="O34" i="16"/>
  <c r="O35" i="11" s="1"/>
  <c r="AH45" i="16"/>
  <c r="Q45" i="16"/>
  <c r="N45" i="16"/>
  <c r="F10" i="16"/>
  <c r="F10" i="11" s="1"/>
  <c r="O9" i="16"/>
  <c r="O9" i="11" s="1"/>
  <c r="G38" i="16"/>
  <c r="G39" i="11" s="1"/>
  <c r="AE54" i="11"/>
  <c r="O18" i="8"/>
  <c r="N23" i="8"/>
  <c r="K23" i="8"/>
  <c r="D23" i="16"/>
  <c r="F11" i="16"/>
  <c r="F11" i="11" s="1"/>
  <c r="H11" i="16"/>
  <c r="H11" i="11" s="1"/>
  <c r="O37" i="16"/>
  <c r="O38" i="11" s="1"/>
  <c r="O44" i="16"/>
  <c r="O45" i="11" s="1"/>
  <c r="P41" i="16"/>
  <c r="P42" i="11" s="1"/>
  <c r="AG45" i="16"/>
  <c r="AF35" i="16"/>
  <c r="AF36" i="11" s="1"/>
  <c r="L19" i="16"/>
  <c r="O39" i="16"/>
  <c r="AH35" i="16"/>
  <c r="V35" i="16"/>
  <c r="V36" i="11" s="1"/>
  <c r="M38" i="16"/>
  <c r="M39" i="11" s="1"/>
  <c r="N33" i="16"/>
  <c r="N34" i="11" s="1"/>
  <c r="N18" i="16"/>
  <c r="AJ45" i="16"/>
  <c r="D43" i="16"/>
  <c r="D44" i="11" s="1"/>
  <c r="K40" i="8"/>
  <c r="AC57" i="11"/>
  <c r="L17" i="8"/>
  <c r="L37" i="16"/>
  <c r="L38" i="11" s="1"/>
  <c r="F37" i="16"/>
  <c r="F38" i="11" s="1"/>
  <c r="L23" i="8"/>
  <c r="O41" i="16"/>
  <c r="O42" i="11" s="1"/>
  <c r="P26" i="8"/>
  <c r="Y45" i="16"/>
  <c r="P47" i="16"/>
  <c r="P48" i="11" s="1"/>
  <c r="P22" i="16"/>
  <c r="P22" i="11" s="1"/>
  <c r="M32" i="16"/>
  <c r="M33" i="11" s="1"/>
  <c r="P31" i="16"/>
  <c r="P32" i="11" s="1"/>
  <c r="M10" i="16"/>
  <c r="M10" i="11" s="1"/>
  <c r="L24" i="16"/>
  <c r="L24" i="11" s="1"/>
  <c r="M12" i="16"/>
  <c r="M12" i="11" s="1"/>
  <c r="AG35" i="16"/>
  <c r="AG36" i="11" s="1"/>
  <c r="AG53" i="11"/>
  <c r="M28" i="8"/>
  <c r="AJ35" i="16"/>
  <c r="AI45" i="16"/>
  <c r="O36" i="16"/>
  <c r="O37" i="11" s="1"/>
  <c r="P35" i="16"/>
  <c r="L20" i="16"/>
  <c r="L20" i="11" s="1"/>
  <c r="I78" i="16"/>
  <c r="P9" i="16"/>
  <c r="M46" i="16"/>
  <c r="M47" i="11" s="1"/>
  <c r="I21" i="16"/>
  <c r="I21" i="11" s="1"/>
  <c r="AA45" i="16"/>
  <c r="P33" i="16"/>
  <c r="P34" i="11" s="1"/>
  <c r="O18" i="16"/>
  <c r="O18" i="11" s="1"/>
  <c r="K33" i="16"/>
  <c r="K34" i="11" s="1"/>
  <c r="C18" i="16"/>
  <c r="C18" i="11" s="1"/>
  <c r="B24" i="16"/>
  <c r="B24" i="11" s="1"/>
  <c r="O10" i="16"/>
  <c r="O10" i="11" s="1"/>
  <c r="M47" i="16"/>
  <c r="M48" i="11" s="1"/>
  <c r="I39" i="16"/>
  <c r="D22" i="16"/>
  <c r="D22" i="11" s="1"/>
  <c r="B57" i="16"/>
  <c r="B68" i="11" s="1"/>
  <c r="Z45" i="16"/>
  <c r="W35" i="16"/>
  <c r="W36" i="11" s="1"/>
  <c r="P24" i="16"/>
  <c r="P24" i="11" s="1"/>
  <c r="O32" i="16"/>
  <c r="O33" i="11" s="1"/>
  <c r="N36" i="16"/>
  <c r="N37" i="11" s="1"/>
  <c r="M45" i="16"/>
  <c r="L46" i="16"/>
  <c r="L47" i="11" s="1"/>
  <c r="H31" i="16"/>
  <c r="H32" i="11" s="1"/>
  <c r="D31" i="16"/>
  <c r="D32" i="11" s="1"/>
  <c r="B80" i="16"/>
  <c r="X45" i="16"/>
  <c r="P45" i="16"/>
  <c r="P10" i="16"/>
  <c r="P10" i="11" s="1"/>
  <c r="O20" i="16"/>
  <c r="O20" i="11" s="1"/>
  <c r="N25" i="16"/>
  <c r="M39" i="16"/>
  <c r="M40" i="11" s="1"/>
  <c r="M18" i="16"/>
  <c r="K20" i="16"/>
  <c r="K20" i="11" s="1"/>
  <c r="G18" i="16"/>
  <c r="G80" i="16"/>
  <c r="B84" i="16"/>
  <c r="H80" i="16"/>
  <c r="E78" i="16"/>
  <c r="B76" i="16"/>
  <c r="C22" i="16"/>
  <c r="C22" i="11" s="1"/>
  <c r="E19" i="16"/>
  <c r="E19" i="11" s="1"/>
  <c r="F9" i="16"/>
  <c r="F9" i="11" s="1"/>
  <c r="G47" i="16"/>
  <c r="G48" i="11" s="1"/>
  <c r="H46" i="16"/>
  <c r="H47" i="11" s="1"/>
  <c r="I34" i="16"/>
  <c r="I35" i="11" s="1"/>
  <c r="J18" i="16"/>
  <c r="J18" i="11" s="1"/>
  <c r="J38" i="16"/>
  <c r="K32" i="16"/>
  <c r="K33" i="11" s="1"/>
  <c r="L18" i="16"/>
  <c r="L18" i="11" s="1"/>
  <c r="L39" i="16"/>
  <c r="B18" i="16"/>
  <c r="B18" i="11" s="1"/>
  <c r="G83" i="16"/>
  <c r="F80" i="16"/>
  <c r="B78" i="16"/>
  <c r="C25" i="16"/>
  <c r="D18" i="16"/>
  <c r="D18" i="11" s="1"/>
  <c r="F21" i="16"/>
  <c r="F21" i="11" s="1"/>
  <c r="G10" i="16"/>
  <c r="G10" i="11" s="1"/>
  <c r="G39" i="16"/>
  <c r="G40" i="11" s="1"/>
  <c r="H38" i="16"/>
  <c r="H39" i="11" s="1"/>
  <c r="I31" i="16"/>
  <c r="I32" i="11" s="1"/>
  <c r="J12" i="16"/>
  <c r="J12" i="11" s="1"/>
  <c r="J36" i="16"/>
  <c r="J37" i="11" s="1"/>
  <c r="K21" i="16"/>
  <c r="K47" i="16"/>
  <c r="K48" i="11" s="1"/>
  <c r="B60" i="16"/>
  <c r="B71" i="11" s="1"/>
  <c r="F82" i="16"/>
  <c r="H79" i="16"/>
  <c r="E77" i="16"/>
  <c r="C46" i="16"/>
  <c r="C47" i="11" s="1"/>
  <c r="D34" i="16"/>
  <c r="D35" i="11" s="1"/>
  <c r="E33" i="16"/>
  <c r="F22" i="16"/>
  <c r="F22" i="11" s="1"/>
  <c r="H19" i="16"/>
  <c r="H19" i="11" s="1"/>
  <c r="I9" i="16"/>
  <c r="I9" i="11" s="1"/>
  <c r="J9" i="16"/>
  <c r="J9" i="11" s="1"/>
  <c r="J33" i="16"/>
  <c r="J34" i="11" s="1"/>
  <c r="K22" i="16"/>
  <c r="K22" i="11" s="1"/>
  <c r="M8" i="8"/>
  <c r="O25" i="8"/>
  <c r="N22" i="16"/>
  <c r="N22" i="11" s="1"/>
  <c r="O19" i="16"/>
  <c r="O19" i="11" s="1"/>
  <c r="J31" i="16"/>
  <c r="J32" i="11" s="1"/>
  <c r="AE45" i="16"/>
  <c r="R35" i="16"/>
  <c r="R36" i="11" s="1"/>
  <c r="O21" i="16"/>
  <c r="O25" i="16"/>
  <c r="M25" i="16"/>
  <c r="AD45" i="16"/>
  <c r="AA35" i="16"/>
  <c r="AA36" i="11" s="1"/>
  <c r="R45" i="16"/>
  <c r="P21" i="16"/>
  <c r="N9" i="16"/>
  <c r="N9" i="11" s="1"/>
  <c r="J19" i="16"/>
  <c r="J19" i="11" s="1"/>
  <c r="G77" i="16"/>
  <c r="P20" i="16"/>
  <c r="P20" i="11" s="1"/>
  <c r="N39" i="16"/>
  <c r="N40" i="11" s="1"/>
  <c r="M36" i="16"/>
  <c r="M37" i="11" s="1"/>
  <c r="H22" i="16"/>
  <c r="H22" i="11" s="1"/>
  <c r="C9" i="16"/>
  <c r="C9" i="11" s="1"/>
  <c r="Z35" i="16"/>
  <c r="Z36" i="11" s="1"/>
  <c r="P18" i="16"/>
  <c r="P18" i="11" s="1"/>
  <c r="O22" i="16"/>
  <c r="O22" i="11" s="1"/>
  <c r="N31" i="16"/>
  <c r="N32" i="11" s="1"/>
  <c r="M34" i="16"/>
  <c r="M35" i="11" s="1"/>
  <c r="L32" i="16"/>
  <c r="L33" i="11" s="1"/>
  <c r="G33" i="16"/>
  <c r="G34" i="11" s="1"/>
  <c r="C33" i="16"/>
  <c r="C34" i="11" s="1"/>
  <c r="G84" i="16"/>
  <c r="AC35" i="16"/>
  <c r="U35" i="16"/>
  <c r="U36" i="11" s="1"/>
  <c r="P36" i="16"/>
  <c r="P37" i="11" s="1"/>
  <c r="O46" i="16"/>
  <c r="O47" i="11" s="1"/>
  <c r="N47" i="16"/>
  <c r="N48" i="11" s="1"/>
  <c r="N21" i="16"/>
  <c r="N21" i="11" s="1"/>
  <c r="M35" i="16"/>
  <c r="M36" i="11" s="1"/>
  <c r="M9" i="16"/>
  <c r="M9" i="11" s="1"/>
  <c r="J35" i="16"/>
  <c r="J36" i="11" s="1"/>
  <c r="F25" i="16"/>
  <c r="H83" i="16"/>
  <c r="B53" i="16"/>
  <c r="B64" i="11" s="1"/>
  <c r="C83" i="16"/>
  <c r="C80" i="16"/>
  <c r="I77" i="16"/>
  <c r="C31" i="16"/>
  <c r="C32" i="11" s="1"/>
  <c r="D35" i="16"/>
  <c r="D36" i="11" s="1"/>
  <c r="E25" i="16"/>
  <c r="F18" i="16"/>
  <c r="F18" i="11" s="1"/>
  <c r="H21" i="16"/>
  <c r="H21" i="11" s="1"/>
  <c r="I10" i="16"/>
  <c r="I10" i="11" s="1"/>
  <c r="I38" i="16"/>
  <c r="I39" i="11" s="1"/>
  <c r="J22" i="16"/>
  <c r="J22" i="11" s="1"/>
  <c r="J47" i="16"/>
  <c r="J48" i="11" s="1"/>
  <c r="K36" i="16"/>
  <c r="K37" i="11" s="1"/>
  <c r="L22" i="16"/>
  <c r="L22" i="11" s="1"/>
  <c r="M8" i="16"/>
  <c r="B59" i="16"/>
  <c r="B70" i="11" s="1"/>
  <c r="I82" i="16"/>
  <c r="I79" i="16"/>
  <c r="F77" i="16"/>
  <c r="C34" i="16"/>
  <c r="C35" i="11" s="1"/>
  <c r="D33" i="16"/>
  <c r="E22" i="16"/>
  <c r="E22" i="11" s="1"/>
  <c r="G19" i="16"/>
  <c r="G19" i="11" s="1"/>
  <c r="H9" i="16"/>
  <c r="H9" i="11" s="1"/>
  <c r="L53" i="11"/>
  <c r="P58" i="16"/>
  <c r="P69" i="11" s="1"/>
  <c r="J23" i="16"/>
  <c r="P23" i="8"/>
  <c r="AB35" i="16"/>
  <c r="AB36" i="11" s="1"/>
  <c r="E21" i="16"/>
  <c r="X35" i="16"/>
  <c r="X36" i="11" s="1"/>
  <c r="N35" i="16"/>
  <c r="N36" i="11" s="1"/>
  <c r="F19" i="16"/>
  <c r="P38" i="16"/>
  <c r="P39" i="11" s="1"/>
  <c r="O8" i="16"/>
  <c r="L45" i="16"/>
  <c r="D82" i="16"/>
  <c r="E79" i="16"/>
  <c r="AD35" i="16"/>
  <c r="AD36" i="11" s="1"/>
  <c r="O45" i="16"/>
  <c r="M33" i="16"/>
  <c r="H47" i="16"/>
  <c r="H48" i="11" s="1"/>
  <c r="J82" i="16"/>
  <c r="O47" i="16"/>
  <c r="O48" i="11" s="1"/>
  <c r="N32" i="16"/>
  <c r="N33" i="11" s="1"/>
  <c r="L33" i="16"/>
  <c r="G9" i="16"/>
  <c r="G9" i="11" s="1"/>
  <c r="F76" i="16"/>
  <c r="P39" i="16"/>
  <c r="P40" i="11" s="1"/>
  <c r="P8" i="16"/>
  <c r="P8" i="11" s="1"/>
  <c r="O12" i="16"/>
  <c r="O12" i="11" s="1"/>
  <c r="N20" i="16"/>
  <c r="N20" i="11" s="1"/>
  <c r="M24" i="16"/>
  <c r="M24" i="11" s="1"/>
  <c r="L10" i="16"/>
  <c r="L10" i="11" s="1"/>
  <c r="F34" i="16"/>
  <c r="F35" i="11" s="1"/>
  <c r="AB45" i="16"/>
  <c r="T45" i="16"/>
  <c r="P32" i="16"/>
  <c r="P33" i="11" s="1"/>
  <c r="O33" i="16"/>
  <c r="O34" i="11" s="1"/>
  <c r="N38" i="16"/>
  <c r="N39" i="11" s="1"/>
  <c r="N12" i="16"/>
  <c r="M31" i="16"/>
  <c r="M32" i="11" s="1"/>
  <c r="L36" i="16"/>
  <c r="L37" i="11" s="1"/>
  <c r="E35" i="16"/>
  <c r="E36" i="11" s="1"/>
  <c r="E82" i="16"/>
  <c r="G79" i="16"/>
  <c r="C77" i="16"/>
  <c r="C47" i="16"/>
  <c r="C48" i="11" s="1"/>
  <c r="D46" i="16"/>
  <c r="D47" i="11" s="1"/>
  <c r="E34" i="16"/>
  <c r="E35" i="11" s="1"/>
  <c r="F33" i="16"/>
  <c r="F34" i="11" s="1"/>
  <c r="G22" i="16"/>
  <c r="G22" i="11" s="1"/>
  <c r="I19" i="16"/>
  <c r="I47" i="16"/>
  <c r="I48" i="11" s="1"/>
  <c r="K10" i="16"/>
  <c r="K45" i="16"/>
  <c r="L31" i="16"/>
  <c r="L32" i="11" s="1"/>
  <c r="K49" i="8"/>
  <c r="K51" i="8" s="1"/>
  <c r="J81" i="16"/>
  <c r="D79" i="16"/>
  <c r="J76" i="16"/>
  <c r="C10" i="16"/>
  <c r="C39" i="16"/>
  <c r="C40" i="11" s="1"/>
  <c r="D38" i="16"/>
  <c r="E31" i="16"/>
  <c r="E32" i="11" s="1"/>
  <c r="F35" i="16"/>
  <c r="F36" i="11" s="1"/>
  <c r="G25" i="16"/>
  <c r="H18" i="16"/>
  <c r="I45" i="16"/>
  <c r="J24" i="16"/>
  <c r="J24" i="11" s="1"/>
  <c r="K8" i="16"/>
  <c r="K8" i="11" s="1"/>
  <c r="K34" i="16"/>
  <c r="K35" i="11" s="1"/>
  <c r="B47" i="16"/>
  <c r="B48" i="11" s="1"/>
  <c r="C84" i="16"/>
  <c r="B81" i="16"/>
  <c r="F78" i="16"/>
  <c r="C76" i="16"/>
  <c r="D19" i="16"/>
  <c r="D19" i="11" s="1"/>
  <c r="E9" i="16"/>
  <c r="E9" i="11" s="1"/>
  <c r="F47" i="16"/>
  <c r="F48" i="11" s="1"/>
  <c r="G46" i="16"/>
  <c r="G47" i="11" s="1"/>
  <c r="H34" i="16"/>
  <c r="H35" i="11" s="1"/>
  <c r="I33" i="16"/>
  <c r="J21" i="16"/>
  <c r="J21" i="11" s="1"/>
  <c r="K9" i="16"/>
  <c r="K9" i="11" s="1"/>
  <c r="M21" i="16"/>
  <c r="M21" i="11" s="1"/>
  <c r="P25" i="16"/>
  <c r="V45" i="16"/>
  <c r="F39" i="16"/>
  <c r="F40" i="11" s="1"/>
  <c r="J39" i="16"/>
  <c r="J40" i="11" s="1"/>
  <c r="N10" i="16"/>
  <c r="N10" i="11" s="1"/>
  <c r="B77" i="16"/>
  <c r="O24" i="16"/>
  <c r="O24" i="11" s="1"/>
  <c r="K46" i="16"/>
  <c r="K47" i="11" s="1"/>
  <c r="J78" i="16"/>
  <c r="D21" i="16"/>
  <c r="D21" i="11" s="1"/>
  <c r="G31" i="16"/>
  <c r="J34" i="16"/>
  <c r="J35" i="11" s="1"/>
  <c r="B12" i="16"/>
  <c r="B12" i="11" s="1"/>
  <c r="H78" i="16"/>
  <c r="D9" i="16"/>
  <c r="D9" i="11" s="1"/>
  <c r="G34" i="16"/>
  <c r="G35" i="11" s="1"/>
  <c r="J8" i="16"/>
  <c r="J8" i="11" s="1"/>
  <c r="K12" i="16"/>
  <c r="K12" i="11" s="1"/>
  <c r="B22" i="16"/>
  <c r="B22" i="11" s="1"/>
  <c r="E83" i="16"/>
  <c r="J77" i="16"/>
  <c r="D25" i="16"/>
  <c r="H10" i="16"/>
  <c r="H10" i="11" s="1"/>
  <c r="I46" i="16"/>
  <c r="I47" i="11" s="1"/>
  <c r="K18" i="16"/>
  <c r="K18" i="11" s="1"/>
  <c r="L8" i="16"/>
  <c r="L8" i="11" s="1"/>
  <c r="L34" i="16"/>
  <c r="L35" i="11" s="1"/>
  <c r="I24" i="16"/>
  <c r="I24" i="11" s="1"/>
  <c r="H45" i="16"/>
  <c r="H20" i="16"/>
  <c r="H20" i="11" s="1"/>
  <c r="G36" i="16"/>
  <c r="G37" i="11" s="1"/>
  <c r="G12" i="16"/>
  <c r="G12" i="11" s="1"/>
  <c r="F32" i="16"/>
  <c r="F8" i="16"/>
  <c r="F8" i="11" s="1"/>
  <c r="E24" i="16"/>
  <c r="E24" i="11" s="1"/>
  <c r="D45" i="16"/>
  <c r="D20" i="16"/>
  <c r="C36" i="16"/>
  <c r="C37" i="11" s="1"/>
  <c r="C12" i="16"/>
  <c r="C12" i="11" s="1"/>
  <c r="D77" i="16"/>
  <c r="B79" i="16"/>
  <c r="J80" i="16"/>
  <c r="D83" i="16"/>
  <c r="B62" i="16"/>
  <c r="B73" i="11" s="1"/>
  <c r="B10" i="16"/>
  <c r="D81" i="16"/>
  <c r="B83" i="16"/>
  <c r="I84" i="16"/>
  <c r="AK45" i="16"/>
  <c r="K48" i="8"/>
  <c r="K53" i="8" s="1"/>
  <c r="K46" i="8"/>
  <c r="P57" i="16"/>
  <c r="P68" i="11" s="1"/>
  <c r="M35" i="8"/>
  <c r="L37" i="8"/>
  <c r="O34" i="8"/>
  <c r="N57" i="16"/>
  <c r="N68" i="11" s="1"/>
  <c r="M36" i="8"/>
  <c r="P37" i="8"/>
  <c r="O38" i="8"/>
  <c r="M39" i="8"/>
  <c r="C38" i="16"/>
  <c r="N24" i="16"/>
  <c r="N24" i="11" s="1"/>
  <c r="P46" i="16"/>
  <c r="P47" i="11" s="1"/>
  <c r="B36" i="16"/>
  <c r="E46" i="16"/>
  <c r="E47" i="11" s="1"/>
  <c r="T35" i="16"/>
  <c r="T36" i="11" s="1"/>
  <c r="P34" i="16"/>
  <c r="P35" i="11" s="1"/>
  <c r="M19" i="16"/>
  <c r="M19" i="11" s="1"/>
  <c r="Q35" i="16"/>
  <c r="Q36" i="11" s="1"/>
  <c r="N34" i="16"/>
  <c r="N35" i="11" s="1"/>
  <c r="B35" i="16"/>
  <c r="B36" i="11" s="1"/>
  <c r="G76" i="16"/>
  <c r="E10" i="16"/>
  <c r="E10" i="11" s="1"/>
  <c r="H35" i="16"/>
  <c r="K19" i="16"/>
  <c r="K19" i="11" s="1"/>
  <c r="B38" i="16"/>
  <c r="B39" i="11" s="1"/>
  <c r="D76" i="16"/>
  <c r="H33" i="16"/>
  <c r="H34" i="11" s="1"/>
  <c r="J20" i="16"/>
  <c r="J20" i="11" s="1"/>
  <c r="K25" i="16"/>
  <c r="B31" i="16"/>
  <c r="B32" i="11" s="1"/>
  <c r="I81" i="16"/>
  <c r="H76" i="16"/>
  <c r="C21" i="16"/>
  <c r="C21" i="11" s="1"/>
  <c r="D39" i="16"/>
  <c r="D40" i="11" s="1"/>
  <c r="F31" i="16"/>
  <c r="F32" i="11" s="1"/>
  <c r="H25" i="16"/>
  <c r="K31" i="16"/>
  <c r="K32" i="11" s="1"/>
  <c r="L12" i="16"/>
  <c r="L12" i="11" s="1"/>
  <c r="L38" i="16"/>
  <c r="L39" i="11" s="1"/>
  <c r="I20" i="16"/>
  <c r="I20" i="11" s="1"/>
  <c r="H36" i="16"/>
  <c r="H37" i="11" s="1"/>
  <c r="H12" i="16"/>
  <c r="H12" i="11" s="1"/>
  <c r="G32" i="16"/>
  <c r="G33" i="11" s="1"/>
  <c r="G8" i="16"/>
  <c r="F24" i="16"/>
  <c r="F24" i="11" s="1"/>
  <c r="E45" i="16"/>
  <c r="E20" i="16"/>
  <c r="E20" i="11" s="1"/>
  <c r="D36" i="16"/>
  <c r="D37" i="11" s="1"/>
  <c r="D12" i="16"/>
  <c r="D12" i="11" s="1"/>
  <c r="C32" i="16"/>
  <c r="C33" i="11" s="1"/>
  <c r="C8" i="16"/>
  <c r="C8" i="11" s="1"/>
  <c r="H77" i="16"/>
  <c r="F79" i="16"/>
  <c r="F81" i="16"/>
  <c r="I83" i="16"/>
  <c r="H81" i="16"/>
  <c r="F83" i="16"/>
  <c r="AK35" i="16"/>
  <c r="B8" i="16"/>
  <c r="B8" i="11" s="1"/>
  <c r="B58" i="16"/>
  <c r="B69" i="11" s="1"/>
  <c r="B46" i="16"/>
  <c r="B47" i="11" s="1"/>
  <c r="B25" i="16"/>
  <c r="P35" i="8"/>
  <c r="P34" i="8"/>
  <c r="N36" i="8"/>
  <c r="N35" i="8"/>
  <c r="L57" i="16"/>
  <c r="L68" i="11" s="1"/>
  <c r="L35" i="8"/>
  <c r="O39" i="8"/>
  <c r="M40" i="8"/>
  <c r="M37" i="8"/>
  <c r="L39" i="8"/>
  <c r="N40" i="8"/>
  <c r="X53" i="11"/>
  <c r="B11" i="16"/>
  <c r="B11" i="11" s="1"/>
  <c r="S35" i="16"/>
  <c r="S36" i="11" s="1"/>
  <c r="S45" i="16"/>
  <c r="K24" i="16"/>
  <c r="K24" i="11" s="1"/>
  <c r="O31" i="16"/>
  <c r="O32" i="11" s="1"/>
  <c r="O35" i="16"/>
  <c r="O36" i="11" s="1"/>
  <c r="E81" i="16"/>
  <c r="W45" i="16"/>
  <c r="O38" i="16"/>
  <c r="O39" i="11" s="1"/>
  <c r="I35" i="16"/>
  <c r="I36" i="11" s="1"/>
  <c r="Y35" i="16"/>
  <c r="Y36" i="11" s="1"/>
  <c r="N8" i="16"/>
  <c r="N8" i="11" s="1"/>
  <c r="D47" i="16"/>
  <c r="D48" i="11" s="1"/>
  <c r="H84" i="16"/>
  <c r="E39" i="16"/>
  <c r="E40" i="11" s="1"/>
  <c r="I25" i="16"/>
  <c r="L9" i="16"/>
  <c r="D84" i="16"/>
  <c r="E47" i="16"/>
  <c r="E48" i="11" s="1"/>
  <c r="I22" i="16"/>
  <c r="I22" i="11" s="1"/>
  <c r="J32" i="16"/>
  <c r="J33" i="11" s="1"/>
  <c r="K38" i="16"/>
  <c r="D80" i="16"/>
  <c r="C35" i="16"/>
  <c r="C36" i="11" s="1"/>
  <c r="E18" i="16"/>
  <c r="E18" i="11" s="1"/>
  <c r="G21" i="16"/>
  <c r="G21" i="11" s="1"/>
  <c r="H39" i="16"/>
  <c r="H40" i="11" s="1"/>
  <c r="J25" i="16"/>
  <c r="K35" i="16"/>
  <c r="L21" i="16"/>
  <c r="L21" i="11" s="1"/>
  <c r="L47" i="16"/>
  <c r="L48" i="11" s="1"/>
  <c r="I12" i="16"/>
  <c r="I12" i="11" s="1"/>
  <c r="H32" i="16"/>
  <c r="H33" i="11" s="1"/>
  <c r="H8" i="16"/>
  <c r="G24" i="16"/>
  <c r="G24" i="11" s="1"/>
  <c r="F45" i="16"/>
  <c r="F20" i="16"/>
  <c r="F20" i="11" s="1"/>
  <c r="E36" i="16"/>
  <c r="E37" i="11" s="1"/>
  <c r="E12" i="16"/>
  <c r="E12" i="11" s="1"/>
  <c r="D32" i="16"/>
  <c r="D33" i="11" s="1"/>
  <c r="D8" i="16"/>
  <c r="D8" i="11" s="1"/>
  <c r="C24" i="16"/>
  <c r="C24" i="11" s="1"/>
  <c r="E76" i="16"/>
  <c r="C78" i="16"/>
  <c r="J79" i="16"/>
  <c r="B82" i="16"/>
  <c r="F84" i="16"/>
  <c r="B45" i="16"/>
  <c r="B19" i="16"/>
  <c r="B19" i="11" s="1"/>
  <c r="C82" i="16"/>
  <c r="J83" i="16"/>
  <c r="B61" i="16"/>
  <c r="B72" i="11" s="1"/>
  <c r="B39" i="16"/>
  <c r="B40" i="11" s="1"/>
  <c r="B54" i="16"/>
  <c r="B65" i="11" s="1"/>
  <c r="B33" i="16"/>
  <c r="B34" i="11" s="1"/>
  <c r="B21" i="16"/>
  <c r="B21" i="11" s="1"/>
  <c r="B9" i="16"/>
  <c r="B9" i="11" s="1"/>
  <c r="K36" i="8"/>
  <c r="O36" i="8"/>
  <c r="L34" i="8"/>
  <c r="O35" i="8"/>
  <c r="L38" i="8"/>
  <c r="L40" i="8"/>
  <c r="O37" i="8"/>
  <c r="N39" i="8"/>
  <c r="M38" i="8"/>
  <c r="P40" i="8"/>
  <c r="O40" i="8"/>
  <c r="P39" i="8"/>
  <c r="P36" i="8"/>
  <c r="L36" i="8"/>
  <c r="K57" i="16"/>
  <c r="B20" i="16"/>
  <c r="G82" i="16"/>
  <c r="I76" i="16"/>
  <c r="C45" i="16"/>
  <c r="F12" i="16"/>
  <c r="F12" i="11" s="1"/>
  <c r="H24" i="16"/>
  <c r="H24" i="11" s="1"/>
  <c r="K39" i="16"/>
  <c r="K40" i="11" s="1"/>
  <c r="E38" i="16"/>
  <c r="E39" i="11" s="1"/>
  <c r="J84" i="16"/>
  <c r="F46" i="16"/>
  <c r="F47" i="11" s="1"/>
  <c r="J10" i="16"/>
  <c r="D78" i="16"/>
  <c r="N38" i="8"/>
  <c r="M57" i="16"/>
  <c r="M68" i="11" s="1"/>
  <c r="O57" i="16"/>
  <c r="O68" i="11" s="1"/>
  <c r="B34" i="16"/>
  <c r="B35" i="11" s="1"/>
  <c r="I80" i="16"/>
  <c r="H82" i="16"/>
  <c r="D24" i="16"/>
  <c r="D24" i="11" s="1"/>
  <c r="F36" i="16"/>
  <c r="F37" i="11" s="1"/>
  <c r="I8" i="16"/>
  <c r="I8" i="11" s="1"/>
  <c r="J46" i="16"/>
  <c r="J47" i="11" s="1"/>
  <c r="D10" i="16"/>
  <c r="D10" i="11" s="1"/>
  <c r="C19" i="16"/>
  <c r="F38" i="16"/>
  <c r="F39" i="11" s="1"/>
  <c r="M22" i="16"/>
  <c r="M22" i="11" s="1"/>
  <c r="N46" i="16"/>
  <c r="N47" i="11" s="1"/>
  <c r="N19" i="16"/>
  <c r="N19" i="11" s="1"/>
  <c r="N37" i="8"/>
  <c r="N34" i="8"/>
  <c r="M34" i="8"/>
  <c r="B56" i="16"/>
  <c r="E80" i="16"/>
  <c r="E8" i="16"/>
  <c r="E8" i="11" s="1"/>
  <c r="G20" i="16"/>
  <c r="G20" i="11" s="1"/>
  <c r="I32" i="16"/>
  <c r="I33" i="11" s="1"/>
  <c r="I18" i="16"/>
  <c r="I18" i="11" s="1"/>
  <c r="J45" i="16"/>
  <c r="C81" i="16"/>
  <c r="P19" i="16"/>
  <c r="P19" i="11" s="1"/>
  <c r="M20" i="16"/>
  <c r="M20" i="11" s="1"/>
  <c r="B112" i="2"/>
  <c r="N55" i="16"/>
  <c r="F55" i="16"/>
  <c r="F66" i="11" s="1"/>
  <c r="B55" i="16"/>
  <c r="B66" i="11" s="1"/>
  <c r="E55" i="16"/>
  <c r="E66" i="11" s="1"/>
  <c r="AD27" i="8"/>
  <c r="F48" i="8"/>
  <c r="F53" i="8" s="1"/>
  <c r="F27" i="8"/>
  <c r="AH29" i="8"/>
  <c r="Q29" i="8"/>
  <c r="AC27" i="8"/>
  <c r="Z27" i="8"/>
  <c r="V29" i="8"/>
  <c r="I27" i="8"/>
  <c r="E29" i="8"/>
  <c r="AK29" i="8"/>
  <c r="D27" i="8"/>
  <c r="T27" i="8"/>
  <c r="AJ27" i="8"/>
  <c r="P29" i="8"/>
  <c r="AF29" i="8"/>
  <c r="J46" i="8"/>
  <c r="E48" i="8"/>
  <c r="D54" i="16"/>
  <c r="G27" i="8"/>
  <c r="W27" i="8"/>
  <c r="C29" i="8"/>
  <c r="S29" i="8"/>
  <c r="AI29" i="8"/>
  <c r="H47" i="8"/>
  <c r="H54" i="8" s="1"/>
  <c r="E49" i="8"/>
  <c r="E51" i="8" s="1"/>
  <c r="B56" i="11"/>
  <c r="J61" i="16"/>
  <c r="J72" i="11" s="1"/>
  <c r="G59" i="16"/>
  <c r="G70" i="11" s="1"/>
  <c r="C59" i="16"/>
  <c r="C70" i="11" s="1"/>
  <c r="B53" i="11"/>
  <c r="I53" i="11"/>
  <c r="G61" i="16"/>
  <c r="G72" i="11" s="1"/>
  <c r="F11" i="8"/>
  <c r="E54" i="11"/>
  <c r="C43" i="16"/>
  <c r="C44" i="11" s="1"/>
  <c r="J60" i="16"/>
  <c r="J71" i="11" s="1"/>
  <c r="B59" i="11"/>
  <c r="F53" i="11"/>
  <c r="C57" i="16"/>
  <c r="C68" i="11" s="1"/>
  <c r="G54" i="16"/>
  <c r="D15" i="8"/>
  <c r="D48" i="8"/>
  <c r="D53" i="8" s="1"/>
  <c r="B41" i="16"/>
  <c r="B42" i="11" s="1"/>
  <c r="C54" i="11"/>
  <c r="G55" i="11"/>
  <c r="C61" i="16"/>
  <c r="C72" i="11" s="1"/>
  <c r="E44" i="16"/>
  <c r="E45" i="11" s="1"/>
  <c r="I42" i="16"/>
  <c r="I43" i="11" s="1"/>
  <c r="I15" i="8"/>
  <c r="H15" i="8"/>
  <c r="J35" i="8"/>
  <c r="F53" i="16"/>
  <c r="F64" i="11" s="1"/>
  <c r="I54" i="16"/>
  <c r="I65" i="11" s="1"/>
  <c r="C9" i="8"/>
  <c r="E19" i="8"/>
  <c r="B58" i="11"/>
  <c r="D56" i="11"/>
  <c r="G56" i="11"/>
  <c r="J56" i="11"/>
  <c r="D59" i="16"/>
  <c r="D70" i="11" s="1"/>
  <c r="F57" i="16"/>
  <c r="F68" i="11" s="1"/>
  <c r="I59" i="16"/>
  <c r="I70" i="11" s="1"/>
  <c r="B11" i="8"/>
  <c r="F25" i="8"/>
  <c r="J55" i="16"/>
  <c r="J66" i="11" s="1"/>
  <c r="C55" i="16"/>
  <c r="C66" i="11" s="1"/>
  <c r="I55" i="16"/>
  <c r="I66" i="11" s="1"/>
  <c r="J29" i="8"/>
  <c r="AK27" i="8"/>
  <c r="V27" i="8"/>
  <c r="H46" i="8"/>
  <c r="C46" i="8"/>
  <c r="I29" i="8"/>
  <c r="D49" i="8"/>
  <c r="D51" i="8" s="1"/>
  <c r="B27" i="8"/>
  <c r="AH27" i="8"/>
  <c r="AD29" i="8"/>
  <c r="Q27" i="8"/>
  <c r="M29" i="8"/>
  <c r="D46" i="8"/>
  <c r="H27" i="8"/>
  <c r="X27" i="8"/>
  <c r="D29" i="8"/>
  <c r="T29" i="8"/>
  <c r="AJ29" i="8"/>
  <c r="E47" i="8"/>
  <c r="E54" i="8" s="1"/>
  <c r="J48" i="8"/>
  <c r="J52" i="8" s="1"/>
  <c r="C55" i="11"/>
  <c r="K27" i="8"/>
  <c r="AA27" i="8"/>
  <c r="G29" i="8"/>
  <c r="W29" i="8"/>
  <c r="E46" i="8"/>
  <c r="J49" i="8"/>
  <c r="J51" i="8" s="1"/>
  <c r="E59" i="11"/>
  <c r="C56" i="11"/>
  <c r="J41" i="16"/>
  <c r="J42" i="11" s="1"/>
  <c r="I58" i="16"/>
  <c r="I69" i="11" s="1"/>
  <c r="D57" i="11"/>
  <c r="C62" i="16"/>
  <c r="C73" i="11" s="1"/>
  <c r="H56" i="16"/>
  <c r="H67" i="11" s="1"/>
  <c r="F41" i="16"/>
  <c r="F42" i="11" s="1"/>
  <c r="G57" i="11"/>
  <c r="D42" i="16"/>
  <c r="D43" i="11" s="1"/>
  <c r="H9" i="8"/>
  <c r="C58" i="11"/>
  <c r="H59" i="11"/>
  <c r="D60" i="16"/>
  <c r="D71" i="11" s="1"/>
  <c r="I60" i="16"/>
  <c r="I71" i="11" s="1"/>
  <c r="H48" i="8"/>
  <c r="H52" i="8" s="1"/>
  <c r="G41" i="16"/>
  <c r="G42" i="11" s="1"/>
  <c r="D55" i="11"/>
  <c r="H55" i="11"/>
  <c r="C54" i="16"/>
  <c r="C65" i="11" s="1"/>
  <c r="F44" i="16"/>
  <c r="F45" i="11" s="1"/>
  <c r="J44" i="16"/>
  <c r="J45" i="11" s="1"/>
  <c r="H24" i="8"/>
  <c r="P55" i="11"/>
  <c r="G57" i="16"/>
  <c r="G68" i="11" s="1"/>
  <c r="J56" i="16"/>
  <c r="J67" i="11" s="1"/>
  <c r="F10" i="8"/>
  <c r="D38" i="8"/>
  <c r="B54" i="11"/>
  <c r="E58" i="11"/>
  <c r="H58" i="11"/>
  <c r="B42" i="16"/>
  <c r="B43" i="11" s="1"/>
  <c r="D44" i="16"/>
  <c r="D45" i="11" s="1"/>
  <c r="G62" i="16"/>
  <c r="G73" i="11" s="1"/>
  <c r="I44" i="16"/>
  <c r="I45" i="11" s="1"/>
  <c r="D8" i="8"/>
  <c r="C15" i="8"/>
  <c r="J39" i="8"/>
  <c r="O55" i="16"/>
  <c r="O66" i="11" s="1"/>
  <c r="L55" i="16"/>
  <c r="L66" i="11" s="1"/>
  <c r="M55" i="16"/>
  <c r="M66" i="11" s="1"/>
  <c r="U27" i="8"/>
  <c r="Z29" i="8"/>
  <c r="AG29" i="8"/>
  <c r="B29" i="8"/>
  <c r="H49" i="8"/>
  <c r="H51" i="8" s="1"/>
  <c r="Y29" i="8"/>
  <c r="B48" i="8"/>
  <c r="G59" i="11"/>
  <c r="J27" i="8"/>
  <c r="F29" i="8"/>
  <c r="G46" i="8"/>
  <c r="Y27" i="8"/>
  <c r="U29" i="8"/>
  <c r="C47" i="8"/>
  <c r="C54" i="8" s="1"/>
  <c r="G48" i="8"/>
  <c r="G52" i="8" s="1"/>
  <c r="L27" i="8"/>
  <c r="AB27" i="8"/>
  <c r="H29" i="8"/>
  <c r="X29" i="8"/>
  <c r="B46" i="8"/>
  <c r="I47" i="8"/>
  <c r="I54" i="8" s="1"/>
  <c r="F49" i="8"/>
  <c r="F51" i="8" s="1"/>
  <c r="G42" i="16"/>
  <c r="G43" i="11" s="1"/>
  <c r="O27" i="8"/>
  <c r="AE27" i="8"/>
  <c r="K29" i="8"/>
  <c r="AA29" i="8"/>
  <c r="I46" i="8"/>
  <c r="C48" i="8"/>
  <c r="C53" i="8" s="1"/>
  <c r="J57" i="11"/>
  <c r="H54" i="11"/>
  <c r="F57" i="11"/>
  <c r="D54" i="11"/>
  <c r="B17" i="8"/>
  <c r="F58" i="11"/>
  <c r="C42" i="16"/>
  <c r="C43" i="11" s="1"/>
  <c r="B55" i="11"/>
  <c r="I58" i="11"/>
  <c r="F54" i="16"/>
  <c r="F65" i="11" s="1"/>
  <c r="E17" i="8"/>
  <c r="D58" i="11"/>
  <c r="I57" i="11"/>
  <c r="E60" i="16"/>
  <c r="E71" i="11" s="1"/>
  <c r="C49" i="8"/>
  <c r="C51" i="8" s="1"/>
  <c r="B57" i="11"/>
  <c r="E55" i="11"/>
  <c r="I55" i="11"/>
  <c r="D58" i="16"/>
  <c r="D69" i="11" s="1"/>
  <c r="G43" i="16"/>
  <c r="G44" i="11" s="1"/>
  <c r="G9" i="8"/>
  <c r="I8" i="8"/>
  <c r="N10" i="8"/>
  <c r="G30" i="8"/>
  <c r="H59" i="16"/>
  <c r="H70" i="11" s="1"/>
  <c r="J11" i="8"/>
  <c r="D41" i="16"/>
  <c r="D42" i="11" s="1"/>
  <c r="C57" i="11"/>
  <c r="E53" i="11"/>
  <c r="I59" i="11"/>
  <c r="C58" i="16"/>
  <c r="E57" i="16"/>
  <c r="E68" i="11" s="1"/>
  <c r="H62" i="16"/>
  <c r="H73" i="11" s="1"/>
  <c r="J57" i="16"/>
  <c r="J68" i="11" s="1"/>
  <c r="B9" i="8"/>
  <c r="D16" i="8"/>
  <c r="D62" i="16"/>
  <c r="D73" i="11" s="1"/>
  <c r="N27" i="8"/>
  <c r="E27" i="8"/>
  <c r="N29" i="8"/>
  <c r="AC29" i="8"/>
  <c r="AF27" i="8"/>
  <c r="S27" i="8"/>
  <c r="D47" i="8"/>
  <c r="D54" i="8" s="1"/>
  <c r="F60" i="16"/>
  <c r="F71" i="11" s="1"/>
  <c r="G53" i="11"/>
  <c r="B44" i="16"/>
  <c r="B45" i="11" s="1"/>
  <c r="J53" i="11"/>
  <c r="J54" i="11"/>
  <c r="I10" i="8"/>
  <c r="F62" i="16"/>
  <c r="F73" i="11" s="1"/>
  <c r="H41" i="16"/>
  <c r="H42" i="11" s="1"/>
  <c r="C53" i="16"/>
  <c r="C64" i="11" s="1"/>
  <c r="J9" i="8"/>
  <c r="E59" i="16"/>
  <c r="E70" i="11" s="1"/>
  <c r="F42" i="16"/>
  <c r="F43" i="11" s="1"/>
  <c r="I62" i="16"/>
  <c r="I73" i="11" s="1"/>
  <c r="J53" i="16"/>
  <c r="J64" i="11" s="1"/>
  <c r="D9" i="8"/>
  <c r="G15" i="8"/>
  <c r="C34" i="8"/>
  <c r="G17" i="8"/>
  <c r="F34" i="8"/>
  <c r="F9" i="8"/>
  <c r="I11" i="8"/>
  <c r="C17" i="8"/>
  <c r="B26" i="8"/>
  <c r="C39" i="8"/>
  <c r="H23" i="8"/>
  <c r="B35" i="8"/>
  <c r="M19" i="8"/>
  <c r="H18" i="8"/>
  <c r="I24" i="8"/>
  <c r="J28" i="8"/>
  <c r="D36" i="8"/>
  <c r="E39" i="8"/>
  <c r="S56" i="11"/>
  <c r="F23" i="8"/>
  <c r="G26" i="8"/>
  <c r="H34" i="8"/>
  <c r="B38" i="8"/>
  <c r="H41" i="8"/>
  <c r="I40" i="8"/>
  <c r="K54" i="11"/>
  <c r="W58" i="11"/>
  <c r="F59" i="11"/>
  <c r="H57" i="11"/>
  <c r="J55" i="11"/>
  <c r="C44" i="16"/>
  <c r="C45" i="11" s="1"/>
  <c r="E62" i="16"/>
  <c r="E73" i="11" s="1"/>
  <c r="F59" i="16"/>
  <c r="F70" i="11" s="1"/>
  <c r="G44" i="16"/>
  <c r="G45" i="11" s="1"/>
  <c r="I61" i="16"/>
  <c r="J58" i="16"/>
  <c r="J69" i="11" s="1"/>
  <c r="E9" i="8"/>
  <c r="C11" i="8"/>
  <c r="J15" i="8"/>
  <c r="H17" i="8"/>
  <c r="I19" i="8"/>
  <c r="C25" i="8"/>
  <c r="F28" i="8"/>
  <c r="J34" i="8"/>
  <c r="D37" i="8"/>
  <c r="G39" i="8"/>
  <c r="O19" i="8"/>
  <c r="K58" i="11"/>
  <c r="AA56" i="11"/>
  <c r="V59" i="11"/>
  <c r="P57" i="11"/>
  <c r="K16" i="8"/>
  <c r="G47" i="8"/>
  <c r="G54" i="8" s="1"/>
  <c r="M27" i="8"/>
  <c r="F47" i="8"/>
  <c r="F54" i="8" s="1"/>
  <c r="K47" i="8"/>
  <c r="K54" i="8" s="1"/>
  <c r="L29" i="8"/>
  <c r="AI27" i="8"/>
  <c r="J58" i="11"/>
  <c r="E56" i="16"/>
  <c r="E67" i="11" s="1"/>
  <c r="H58" i="16"/>
  <c r="H69" i="11" s="1"/>
  <c r="F58" i="16"/>
  <c r="F69" i="11" s="1"/>
  <c r="G49" i="8"/>
  <c r="G51" i="8" s="1"/>
  <c r="E61" i="16"/>
  <c r="E72" i="11" s="1"/>
  <c r="H42" i="16"/>
  <c r="H43" i="11" s="1"/>
  <c r="C53" i="11"/>
  <c r="E43" i="16"/>
  <c r="E44" i="11" s="1"/>
  <c r="J17" i="8"/>
  <c r="E53" i="16"/>
  <c r="E64" i="11" s="1"/>
  <c r="G58" i="16"/>
  <c r="G69" i="11" s="1"/>
  <c r="I56" i="16"/>
  <c r="I67" i="11" s="1"/>
  <c r="C10" i="8"/>
  <c r="F16" i="8"/>
  <c r="D41" i="8"/>
  <c r="J19" i="8"/>
  <c r="C26" i="8"/>
  <c r="F18" i="8"/>
  <c r="G37" i="8"/>
  <c r="B10" i="8"/>
  <c r="E15" i="8"/>
  <c r="I17" i="8"/>
  <c r="I28" i="8"/>
  <c r="N19" i="8"/>
  <c r="D25" i="8"/>
  <c r="F36" i="8"/>
  <c r="F19" i="8"/>
  <c r="G25" i="8"/>
  <c r="I30" i="8"/>
  <c r="J36" i="8"/>
  <c r="B40" i="8"/>
  <c r="D18" i="8"/>
  <c r="D24" i="8"/>
  <c r="E28" i="8"/>
  <c r="G35" i="8"/>
  <c r="H38" i="8"/>
  <c r="K61" i="16"/>
  <c r="K72" i="11" s="1"/>
  <c r="O56" i="11"/>
  <c r="L19" i="8"/>
  <c r="L59" i="11"/>
  <c r="AB55" i="11"/>
  <c r="F55" i="11"/>
  <c r="H53" i="11"/>
  <c r="B43" i="16"/>
  <c r="B44" i="11" s="1"/>
  <c r="D61" i="16"/>
  <c r="D72" i="11" s="1"/>
  <c r="E58" i="16"/>
  <c r="E69" i="11" s="1"/>
  <c r="F43" i="16"/>
  <c r="F44" i="11" s="1"/>
  <c r="H61" i="16"/>
  <c r="H72" i="11" s="1"/>
  <c r="I57" i="16"/>
  <c r="I68" i="11" s="1"/>
  <c r="J54" i="16"/>
  <c r="B8" i="8"/>
  <c r="I9" i="8"/>
  <c r="G11" i="8"/>
  <c r="E16" i="8"/>
  <c r="C18" i="8"/>
  <c r="E23" i="8"/>
  <c r="H25" i="8"/>
  <c r="C30" i="8"/>
  <c r="F35" i="8"/>
  <c r="I37" i="8"/>
  <c r="D40" i="8"/>
  <c r="N57" i="11"/>
  <c r="Z55" i="11"/>
  <c r="U58" i="11"/>
  <c r="O58" i="11"/>
  <c r="P55" i="16"/>
  <c r="P66" i="11" s="1"/>
  <c r="J47" i="8"/>
  <c r="J54" i="8" s="1"/>
  <c r="B47" i="8"/>
  <c r="B54" i="8" s="1"/>
  <c r="B49" i="8"/>
  <c r="B51" i="8" s="1"/>
  <c r="I49" i="8"/>
  <c r="I51" i="8" s="1"/>
  <c r="AB29" i="8"/>
  <c r="C41" i="16"/>
  <c r="C42" i="11" s="1"/>
  <c r="O29" i="8"/>
  <c r="I48" i="8"/>
  <c r="I53" i="8" s="1"/>
  <c r="H56" i="11"/>
  <c r="E10" i="8"/>
  <c r="E41" i="16"/>
  <c r="E42" i="11" s="1"/>
  <c r="G8" i="8"/>
  <c r="C59" i="11"/>
  <c r="H43" i="16"/>
  <c r="H44" i="11" s="1"/>
  <c r="F54" i="11"/>
  <c r="H53" i="16"/>
  <c r="H64" i="11" s="1"/>
  <c r="D56" i="16"/>
  <c r="D67" i="11" s="1"/>
  <c r="F61" i="16"/>
  <c r="G53" i="16"/>
  <c r="G64" i="11" s="1"/>
  <c r="I43" i="16"/>
  <c r="I44" i="11" s="1"/>
  <c r="C8" i="8"/>
  <c r="J10" i="8"/>
  <c r="F17" i="8"/>
  <c r="C16" i="8"/>
  <c r="H28" i="8"/>
  <c r="I35" i="8"/>
  <c r="E24" i="8"/>
  <c r="H40" i="8"/>
  <c r="G10" i="8"/>
  <c r="B16" i="8"/>
  <c r="B19" i="8"/>
  <c r="C35" i="8"/>
  <c r="I26" i="8"/>
  <c r="C38" i="8"/>
  <c r="M58" i="11"/>
  <c r="D23" i="8"/>
  <c r="F26" i="8"/>
  <c r="G34" i="8"/>
  <c r="H37" i="8"/>
  <c r="G41" i="8"/>
  <c r="J18" i="8"/>
  <c r="B25" i="8"/>
  <c r="D30" i="8"/>
  <c r="E36" i="8"/>
  <c r="F39" i="8"/>
  <c r="R55" i="11"/>
  <c r="M59" i="16"/>
  <c r="M70" i="11" s="1"/>
  <c r="Q54" i="11"/>
  <c r="D53" i="11"/>
  <c r="G58" i="11"/>
  <c r="I56" i="11"/>
  <c r="C60" i="16"/>
  <c r="C71" i="11" s="1"/>
  <c r="D57" i="16"/>
  <c r="D68" i="11" s="1"/>
  <c r="E54" i="16"/>
  <c r="E65" i="11" s="1"/>
  <c r="G60" i="16"/>
  <c r="G71" i="11" s="1"/>
  <c r="H57" i="16"/>
  <c r="H68" i="11" s="1"/>
  <c r="I53" i="16"/>
  <c r="I64" i="11" s="1"/>
  <c r="J42" i="16"/>
  <c r="J43" i="11" s="1"/>
  <c r="F8" i="8"/>
  <c r="D10" i="8"/>
  <c r="B15" i="8"/>
  <c r="I16" i="8"/>
  <c r="G18" i="8"/>
  <c r="J23" i="8"/>
  <c r="E26" i="8"/>
  <c r="H30" i="8"/>
  <c r="B36" i="8"/>
  <c r="F38" i="8"/>
  <c r="C41" i="8"/>
  <c r="X59" i="11"/>
  <c r="AJ57" i="11"/>
  <c r="Y54" i="11"/>
  <c r="R57" i="11"/>
  <c r="N59" i="11"/>
  <c r="F46" i="8"/>
  <c r="I41" i="16"/>
  <c r="I42" i="11" s="1"/>
  <c r="F56" i="11"/>
  <c r="H16" i="8"/>
  <c r="F56" i="16"/>
  <c r="F67" i="11" s="1"/>
  <c r="H11" i="8"/>
  <c r="J38" i="8"/>
  <c r="G16" i="8"/>
  <c r="E30" i="8"/>
  <c r="D28" i="8"/>
  <c r="K56" i="11"/>
  <c r="C37" i="8"/>
  <c r="V57" i="11"/>
  <c r="E56" i="11"/>
  <c r="D53" i="16"/>
  <c r="D64" i="11" s="1"/>
  <c r="J62" i="16"/>
  <c r="J73" i="11" s="1"/>
  <c r="F15" i="8"/>
  <c r="J26" i="8"/>
  <c r="K19" i="8"/>
  <c r="AD53" i="11"/>
  <c r="O53" i="18" s="1"/>
  <c r="K56" i="16"/>
  <c r="K67" i="11" s="1"/>
  <c r="P30" i="8"/>
  <c r="L30" i="8"/>
  <c r="J40" i="8"/>
  <c r="AB53" i="11"/>
  <c r="W56" i="11"/>
  <c r="P53" i="11"/>
  <c r="L57" i="11"/>
  <c r="K62" i="16"/>
  <c r="K73" i="11" s="1"/>
  <c r="O11" i="8"/>
  <c r="K11" i="8"/>
  <c r="Z57" i="11"/>
  <c r="T53" i="11"/>
  <c r="N53" i="11"/>
  <c r="K55" i="11"/>
  <c r="M41" i="8"/>
  <c r="F41" i="8"/>
  <c r="H39" i="8"/>
  <c r="J37" i="8"/>
  <c r="C36" i="8"/>
  <c r="E34" i="8"/>
  <c r="G28" i="8"/>
  <c r="I25" i="8"/>
  <c r="B24" i="8"/>
  <c r="D19" i="8"/>
  <c r="K35" i="8"/>
  <c r="L58" i="11"/>
  <c r="M57" i="11"/>
  <c r="N56" i="11"/>
  <c r="O55" i="11"/>
  <c r="P54" i="11"/>
  <c r="S58" i="11"/>
  <c r="W54" i="11"/>
  <c r="AB57" i="11"/>
  <c r="Q55" i="11"/>
  <c r="R54" i="11"/>
  <c r="S53" i="11"/>
  <c r="D53" i="18" s="1"/>
  <c r="U59" i="11"/>
  <c r="V58" i="11"/>
  <c r="W57" i="11"/>
  <c r="X56" i="11"/>
  <c r="Y55" i="11"/>
  <c r="Z54" i="11"/>
  <c r="AA53" i="11"/>
  <c r="AC59" i="11"/>
  <c r="AF55" i="11"/>
  <c r="AC56" i="11"/>
  <c r="AH59" i="11"/>
  <c r="AJ59" i="11"/>
  <c r="L10" i="8"/>
  <c r="R29" i="8"/>
  <c r="R27" i="8"/>
  <c r="C27" i="8"/>
  <c r="D59" i="11"/>
  <c r="E11" i="8"/>
  <c r="I54" i="11"/>
  <c r="H60" i="16"/>
  <c r="H71" i="11" s="1"/>
  <c r="B23" i="8"/>
  <c r="B28" i="8"/>
  <c r="I23" i="8"/>
  <c r="I39" i="8"/>
  <c r="E35" i="8"/>
  <c r="G19" i="8"/>
  <c r="E40" i="8"/>
  <c r="G54" i="11"/>
  <c r="E42" i="16"/>
  <c r="E43" i="11" s="1"/>
  <c r="D17" i="8"/>
  <c r="D34" i="8"/>
  <c r="V53" i="11"/>
  <c r="K60" i="16"/>
  <c r="K71" i="11" s="1"/>
  <c r="O30" i="8"/>
  <c r="K30" i="8"/>
  <c r="F40" i="8"/>
  <c r="AB59" i="11"/>
  <c r="T55" i="11"/>
  <c r="O54" i="11"/>
  <c r="K15" i="8"/>
  <c r="K59" i="16"/>
  <c r="K70" i="11" s="1"/>
  <c r="N11" i="8"/>
  <c r="AF59" i="11"/>
  <c r="Y56" i="11"/>
  <c r="T59" i="11"/>
  <c r="M54" i="11"/>
  <c r="K57" i="11"/>
  <c r="P41" i="8"/>
  <c r="L41" i="8"/>
  <c r="B41" i="8"/>
  <c r="D39" i="8"/>
  <c r="F37" i="8"/>
  <c r="H35" i="8"/>
  <c r="J30" i="8"/>
  <c r="C28" i="8"/>
  <c r="E25" i="8"/>
  <c r="G23" i="8"/>
  <c r="H54" i="16"/>
  <c r="H65" i="11" s="1"/>
  <c r="AG27" i="8"/>
  <c r="AE29" i="8"/>
  <c r="E57" i="11"/>
  <c r="J43" i="16"/>
  <c r="J44" i="11" s="1"/>
  <c r="J59" i="16"/>
  <c r="J70" i="11" s="1"/>
  <c r="J16" i="8"/>
  <c r="E37" i="8"/>
  <c r="B18" i="8"/>
  <c r="G38" i="8"/>
  <c r="J25" i="8"/>
  <c r="K53" i="16"/>
  <c r="K64" i="11" s="1"/>
  <c r="J59" i="11"/>
  <c r="G56" i="16"/>
  <c r="G67" i="11" s="1"/>
  <c r="J8" i="8"/>
  <c r="C19" i="8"/>
  <c r="H36" i="8"/>
  <c r="K58" i="16"/>
  <c r="K69" i="11" s="1"/>
  <c r="Q56" i="11"/>
  <c r="N59" i="16"/>
  <c r="N70" i="11" s="1"/>
  <c r="N30" i="8"/>
  <c r="I41" i="8"/>
  <c r="Y58" i="11"/>
  <c r="S54" i="11"/>
  <c r="N55" i="11"/>
  <c r="K18" i="8"/>
  <c r="M11" i="8"/>
  <c r="AD59" i="11"/>
  <c r="X55" i="11"/>
  <c r="Q58" i="11"/>
  <c r="L55" i="11"/>
  <c r="K59" i="11"/>
  <c r="O41" i="8"/>
  <c r="K41" i="8"/>
  <c r="G40" i="8"/>
  <c r="I38" i="8"/>
  <c r="B37" i="8"/>
  <c r="D35" i="8"/>
  <c r="F30" i="8"/>
  <c r="H26" i="8"/>
  <c r="J24" i="8"/>
  <c r="C23" i="8"/>
  <c r="L59" i="16"/>
  <c r="L70" i="11" s="1"/>
  <c r="K39" i="8"/>
  <c r="K10" i="8"/>
  <c r="L54" i="11"/>
  <c r="M53" i="11"/>
  <c r="O59" i="11"/>
  <c r="P58" i="11"/>
  <c r="Q57" i="11"/>
  <c r="U56" i="11"/>
  <c r="Z59" i="11"/>
  <c r="AE58" i="11"/>
  <c r="R58" i="11"/>
  <c r="S57" i="11"/>
  <c r="T56" i="11"/>
  <c r="U55" i="11"/>
  <c r="V54" i="11"/>
  <c r="W53" i="11"/>
  <c r="Y59" i="11"/>
  <c r="Z58" i="11"/>
  <c r="AA57" i="11"/>
  <c r="AE35" i="16"/>
  <c r="AE36" i="11" s="1"/>
  <c r="N24" i="8"/>
  <c r="L42" i="16"/>
  <c r="L43" i="11" s="1"/>
  <c r="K44" i="16"/>
  <c r="K45" i="11" s="1"/>
  <c r="O26" i="8"/>
  <c r="K42" i="16"/>
  <c r="K43" i="11" s="1"/>
  <c r="L24" i="8"/>
  <c r="N43" i="16"/>
  <c r="N44" i="11" s="1"/>
  <c r="N41" i="16"/>
  <c r="N42" i="11" s="1"/>
  <c r="M42" i="16"/>
  <c r="M43" i="11" s="1"/>
  <c r="P25" i="8"/>
  <c r="K43" i="16"/>
  <c r="K44" i="11" s="1"/>
  <c r="M41" i="16"/>
  <c r="M42" i="11" s="1"/>
  <c r="O8" i="8"/>
  <c r="N15" i="8"/>
  <c r="P8" i="8"/>
  <c r="O9" i="8"/>
  <c r="O17" i="8"/>
  <c r="N60" i="16"/>
  <c r="N71" i="11" s="1"/>
  <c r="L9" i="8"/>
  <c r="M10" i="8"/>
  <c r="L54" i="16"/>
  <c r="L65" i="11" s="1"/>
  <c r="P53" i="16"/>
  <c r="P64" i="11" s="1"/>
  <c r="L56" i="16"/>
  <c r="L67" i="11" s="1"/>
  <c r="O56" i="16"/>
  <c r="M53" i="16"/>
  <c r="M64" i="11" s="1"/>
  <c r="L60" i="16"/>
  <c r="L71" i="11" s="1"/>
  <c r="O60" i="16"/>
  <c r="O71" i="11" s="1"/>
  <c r="AI53" i="11"/>
  <c r="AH54" i="11"/>
  <c r="AG55" i="11"/>
  <c r="AF56" i="11"/>
  <c r="AE57" i="11"/>
  <c r="AD58" i="11"/>
  <c r="AJ53" i="11"/>
  <c r="AH57" i="11"/>
  <c r="AD55" i="11"/>
  <c r="AG54" i="11"/>
  <c r="AB56" i="11"/>
  <c r="Z56" i="11"/>
  <c r="X58" i="11"/>
  <c r="U53" i="11"/>
  <c r="S55" i="11"/>
  <c r="AG58" i="11"/>
  <c r="V55" i="11"/>
  <c r="P56" i="11"/>
  <c r="N58" i="11"/>
  <c r="K8" i="8"/>
  <c r="H19" i="8"/>
  <c r="I34" i="8"/>
  <c r="J41" i="8"/>
  <c r="K54" i="16"/>
  <c r="K65" i="11" s="1"/>
  <c r="AC58" i="11"/>
  <c r="X57" i="11"/>
  <c r="AA54" i="11"/>
  <c r="H44" i="16"/>
  <c r="H45" i="11" s="1"/>
  <c r="B34" i="8"/>
  <c r="D11" i="8"/>
  <c r="E18" i="8"/>
  <c r="P27" i="8"/>
  <c r="N28" i="8"/>
  <c r="K24" i="8"/>
  <c r="O43" i="16"/>
  <c r="O44" i="11" s="1"/>
  <c r="P24" i="8"/>
  <c r="L41" i="16"/>
  <c r="L42" i="11" s="1"/>
  <c r="M25" i="8"/>
  <c r="L43" i="16"/>
  <c r="L44" i="11" s="1"/>
  <c r="P28" i="8"/>
  <c r="P9" i="8"/>
  <c r="O16" i="8"/>
  <c r="N18" i="8"/>
  <c r="P15" i="8"/>
  <c r="O62" i="16"/>
  <c r="O73" i="11" s="1"/>
  <c r="P10" i="8"/>
  <c r="O58" i="16"/>
  <c r="O69" i="11" s="1"/>
  <c r="M15" i="8"/>
  <c r="L18" i="8"/>
  <c r="P62" i="16"/>
  <c r="P73" i="11" s="1"/>
  <c r="M17" i="8"/>
  <c r="M54" i="16"/>
  <c r="L61" i="16"/>
  <c r="L72" i="11" s="1"/>
  <c r="L62" i="16"/>
  <c r="L73" i="11" s="1"/>
  <c r="P56" i="16"/>
  <c r="P67" i="11" s="1"/>
  <c r="N8" i="8"/>
  <c r="L8" i="8"/>
  <c r="M16" i="8"/>
  <c r="AJ54" i="11"/>
  <c r="AI55" i="11"/>
  <c r="AH56" i="11"/>
  <c r="AG57" i="11"/>
  <c r="AF58" i="11"/>
  <c r="AE59" i="11"/>
  <c r="AC53" i="11"/>
  <c r="P54" i="16"/>
  <c r="P65" i="11" s="1"/>
  <c r="N17" i="8"/>
  <c r="AI54" i="11"/>
  <c r="AI56" i="11"/>
  <c r="K9" i="8"/>
  <c r="AF57" i="11"/>
  <c r="AB58" i="11"/>
  <c r="Y53" i="11"/>
  <c r="W55" i="11"/>
  <c r="U57" i="11"/>
  <c r="S59" i="11"/>
  <c r="AD57" i="11"/>
  <c r="T57" i="11"/>
  <c r="O53" i="11"/>
  <c r="M55" i="11"/>
  <c r="K17" i="8"/>
  <c r="F24" i="8"/>
  <c r="G36" i="8"/>
  <c r="N41" i="8"/>
  <c r="K53" i="11"/>
  <c r="L11" i="8"/>
  <c r="K34" i="8"/>
  <c r="AC54" i="11"/>
  <c r="B39" i="8"/>
  <c r="C56" i="16"/>
  <c r="C67" i="11" s="1"/>
  <c r="P19" i="8"/>
  <c r="I36" i="8"/>
  <c r="P42" i="16"/>
  <c r="P43" i="11" s="1"/>
  <c r="M43" i="16"/>
  <c r="M44" i="11" s="1"/>
  <c r="K26" i="8"/>
  <c r="M44" i="16"/>
  <c r="M45" i="11" s="1"/>
  <c r="O24" i="8"/>
  <c r="O23" i="8"/>
  <c r="K25" i="8"/>
  <c r="M23" i="8"/>
  <c r="P18" i="8"/>
  <c r="O53" i="16"/>
  <c r="O64" i="11" s="1"/>
  <c r="N61" i="16"/>
  <c r="N72" i="11" s="1"/>
  <c r="P17" i="8"/>
  <c r="N9" i="8"/>
  <c r="P16" i="8"/>
  <c r="N16" i="8"/>
  <c r="M18" i="8"/>
  <c r="L58" i="16"/>
  <c r="L69" i="11" s="1"/>
  <c r="O15" i="8"/>
  <c r="M62" i="16"/>
  <c r="M73" i="11" s="1"/>
  <c r="M60" i="16"/>
  <c r="M71" i="11" s="1"/>
  <c r="O10" i="8"/>
  <c r="N53" i="16"/>
  <c r="N64" i="11" s="1"/>
  <c r="L15" i="8"/>
  <c r="M56" i="16"/>
  <c r="M67" i="11" s="1"/>
  <c r="AJ56" i="11"/>
  <c r="AI57" i="11"/>
  <c r="AH58" i="11"/>
  <c r="AG59" i="11"/>
  <c r="AE53" i="11"/>
  <c r="AD54" i="11"/>
  <c r="AC55" i="11"/>
  <c r="M9" i="8"/>
  <c r="N56" i="16"/>
  <c r="N67" i="11" s="1"/>
  <c r="AH55" i="11"/>
  <c r="AF53" i="11"/>
  <c r="AH53" i="11"/>
  <c r="AE56" i="11"/>
  <c r="AA55" i="11"/>
  <c r="Y57" i="11"/>
  <c r="W59" i="11"/>
  <c r="T54" i="11"/>
  <c r="R56" i="11"/>
  <c r="AA58" i="11"/>
  <c r="R59" i="11"/>
  <c r="O57" i="11"/>
  <c r="M59" i="11"/>
  <c r="K37" i="8"/>
  <c r="P59" i="16"/>
  <c r="P70" i="11" s="1"/>
  <c r="D26" i="8"/>
  <c r="E38" i="8"/>
  <c r="P59" i="11"/>
  <c r="P11" i="8"/>
  <c r="M56" i="11"/>
  <c r="E41" i="8"/>
  <c r="G24" i="8"/>
  <c r="Z53" i="11"/>
  <c r="C24" i="8"/>
  <c r="H8" i="8"/>
  <c r="H55" i="16"/>
  <c r="K55" i="16"/>
  <c r="K66" i="11" s="1"/>
  <c r="AJ55" i="11"/>
  <c r="D55" i="16"/>
  <c r="D66" i="11" s="1"/>
  <c r="G55" i="16"/>
  <c r="G66" i="11" s="1"/>
  <c r="P91" i="14"/>
  <c r="E165" i="49"/>
  <c r="E158" i="49" s="1"/>
  <c r="E143" i="49"/>
  <c r="E122" i="49"/>
  <c r="E116" i="49" s="1"/>
  <c r="E117" i="49" s="1"/>
  <c r="R92" i="14"/>
  <c r="N91" i="14"/>
  <c r="B20" i="2"/>
  <c r="O42" i="50"/>
  <c r="Q46" i="50"/>
  <c r="J42" i="50"/>
  <c r="J46" i="50"/>
  <c r="I46" i="50"/>
  <c r="O46" i="50"/>
  <c r="T42" i="50"/>
  <c r="T46" i="50"/>
  <c r="I42" i="50"/>
  <c r="Q42" i="50"/>
  <c r="E190" i="49"/>
  <c r="E184" i="49"/>
  <c r="AN59" i="11"/>
  <c r="AN55" i="11"/>
  <c r="AN57" i="11"/>
  <c r="AO54" i="11"/>
  <c r="AB42" i="50"/>
  <c r="Y46" i="50"/>
  <c r="E142" i="49"/>
  <c r="E115" i="49"/>
  <c r="AB46" i="50"/>
  <c r="AM58" i="11"/>
  <c r="Y42" i="50"/>
  <c r="L48" i="8"/>
  <c r="L52" i="8" s="1"/>
  <c r="O46" i="8"/>
  <c r="O47" i="8"/>
  <c r="O54" i="8" s="1"/>
  <c r="L49" i="8"/>
  <c r="L51" i="8" s="1"/>
  <c r="L46" i="8"/>
  <c r="M46" i="8"/>
  <c r="M47" i="8"/>
  <c r="M54" i="8" s="1"/>
  <c r="N49" i="8"/>
  <c r="N51" i="8" s="1"/>
  <c r="M48" i="8"/>
  <c r="M52" i="8" s="1"/>
  <c r="N46" i="8"/>
  <c r="N47" i="8"/>
  <c r="N54" i="8" s="1"/>
  <c r="X91" i="14"/>
  <c r="F94" i="14"/>
  <c r="G46" i="50"/>
  <c r="P46" i="50"/>
  <c r="X46" i="50"/>
  <c r="AC46" i="50"/>
  <c r="AE46" i="50"/>
  <c r="AP54" i="11"/>
  <c r="K46" i="50"/>
  <c r="AO55" i="11"/>
  <c r="S46" i="50"/>
  <c r="AN58" i="11"/>
  <c r="AG46" i="50"/>
  <c r="AN53" i="11"/>
  <c r="AO57" i="11"/>
  <c r="AO59" i="11"/>
  <c r="E46" i="50"/>
  <c r="D46" i="50"/>
  <c r="M46" i="50"/>
  <c r="AO56" i="11"/>
  <c r="AP56" i="11"/>
  <c r="Z42" i="50"/>
  <c r="W46" i="50"/>
  <c r="N46" i="50"/>
  <c r="AP57" i="11"/>
  <c r="AO53" i="11"/>
  <c r="AP55" i="11"/>
  <c r="W42" i="50"/>
  <c r="H46" i="50"/>
  <c r="AO58" i="11"/>
  <c r="Z46" i="50"/>
  <c r="AQ54" i="11"/>
  <c r="AP59" i="11"/>
  <c r="N42" i="50"/>
  <c r="AC42" i="50"/>
  <c r="R42" i="50"/>
  <c r="AQ59" i="11"/>
  <c r="M42" i="50"/>
  <c r="AR54" i="11"/>
  <c r="V42" i="50"/>
  <c r="P42" i="50"/>
  <c r="R46" i="50"/>
  <c r="AE42" i="50"/>
  <c r="S42" i="50"/>
  <c r="U46" i="50"/>
  <c r="AQ56" i="11"/>
  <c r="G42" i="50"/>
  <c r="U42" i="50"/>
  <c r="F46" i="50"/>
  <c r="D42" i="50"/>
  <c r="AG42" i="50"/>
  <c r="H42" i="50"/>
  <c r="K42" i="50"/>
  <c r="AP58" i="11"/>
  <c r="E42" i="50"/>
  <c r="AQ55" i="11"/>
  <c r="AP53" i="11"/>
  <c r="AQ57" i="11"/>
  <c r="X42" i="50"/>
  <c r="F42" i="50"/>
  <c r="AA42" i="50"/>
  <c r="AQ58" i="11"/>
  <c r="AA46" i="50"/>
  <c r="AR56" i="11"/>
  <c r="L42" i="50"/>
  <c r="AD42" i="50"/>
  <c r="AQ53" i="11"/>
  <c r="AR55" i="11"/>
  <c r="AD46" i="50"/>
  <c r="V46" i="50"/>
  <c r="AF46" i="50"/>
  <c r="C42" i="50"/>
  <c r="AF42" i="50"/>
  <c r="C46" i="50"/>
  <c r="AS54" i="11"/>
  <c r="AR59" i="11"/>
  <c r="AR57" i="11"/>
  <c r="L46" i="50"/>
  <c r="AR58" i="11"/>
  <c r="AT54" i="11"/>
  <c r="AU54" i="11"/>
  <c r="AS55" i="11"/>
  <c r="AS56" i="11"/>
  <c r="AS57" i="11"/>
  <c r="AS59" i="11"/>
  <c r="AR53" i="11"/>
  <c r="AS53" i="11"/>
  <c r="AU56" i="11"/>
  <c r="AT56" i="11"/>
  <c r="AU59" i="11"/>
  <c r="AT59" i="11"/>
  <c r="AU55" i="11"/>
  <c r="AT55" i="11"/>
  <c r="AS58" i="11"/>
  <c r="AU57" i="11"/>
  <c r="AT57" i="11"/>
  <c r="AU58" i="11"/>
  <c r="AT58" i="11"/>
  <c r="AD53" i="18"/>
  <c r="AT53" i="11"/>
  <c r="AU53" i="11"/>
  <c r="C29" i="32"/>
  <c r="C37" i="32"/>
  <c r="C18" i="32"/>
  <c r="C25" i="32"/>
  <c r="C24" i="32"/>
  <c r="C23" i="32"/>
  <c r="C39" i="32"/>
  <c r="C22" i="32"/>
  <c r="C30" i="32"/>
  <c r="C26" i="32"/>
  <c r="C28" i="32"/>
  <c r="C41" i="32"/>
  <c r="C32" i="32"/>
  <c r="C19" i="32"/>
  <c r="C38" i="32"/>
  <c r="C27" i="32"/>
  <c r="C20" i="32"/>
  <c r="C33" i="32"/>
  <c r="C35" i="32"/>
  <c r="C21" i="32"/>
  <c r="C36" i="32"/>
  <c r="C42" i="32"/>
  <c r="C34" i="32"/>
  <c r="C31" i="32"/>
  <c r="C40" i="32"/>
  <c r="V93" i="14" l="1"/>
  <c r="Z93" i="14"/>
  <c r="AA10" i="16"/>
  <c r="AA10" i="11" s="1"/>
  <c r="AB42" i="16"/>
  <c r="AB43" i="11" s="1"/>
  <c r="AC53" i="16"/>
  <c r="AC64" i="11" s="1"/>
  <c r="AC30" i="8"/>
  <c r="O16" i="50" s="1"/>
  <c r="AA8" i="16"/>
  <c r="AA8" i="11" s="1"/>
  <c r="AB39" i="16"/>
  <c r="AD54" i="16"/>
  <c r="AD65" i="11" s="1"/>
  <c r="AD33" i="16"/>
  <c r="AD34" i="11" s="1"/>
  <c r="P65" i="50" s="1"/>
  <c r="AD32" i="16"/>
  <c r="AD33" i="11" s="1"/>
  <c r="AB24" i="8"/>
  <c r="AC60" i="16"/>
  <c r="AC28" i="8"/>
  <c r="AC18" i="16"/>
  <c r="AC18" i="11" s="1"/>
  <c r="O61" i="50" s="1"/>
  <c r="AD34" i="8"/>
  <c r="P14" i="50" s="1"/>
  <c r="AD16" i="8"/>
  <c r="AB35" i="8"/>
  <c r="AB17" i="8"/>
  <c r="AC39" i="8"/>
  <c r="AC26" i="8"/>
  <c r="O15" i="50" s="1"/>
  <c r="AC10" i="16"/>
  <c r="AC10" i="11" s="1"/>
  <c r="AD41" i="16"/>
  <c r="AD42" i="11" s="1"/>
  <c r="AD8" i="8"/>
  <c r="P7" i="50" s="1"/>
  <c r="AE60" i="16"/>
  <c r="AE71" i="11" s="1"/>
  <c r="AE53" i="16"/>
  <c r="AE64" i="11" s="1"/>
  <c r="Z34" i="16"/>
  <c r="Z35" i="11" s="1"/>
  <c r="Z22" i="16"/>
  <c r="Z22" i="11" s="1"/>
  <c r="Z9" i="8"/>
  <c r="K9" i="38" s="1"/>
  <c r="AA60" i="16"/>
  <c r="AA71" i="11" s="1"/>
  <c r="AA53" i="16"/>
  <c r="AA39" i="16"/>
  <c r="AA40" i="11" s="1"/>
  <c r="AA33" i="16"/>
  <c r="AA34" i="11" s="1"/>
  <c r="E65" i="51" s="1"/>
  <c r="AA16" i="8"/>
  <c r="E11" i="51" s="1"/>
  <c r="AA8" i="8"/>
  <c r="M7" i="50" s="1"/>
  <c r="AB56" i="16"/>
  <c r="AB36" i="16"/>
  <c r="AB37" i="11" s="1"/>
  <c r="AB10" i="16"/>
  <c r="AB10" i="11" s="1"/>
  <c r="AC34" i="8"/>
  <c r="AC41" i="16"/>
  <c r="AC17" i="8"/>
  <c r="AD40" i="8"/>
  <c r="AD37" i="16"/>
  <c r="AD38" i="11" s="1"/>
  <c r="AD15" i="8"/>
  <c r="P10" i="50" s="1"/>
  <c r="AP34" i="8"/>
  <c r="H14" i="51" s="1"/>
  <c r="AF35" i="8"/>
  <c r="AE37" i="8"/>
  <c r="Q20" i="50" s="1"/>
  <c r="AD9" i="16"/>
  <c r="AD9" i="11" s="1"/>
  <c r="AD21" i="16"/>
  <c r="AD21" i="11" s="1"/>
  <c r="P62" i="50" s="1"/>
  <c r="AD34" i="16"/>
  <c r="AD35" i="11" s="1"/>
  <c r="AD43" i="16"/>
  <c r="AD37" i="8"/>
  <c r="P20" i="50" s="1"/>
  <c r="AC8" i="16"/>
  <c r="AC8" i="11" s="1"/>
  <c r="O58" i="50" s="1"/>
  <c r="AC20" i="16"/>
  <c r="AC32" i="16"/>
  <c r="AC33" i="11" s="1"/>
  <c r="AC37" i="16"/>
  <c r="AC38" i="11" s="1"/>
  <c r="AC43" i="16"/>
  <c r="AC44" i="11" s="1"/>
  <c r="AC56" i="16"/>
  <c r="AC67" i="11" s="1"/>
  <c r="O71" i="50" s="1"/>
  <c r="AC62" i="16"/>
  <c r="N79" i="17" s="1"/>
  <c r="N62" i="10" s="1"/>
  <c r="AB19" i="16"/>
  <c r="AB19" i="11" s="1"/>
  <c r="AB31" i="16"/>
  <c r="AB32" i="11" s="1"/>
  <c r="AB26" i="8"/>
  <c r="N15" i="50" s="1"/>
  <c r="AB28" i="8"/>
  <c r="AB58" i="16"/>
  <c r="AB69" i="11" s="1"/>
  <c r="N68" i="50" s="1"/>
  <c r="AB62" i="16"/>
  <c r="M79" i="17" s="1"/>
  <c r="AA9" i="16"/>
  <c r="AA9" i="11" s="1"/>
  <c r="AA15" i="8"/>
  <c r="M10" i="50" s="1"/>
  <c r="AA21" i="16"/>
  <c r="AA21" i="11" s="1"/>
  <c r="E62" i="51" s="1"/>
  <c r="AA31" i="16"/>
  <c r="AA32" i="11" s="1"/>
  <c r="AA24" i="8"/>
  <c r="AA26" i="8"/>
  <c r="E15" i="51" s="1"/>
  <c r="AA41" i="16"/>
  <c r="AA42" i="11" s="1"/>
  <c r="AA43" i="16"/>
  <c r="L60" i="17" s="1"/>
  <c r="L44" i="18" s="1"/>
  <c r="AA54" i="16"/>
  <c r="AA65" i="11" s="1"/>
  <c r="AA58" i="16"/>
  <c r="AA69" i="11" s="1"/>
  <c r="AA61" i="16"/>
  <c r="AA72" i="11" s="1"/>
  <c r="Z8" i="8"/>
  <c r="L7" i="50" s="1"/>
  <c r="Z18" i="16"/>
  <c r="Z18" i="11" s="1"/>
  <c r="L61" i="50" s="1"/>
  <c r="Z16" i="8"/>
  <c r="Z24" i="16"/>
  <c r="K34" i="17" s="1"/>
  <c r="K24" i="18" s="1"/>
  <c r="Z33" i="16"/>
  <c r="Z34" i="11" s="1"/>
  <c r="L65" i="50" s="1"/>
  <c r="Z36" i="16"/>
  <c r="Z37" i="11" s="1"/>
  <c r="Z39" i="16"/>
  <c r="Z40" i="11" s="1"/>
  <c r="Z43" i="16"/>
  <c r="Z44" i="11" s="1"/>
  <c r="Z54" i="16"/>
  <c r="Z65" i="11" s="1"/>
  <c r="Z58" i="16"/>
  <c r="Z69" i="11" s="1"/>
  <c r="L68" i="50" s="1"/>
  <c r="Z61" i="16"/>
  <c r="Z72" i="11" s="1"/>
  <c r="Y8" i="8"/>
  <c r="Y18" i="16"/>
  <c r="Y18" i="11" s="1"/>
  <c r="K61" i="50" s="1"/>
  <c r="Y16" i="8"/>
  <c r="K11" i="50" s="1"/>
  <c r="Y24" i="16"/>
  <c r="J34" i="17" s="1"/>
  <c r="J24" i="18" s="1"/>
  <c r="Y33" i="16"/>
  <c r="Y34" i="11" s="1"/>
  <c r="K65" i="50" s="1"/>
  <c r="Y36" i="16"/>
  <c r="Y37" i="11" s="1"/>
  <c r="Y39" i="16"/>
  <c r="Y40" i="11" s="1"/>
  <c r="Y41" i="11" s="1"/>
  <c r="K66" i="50" s="1"/>
  <c r="Y43" i="16"/>
  <c r="Y34" i="8"/>
  <c r="K14" i="50" s="1"/>
  <c r="Y37" i="8"/>
  <c r="K20" i="50" s="1"/>
  <c r="Y40" i="8"/>
  <c r="X8" i="16"/>
  <c r="X10" i="16"/>
  <c r="X10" i="11" s="1"/>
  <c r="X20" i="16"/>
  <c r="X20" i="11" s="1"/>
  <c r="X17" i="8"/>
  <c r="I18" i="38" s="1"/>
  <c r="X32" i="16"/>
  <c r="X33" i="11" s="1"/>
  <c r="X25" i="8"/>
  <c r="J17" i="50" s="1"/>
  <c r="X38" i="16"/>
  <c r="X39" i="11" s="1"/>
  <c r="X28" i="8"/>
  <c r="I31" i="38" s="1"/>
  <c r="X34" i="8"/>
  <c r="J14" i="50" s="1"/>
  <c r="X37" i="8"/>
  <c r="J20" i="50" s="1"/>
  <c r="X40" i="8"/>
  <c r="W8" i="16"/>
  <c r="W8" i="11" s="1"/>
  <c r="I58" i="50" s="1"/>
  <c r="W10" i="16"/>
  <c r="W10" i="11" s="1"/>
  <c r="W20" i="16"/>
  <c r="W20" i="11" s="1"/>
  <c r="W17" i="8"/>
  <c r="W32" i="16"/>
  <c r="W33" i="11" s="1"/>
  <c r="W25" i="8"/>
  <c r="I17" i="50" s="1"/>
  <c r="W38" i="16"/>
  <c r="W39" i="11" s="1"/>
  <c r="W28" i="8"/>
  <c r="H31" i="38" s="1"/>
  <c r="W53" i="16"/>
  <c r="W64" i="11" s="1"/>
  <c r="W56" i="16"/>
  <c r="W67" i="11" s="1"/>
  <c r="I71" i="50" s="1"/>
  <c r="W60" i="16"/>
  <c r="W71" i="11" s="1"/>
  <c r="V30" i="8"/>
  <c r="H16" i="50" s="1"/>
  <c r="V9" i="8"/>
  <c r="V19" i="16"/>
  <c r="V19" i="11" s="1"/>
  <c r="V22" i="16"/>
  <c r="V22" i="11" s="1"/>
  <c r="V23" i="8"/>
  <c r="G25" i="38" s="1"/>
  <c r="V34" i="16"/>
  <c r="V35" i="11" s="1"/>
  <c r="V37" i="16"/>
  <c r="V38" i="11" s="1"/>
  <c r="V42" i="16"/>
  <c r="V43" i="11" s="1"/>
  <c r="V53" i="16"/>
  <c r="V64" i="11" s="1"/>
  <c r="V56" i="16"/>
  <c r="V67" i="11" s="1"/>
  <c r="H71" i="50" s="1"/>
  <c r="AE36" i="16"/>
  <c r="AE37" i="11" s="1"/>
  <c r="AE39" i="8"/>
  <c r="AD18" i="16"/>
  <c r="AD18" i="11" s="1"/>
  <c r="P61" i="50" s="1"/>
  <c r="AD24" i="16"/>
  <c r="O34" i="17" s="1"/>
  <c r="O24" i="18" s="1"/>
  <c r="AD25" i="8"/>
  <c r="AD44" i="16"/>
  <c r="O61" i="17" s="1"/>
  <c r="O45" i="18" s="1"/>
  <c r="AD60" i="16"/>
  <c r="AD71" i="11" s="1"/>
  <c r="AC8" i="8"/>
  <c r="O7" i="50" s="1"/>
  <c r="AC16" i="8"/>
  <c r="O11" i="50" s="1"/>
  <c r="AC24" i="8"/>
  <c r="AC39" i="16"/>
  <c r="AC40" i="11" s="1"/>
  <c r="AC37" i="8"/>
  <c r="O20" i="50" s="1"/>
  <c r="AB8" i="16"/>
  <c r="AB20" i="16"/>
  <c r="AB23" i="8"/>
  <c r="M25" i="38" s="1"/>
  <c r="AB38" i="16"/>
  <c r="AB39" i="11" s="1"/>
  <c r="AB53" i="16"/>
  <c r="AB64" i="11" s="1"/>
  <c r="AB39" i="8"/>
  <c r="AA30" i="8"/>
  <c r="E16" i="51" s="1"/>
  <c r="AA9" i="8"/>
  <c r="L9" i="38" s="1"/>
  <c r="AA19" i="16"/>
  <c r="AA22" i="16"/>
  <c r="AA22" i="11" s="1"/>
  <c r="AA23" i="8"/>
  <c r="AA34" i="16"/>
  <c r="AA35" i="11" s="1"/>
  <c r="AA37" i="16"/>
  <c r="AA38" i="11" s="1"/>
  <c r="AA44" i="16"/>
  <c r="L61" i="17" s="1"/>
  <c r="L45" i="18" s="1"/>
  <c r="AA35" i="8"/>
  <c r="AA39" i="8"/>
  <c r="AA62" i="16"/>
  <c r="L79" i="17" s="1"/>
  <c r="Z9" i="16"/>
  <c r="Z9" i="11" s="1"/>
  <c r="Z15" i="8"/>
  <c r="L10" i="50" s="1"/>
  <c r="Z21" i="16"/>
  <c r="K17" i="38" s="1"/>
  <c r="Z31" i="16"/>
  <c r="Z32" i="11" s="1"/>
  <c r="Z24" i="8"/>
  <c r="Z26" i="8"/>
  <c r="L15" i="50" s="1"/>
  <c r="Z41" i="16"/>
  <c r="Z42" i="11" s="1"/>
  <c r="Z44" i="16"/>
  <c r="K61" i="17" s="1"/>
  <c r="K45" i="18" s="1"/>
  <c r="Z35" i="8"/>
  <c r="Z39" i="8"/>
  <c r="Z62" i="16"/>
  <c r="K79" i="17" s="1"/>
  <c r="K62" i="10" s="1"/>
  <c r="Y9" i="16"/>
  <c r="Y9" i="11" s="1"/>
  <c r="Y15" i="8"/>
  <c r="K10" i="50" s="1"/>
  <c r="Y21" i="16"/>
  <c r="Y21" i="11" s="1"/>
  <c r="K62" i="50" s="1"/>
  <c r="Y31" i="16"/>
  <c r="Y32" i="11" s="1"/>
  <c r="Y24" i="8"/>
  <c r="Y26" i="8"/>
  <c r="K15" i="50" s="1"/>
  <c r="Y41" i="16"/>
  <c r="Y42" i="11" s="1"/>
  <c r="Y44" i="16"/>
  <c r="J61" i="17" s="1"/>
  <c r="J45" i="18" s="1"/>
  <c r="Y54" i="16"/>
  <c r="Y65" i="11" s="1"/>
  <c r="Y58" i="16"/>
  <c r="Y69" i="11" s="1"/>
  <c r="K68" i="50" s="1"/>
  <c r="Y61" i="16"/>
  <c r="Y72" i="11" s="1"/>
  <c r="X8" i="8"/>
  <c r="J7" i="50" s="1"/>
  <c r="X18" i="16"/>
  <c r="X18" i="11" s="1"/>
  <c r="J61" i="50" s="1"/>
  <c r="X16" i="8"/>
  <c r="J11" i="50" s="1"/>
  <c r="X24" i="16"/>
  <c r="I34" i="17" s="1"/>
  <c r="I24" i="18" s="1"/>
  <c r="X33" i="16"/>
  <c r="X34" i="11" s="1"/>
  <c r="J65" i="50" s="1"/>
  <c r="X36" i="16"/>
  <c r="X37" i="11" s="1"/>
  <c r="X39" i="16"/>
  <c r="X40" i="11" s="1"/>
  <c r="X43" i="16"/>
  <c r="I60" i="17" s="1"/>
  <c r="I44" i="18" s="1"/>
  <c r="X54" i="16"/>
  <c r="X65" i="11" s="1"/>
  <c r="X58" i="16"/>
  <c r="X61" i="16"/>
  <c r="X72" i="11" s="1"/>
  <c r="W8" i="8"/>
  <c r="W18" i="16"/>
  <c r="H16" i="38" s="1"/>
  <c r="W16" i="8"/>
  <c r="I11" i="50" s="1"/>
  <c r="W24" i="16"/>
  <c r="H34" i="17" s="1"/>
  <c r="H24" i="18" s="1"/>
  <c r="W33" i="16"/>
  <c r="W34" i="11" s="1"/>
  <c r="I65" i="50" s="1"/>
  <c r="W36" i="16"/>
  <c r="W37" i="11" s="1"/>
  <c r="W39" i="16"/>
  <c r="W40" i="11" s="1"/>
  <c r="W43" i="16"/>
  <c r="H60" i="17" s="1"/>
  <c r="H44" i="18" s="1"/>
  <c r="W34" i="8"/>
  <c r="I14" i="50" s="1"/>
  <c r="W37" i="8"/>
  <c r="H42" i="38" s="1"/>
  <c r="W40" i="8"/>
  <c r="V8" i="16"/>
  <c r="V10" i="16"/>
  <c r="V10" i="11" s="1"/>
  <c r="V20" i="16"/>
  <c r="V20" i="11" s="1"/>
  <c r="V17" i="8"/>
  <c r="V32" i="16"/>
  <c r="V33" i="11" s="1"/>
  <c r="V25" i="8"/>
  <c r="H17" i="50" s="1"/>
  <c r="V38" i="16"/>
  <c r="V39" i="11" s="1"/>
  <c r="V41" i="11" s="1"/>
  <c r="V28" i="8"/>
  <c r="V34" i="8"/>
  <c r="V37" i="8"/>
  <c r="D20" i="51" s="1"/>
  <c r="AE56" i="16"/>
  <c r="AE67" i="11" s="1"/>
  <c r="Q71" i="50" s="1"/>
  <c r="AE16" i="8"/>
  <c r="Q11" i="50" s="1"/>
  <c r="AI44" i="16"/>
  <c r="AI45" i="11" s="1"/>
  <c r="AF18" i="16"/>
  <c r="AF18" i="11" s="1"/>
  <c r="F61" i="51" s="1"/>
  <c r="AE34" i="16"/>
  <c r="AE35" i="11" s="1"/>
  <c r="AE22" i="16"/>
  <c r="AF28" i="8"/>
  <c r="AG41" i="16"/>
  <c r="AG42" i="11" s="1"/>
  <c r="AF17" i="8"/>
  <c r="AG38" i="16"/>
  <c r="AG39" i="11" s="1"/>
  <c r="AE32" i="16"/>
  <c r="AE33" i="11" s="1"/>
  <c r="AE9" i="8"/>
  <c r="AF37" i="16"/>
  <c r="AF38" i="11" s="1"/>
  <c r="AG40" i="8"/>
  <c r="AG16" i="8"/>
  <c r="AE38" i="16"/>
  <c r="AE39" i="11" s="1"/>
  <c r="AE23" i="8"/>
  <c r="AF39" i="8"/>
  <c r="AF25" i="8"/>
  <c r="R17" i="50" s="1"/>
  <c r="AH36" i="16"/>
  <c r="AH37" i="11" s="1"/>
  <c r="AI16" i="8"/>
  <c r="U11" i="50" s="1"/>
  <c r="AH16" i="8"/>
  <c r="T11" i="50" s="1"/>
  <c r="AG24" i="16"/>
  <c r="R34" i="17" s="1"/>
  <c r="R24" i="18" s="1"/>
  <c r="AG37" i="8"/>
  <c r="AG36" i="16"/>
  <c r="AG37" i="11" s="1"/>
  <c r="AG9" i="16"/>
  <c r="AG9" i="11" s="1"/>
  <c r="AH30" i="8"/>
  <c r="T16" i="50" s="1"/>
  <c r="AF15" i="8"/>
  <c r="R10" i="50" s="1"/>
  <c r="AG32" i="16"/>
  <c r="AG33" i="11" s="1"/>
  <c r="AG30" i="8"/>
  <c r="S16" i="50" s="1"/>
  <c r="AH39" i="8"/>
  <c r="AE10" i="16"/>
  <c r="AE10" i="11" s="1"/>
  <c r="AF54" i="16"/>
  <c r="AF65" i="11" s="1"/>
  <c r="AF33" i="16"/>
  <c r="AF34" i="11" s="1"/>
  <c r="F65" i="51" s="1"/>
  <c r="AF8" i="16"/>
  <c r="AF8" i="11" s="1"/>
  <c r="F58" i="51" s="1"/>
  <c r="AG44" i="16"/>
  <c r="R61" i="17" s="1"/>
  <c r="R45" i="18" s="1"/>
  <c r="AG25" i="8"/>
  <c r="S17" i="50" s="1"/>
  <c r="AG19" i="16"/>
  <c r="AG19" i="11" s="1"/>
  <c r="AH53" i="16"/>
  <c r="AH64" i="11" s="1"/>
  <c r="AG8" i="8"/>
  <c r="S7" i="50" s="1"/>
  <c r="AH38" i="16"/>
  <c r="AH39" i="11" s="1"/>
  <c r="AH44" i="16"/>
  <c r="S61" i="17" s="1"/>
  <c r="S45" i="18" s="1"/>
  <c r="AH25" i="8"/>
  <c r="T17" i="50" s="1"/>
  <c r="AH19" i="16"/>
  <c r="AH19" i="11" s="1"/>
  <c r="AI39" i="8"/>
  <c r="AI41" i="16"/>
  <c r="AI42" i="11" s="1"/>
  <c r="AI19" i="16"/>
  <c r="AI19" i="11" s="1"/>
  <c r="AJ39" i="16"/>
  <c r="AJ40" i="11" s="1"/>
  <c r="AH41" i="16"/>
  <c r="AH42" i="11" s="1"/>
  <c r="AH32" i="16"/>
  <c r="AH33" i="11" s="1"/>
  <c r="AH9" i="16"/>
  <c r="AH9" i="11" s="1"/>
  <c r="AI36" i="16"/>
  <c r="AI37" i="11" s="1"/>
  <c r="AI30" i="8"/>
  <c r="U16" i="50" s="1"/>
  <c r="AK60" i="16"/>
  <c r="AK71" i="11" s="1"/>
  <c r="AH24" i="16"/>
  <c r="S34" i="17" s="1"/>
  <c r="S24" i="18" s="1"/>
  <c r="AH8" i="8"/>
  <c r="AI53" i="16"/>
  <c r="AI64" i="11" s="1"/>
  <c r="AI25" i="8"/>
  <c r="U17" i="50" s="1"/>
  <c r="AJ39" i="8"/>
  <c r="AL62" i="16"/>
  <c r="AL73" i="11" s="1"/>
  <c r="AJ53" i="16"/>
  <c r="AJ64" i="11" s="1"/>
  <c r="AI32" i="16"/>
  <c r="AI33" i="11" s="1"/>
  <c r="AI9" i="16"/>
  <c r="AI9" i="11" s="1"/>
  <c r="AJ36" i="16"/>
  <c r="AJ37" i="11" s="1"/>
  <c r="AM36" i="16"/>
  <c r="AM37" i="11" s="1"/>
  <c r="AI38" i="16"/>
  <c r="AI39" i="11" s="1"/>
  <c r="AI24" i="16"/>
  <c r="T34" i="17" s="1"/>
  <c r="T24" i="18" s="1"/>
  <c r="AI8" i="8"/>
  <c r="U7" i="50" s="1"/>
  <c r="AJ34" i="8"/>
  <c r="V14" i="50" s="1"/>
  <c r="AJ24" i="8"/>
  <c r="AJ9" i="16"/>
  <c r="AJ9" i="11" s="1"/>
  <c r="AK56" i="16"/>
  <c r="AK67" i="11" s="1"/>
  <c r="G71" i="51" s="1"/>
  <c r="AN62" i="16"/>
  <c r="Y79" i="17" s="1"/>
  <c r="Y62" i="10" s="1"/>
  <c r="AJ31" i="16"/>
  <c r="AJ32" i="11" s="1"/>
  <c r="AK8" i="16"/>
  <c r="AK8" i="11" s="1"/>
  <c r="W58" i="50" s="1"/>
  <c r="AJ9" i="8"/>
  <c r="AK39" i="16"/>
  <c r="AK40" i="11" s="1"/>
  <c r="AL42" i="16"/>
  <c r="AL43" i="11" s="1"/>
  <c r="AN60" i="16"/>
  <c r="AN71" i="11" s="1"/>
  <c r="AK24" i="16"/>
  <c r="AK24" i="11" s="1"/>
  <c r="AM53" i="16"/>
  <c r="AM64" i="11" s="1"/>
  <c r="AL36" i="16"/>
  <c r="AL37" i="11" s="1"/>
  <c r="AM23" i="8"/>
  <c r="AL20" i="16"/>
  <c r="AL20" i="11" s="1"/>
  <c r="AM10" i="16"/>
  <c r="AM10" i="11" s="1"/>
  <c r="AO17" i="8"/>
  <c r="AN24" i="16"/>
  <c r="Y34" i="17" s="1"/>
  <c r="Y24" i="18" s="1"/>
  <c r="AO30" i="8"/>
  <c r="AA16" i="50" s="1"/>
  <c r="AN8" i="16"/>
  <c r="AN8" i="11" s="1"/>
  <c r="Z58" i="50" s="1"/>
  <c r="AF25" i="18"/>
  <c r="AG35" i="17"/>
  <c r="K75" i="14"/>
  <c r="O76" i="14"/>
  <c r="E76" i="14"/>
  <c r="I76" i="14"/>
  <c r="K76" i="14"/>
  <c r="M76" i="14"/>
  <c r="I75" i="14"/>
  <c r="L73" i="14"/>
  <c r="X73" i="14"/>
  <c r="D73" i="14"/>
  <c r="F73" i="14"/>
  <c r="AF73" i="14"/>
  <c r="N73" i="14"/>
  <c r="V73" i="14"/>
  <c r="P94" i="14"/>
  <c r="R90" i="14"/>
  <c r="Q54" i="18" s="1"/>
  <c r="E92" i="14"/>
  <c r="J90" i="14"/>
  <c r="I54" i="18" s="1"/>
  <c r="P24" i="14"/>
  <c r="O25" i="15" s="1"/>
  <c r="O25" i="36" s="1"/>
  <c r="P34" i="50" s="1"/>
  <c r="Q78" i="14"/>
  <c r="AB94" i="14"/>
  <c r="I24" i="14"/>
  <c r="I90" i="14"/>
  <c r="M92" i="14"/>
  <c r="V90" i="14"/>
  <c r="U54" i="18" s="1"/>
  <c r="U92" i="14"/>
  <c r="T56" i="18" s="1"/>
  <c r="H24" i="14"/>
  <c r="G39" i="15" s="1"/>
  <c r="G39" i="36" s="1"/>
  <c r="M24" i="14"/>
  <c r="L25" i="15" s="1"/>
  <c r="L25" i="36" s="1"/>
  <c r="M34" i="50" s="1"/>
  <c r="S24" i="14"/>
  <c r="D24" i="14"/>
  <c r="C17" i="15" s="1"/>
  <c r="C17" i="36" s="1"/>
  <c r="G78" i="14"/>
  <c r="C78" i="14"/>
  <c r="C24" i="14"/>
  <c r="B17" i="15" s="1"/>
  <c r="B17" i="36" s="1"/>
  <c r="E78" i="14"/>
  <c r="F78" i="14"/>
  <c r="G24" i="14"/>
  <c r="F25" i="15" s="1"/>
  <c r="F25" i="36" s="1"/>
  <c r="G34" i="50" s="1"/>
  <c r="K78" i="14"/>
  <c r="L78" i="14"/>
  <c r="O24" i="14"/>
  <c r="Q24" i="14"/>
  <c r="P39" i="15" s="1"/>
  <c r="P39" i="36" s="1"/>
  <c r="R24" i="14"/>
  <c r="W24" i="14"/>
  <c r="B21" i="2"/>
  <c r="I78" i="14"/>
  <c r="J78" i="14"/>
  <c r="L24" i="14"/>
  <c r="K17" i="15" s="1"/>
  <c r="K17" i="36" s="1"/>
  <c r="X24" i="14"/>
  <c r="D78" i="14"/>
  <c r="E24" i="14"/>
  <c r="D17" i="15" s="1"/>
  <c r="D17" i="36" s="1"/>
  <c r="F24" i="14"/>
  <c r="E17" i="15" s="1"/>
  <c r="E17" i="36" s="1"/>
  <c r="H78" i="14"/>
  <c r="J24" i="14"/>
  <c r="I39" i="15" s="1"/>
  <c r="I39" i="36" s="1"/>
  <c r="K24" i="14"/>
  <c r="J25" i="15" s="1"/>
  <c r="N24" i="14"/>
  <c r="T24" i="14"/>
  <c r="U24" i="14"/>
  <c r="V24" i="14"/>
  <c r="Y24" i="14"/>
  <c r="AB95" i="14"/>
  <c r="AA59" i="18" s="1"/>
  <c r="AF93" i="14"/>
  <c r="T91" i="14"/>
  <c r="C93" i="14"/>
  <c r="B57" i="18" s="1"/>
  <c r="I91" i="14"/>
  <c r="H55" i="18" s="1"/>
  <c r="J93" i="14"/>
  <c r="AE52" i="17"/>
  <c r="AE36" i="18" s="1"/>
  <c r="C79" i="14"/>
  <c r="B52" i="17" s="1"/>
  <c r="B36" i="18" s="1"/>
  <c r="V85" i="14"/>
  <c r="J84" i="14"/>
  <c r="AG93" i="14"/>
  <c r="E95" i="14"/>
  <c r="D59" i="18" s="1"/>
  <c r="T79" i="14"/>
  <c r="S52" i="17" s="1"/>
  <c r="S36" i="18" s="1"/>
  <c r="AD95" i="14"/>
  <c r="U91" i="14"/>
  <c r="K95" i="14"/>
  <c r="J59" i="18" s="1"/>
  <c r="AC91" i="14"/>
  <c r="AB55" i="18" s="1"/>
  <c r="AD93" i="14"/>
  <c r="D93" i="14"/>
  <c r="K93" i="14"/>
  <c r="J57" i="18" s="1"/>
  <c r="P95" i="14"/>
  <c r="D91" i="14"/>
  <c r="D81" i="14"/>
  <c r="E79" i="14"/>
  <c r="D52" i="17" s="1"/>
  <c r="D36" i="18" s="1"/>
  <c r="P79" i="14"/>
  <c r="O52" i="17" s="1"/>
  <c r="O36" i="18" s="1"/>
  <c r="AB107" i="14"/>
  <c r="AB110" i="14" s="1"/>
  <c r="AG91" i="14"/>
  <c r="AB91" i="14"/>
  <c r="W91" i="14"/>
  <c r="V55" i="18" s="1"/>
  <c r="AA95" i="14"/>
  <c r="W95" i="14"/>
  <c r="AB93" i="14"/>
  <c r="AA57" i="18" s="1"/>
  <c r="S93" i="14"/>
  <c r="R57" i="18" s="1"/>
  <c r="L93" i="14"/>
  <c r="K57" i="18" s="1"/>
  <c r="AE93" i="14"/>
  <c r="AD57" i="18" s="1"/>
  <c r="T93" i="14"/>
  <c r="S57" i="18" s="1"/>
  <c r="D95" i="14"/>
  <c r="C59" i="18" s="1"/>
  <c r="K91" i="14"/>
  <c r="G91" i="14"/>
  <c r="L91" i="14"/>
  <c r="K55" i="18" s="1"/>
  <c r="R93" i="14"/>
  <c r="Q57" i="18" s="1"/>
  <c r="V95" i="14"/>
  <c r="H95" i="14"/>
  <c r="L95" i="14"/>
  <c r="K59" i="18" s="1"/>
  <c r="R95" i="14"/>
  <c r="Q59" i="18" s="1"/>
  <c r="O91" i="14"/>
  <c r="C91" i="14"/>
  <c r="N95" i="14"/>
  <c r="M59" i="18" s="1"/>
  <c r="D108" i="14"/>
  <c r="D111" i="14" s="1"/>
  <c r="D107" i="14"/>
  <c r="D110" i="14" s="1"/>
  <c r="D75" i="14"/>
  <c r="E108" i="14"/>
  <c r="E111" i="14" s="1"/>
  <c r="G107" i="14"/>
  <c r="G110" i="14" s="1"/>
  <c r="G75" i="14"/>
  <c r="G76" i="14"/>
  <c r="I108" i="14"/>
  <c r="I111" i="14" s="1"/>
  <c r="K108" i="14"/>
  <c r="K111" i="14" s="1"/>
  <c r="R108" i="14"/>
  <c r="R111" i="14" s="1"/>
  <c r="W108" i="14"/>
  <c r="W111" i="14" s="1"/>
  <c r="X108" i="14"/>
  <c r="X111" i="14" s="1"/>
  <c r="AA24" i="14"/>
  <c r="Z17" i="15" s="1"/>
  <c r="Z17" i="36" s="1"/>
  <c r="AC78" i="14"/>
  <c r="AB84" i="14"/>
  <c r="AC55" i="18"/>
  <c r="AE91" i="14"/>
  <c r="AF95" i="14"/>
  <c r="G93" i="14"/>
  <c r="F57" i="18" s="1"/>
  <c r="AC95" i="14"/>
  <c r="AB59" i="18" s="1"/>
  <c r="O95" i="14"/>
  <c r="I95" i="14"/>
  <c r="M95" i="14"/>
  <c r="L59" i="18" s="1"/>
  <c r="E91" i="14"/>
  <c r="D55" i="18" s="1"/>
  <c r="Q93" i="14"/>
  <c r="C107" i="14"/>
  <c r="C110" i="14" s="1"/>
  <c r="C75" i="14"/>
  <c r="C76" i="14"/>
  <c r="D76" i="14"/>
  <c r="F107" i="14"/>
  <c r="F110" i="14" s="1"/>
  <c r="G108" i="14"/>
  <c r="G111" i="14" s="1"/>
  <c r="H75" i="14"/>
  <c r="H76" i="14"/>
  <c r="J107" i="14"/>
  <c r="J110" i="14" s="1"/>
  <c r="J75" i="14"/>
  <c r="J76" i="14"/>
  <c r="L107" i="14"/>
  <c r="L110" i="14" s="1"/>
  <c r="N108" i="14"/>
  <c r="N111" i="14" s="1"/>
  <c r="N107" i="14"/>
  <c r="N110" i="14" s="1"/>
  <c r="S108" i="14"/>
  <c r="S111" i="14" s="1"/>
  <c r="X107" i="14"/>
  <c r="X110" i="14" s="1"/>
  <c r="Z59" i="18"/>
  <c r="AF91" i="14"/>
  <c r="AE55" i="18" s="1"/>
  <c r="X95" i="14"/>
  <c r="W59" i="18" s="1"/>
  <c r="E93" i="14"/>
  <c r="AC93" i="14"/>
  <c r="F93" i="14"/>
  <c r="E57" i="18" s="1"/>
  <c r="N93" i="14"/>
  <c r="M57" i="18" s="1"/>
  <c r="H91" i="14"/>
  <c r="J91" i="14"/>
  <c r="R91" i="14"/>
  <c r="Q55" i="18" s="1"/>
  <c r="J95" i="14"/>
  <c r="I59" i="18" s="1"/>
  <c r="Q95" i="14"/>
  <c r="S91" i="14"/>
  <c r="AA55" i="18"/>
  <c r="AA91" i="14"/>
  <c r="Z55" i="18" s="1"/>
  <c r="Y91" i="14"/>
  <c r="AE95" i="14"/>
  <c r="AG95" i="14"/>
  <c r="AF59" i="18" s="1"/>
  <c r="Y93" i="14"/>
  <c r="X57" i="18" s="1"/>
  <c r="H93" i="14"/>
  <c r="AA93" i="14"/>
  <c r="Z57" i="18" s="1"/>
  <c r="O93" i="14"/>
  <c r="N57" i="18" s="1"/>
  <c r="I93" i="14"/>
  <c r="H57" i="18" s="1"/>
  <c r="F91" i="14"/>
  <c r="Q91" i="14"/>
  <c r="V91" i="14"/>
  <c r="U55" i="18" s="1"/>
  <c r="U93" i="14"/>
  <c r="T57" i="18" s="1"/>
  <c r="U95" i="14"/>
  <c r="C95" i="14"/>
  <c r="S95" i="14"/>
  <c r="R59" i="18" s="1"/>
  <c r="G95" i="14"/>
  <c r="F59" i="18" s="1"/>
  <c r="T95" i="14"/>
  <c r="F95" i="14"/>
  <c r="C108" i="14"/>
  <c r="C111" i="14" s="1"/>
  <c r="F108" i="14"/>
  <c r="F111" i="14" s="1"/>
  <c r="F75" i="14"/>
  <c r="F76" i="14"/>
  <c r="J108" i="14"/>
  <c r="J111" i="14" s="1"/>
  <c r="L108" i="14"/>
  <c r="L111" i="14" s="1"/>
  <c r="M108" i="14"/>
  <c r="M111" i="14" s="1"/>
  <c r="O108" i="14"/>
  <c r="P108" i="14"/>
  <c r="P111" i="14" s="1"/>
  <c r="P107" i="14"/>
  <c r="P110" i="14" s="1"/>
  <c r="Q108" i="14"/>
  <c r="Q111" i="14" s="1"/>
  <c r="Q107" i="14"/>
  <c r="Q110" i="14" s="1"/>
  <c r="T108" i="14"/>
  <c r="T111" i="14" s="1"/>
  <c r="V76" i="14"/>
  <c r="W107" i="14"/>
  <c r="W110" i="14" s="1"/>
  <c r="Y108" i="14"/>
  <c r="Y111" i="14" s="1"/>
  <c r="Z107" i="14"/>
  <c r="Z110" i="14" s="1"/>
  <c r="AA108" i="14"/>
  <c r="AA111" i="14" s="1"/>
  <c r="Y95" i="14"/>
  <c r="O94" i="14"/>
  <c r="N58" i="18" s="1"/>
  <c r="Z91" i="14"/>
  <c r="G79" i="14"/>
  <c r="F52" i="17" s="1"/>
  <c r="F36" i="18" s="1"/>
  <c r="J79" i="14"/>
  <c r="K85" i="14"/>
  <c r="L79" i="14"/>
  <c r="K52" i="17" s="1"/>
  <c r="K36" i="18" s="1"/>
  <c r="R85" i="14"/>
  <c r="U79" i="14"/>
  <c r="W79" i="14"/>
  <c r="V52" i="17" s="1"/>
  <c r="V36" i="18" s="1"/>
  <c r="W81" i="14"/>
  <c r="Y79" i="14"/>
  <c r="Z79" i="14"/>
  <c r="Y52" i="17" s="1"/>
  <c r="Y36" i="18" s="1"/>
  <c r="T117" i="17"/>
  <c r="T118" i="17" s="1"/>
  <c r="I79" i="14"/>
  <c r="H52" i="17" s="1"/>
  <c r="H36" i="18" s="1"/>
  <c r="J81" i="14"/>
  <c r="K79" i="14"/>
  <c r="M85" i="14"/>
  <c r="M79" i="14"/>
  <c r="L52" i="17" s="1"/>
  <c r="L36" i="18" s="1"/>
  <c r="M81" i="14"/>
  <c r="N79" i="14"/>
  <c r="O79" i="14"/>
  <c r="N52" i="17" s="1"/>
  <c r="N36" i="18" s="1"/>
  <c r="V79" i="14"/>
  <c r="U52" i="17" s="1"/>
  <c r="U36" i="18" s="1"/>
  <c r="L84" i="14"/>
  <c r="I89" i="14"/>
  <c r="T89" i="14"/>
  <c r="S53" i="18" s="1"/>
  <c r="Y55" i="18"/>
  <c r="D94" i="14"/>
  <c r="C58" i="18" s="1"/>
  <c r="D79" i="14"/>
  <c r="E81" i="14"/>
  <c r="H79" i="14"/>
  <c r="G52" i="17" s="1"/>
  <c r="G36" i="18" s="1"/>
  <c r="Q79" i="14"/>
  <c r="P52" i="17" s="1"/>
  <c r="P36" i="18" s="1"/>
  <c r="R79" i="14"/>
  <c r="S79" i="14"/>
  <c r="X79" i="14"/>
  <c r="W52" i="17" s="1"/>
  <c r="W36" i="18" s="1"/>
  <c r="Z108" i="14"/>
  <c r="Z111" i="14" s="1"/>
  <c r="AA79" i="14"/>
  <c r="AD107" i="14"/>
  <c r="AD110" i="14" s="1"/>
  <c r="Q84" i="14"/>
  <c r="J89" i="14"/>
  <c r="I53" i="18" s="1"/>
  <c r="V89" i="14"/>
  <c r="U53" i="18" s="1"/>
  <c r="AD56" i="18"/>
  <c r="Y90" i="14"/>
  <c r="X54" i="18" s="1"/>
  <c r="W90" i="14"/>
  <c r="V54" i="18" s="1"/>
  <c r="C94" i="14"/>
  <c r="V94" i="14"/>
  <c r="U58" i="18" s="1"/>
  <c r="W94" i="14"/>
  <c r="V58" i="18" s="1"/>
  <c r="O90" i="14"/>
  <c r="N54" i="18" s="1"/>
  <c r="I94" i="14"/>
  <c r="T92" i="14"/>
  <c r="S56" i="18" s="1"/>
  <c r="Q92" i="14"/>
  <c r="P56" i="18" s="1"/>
  <c r="J92" i="14"/>
  <c r="H92" i="14"/>
  <c r="Q94" i="14"/>
  <c r="P58" i="18" s="1"/>
  <c r="E90" i="14"/>
  <c r="D54" i="18" s="1"/>
  <c r="M94" i="14"/>
  <c r="L58" i="18" s="1"/>
  <c r="C90" i="14"/>
  <c r="B54" i="18" s="1"/>
  <c r="Z92" i="14"/>
  <c r="Y56" i="18" s="1"/>
  <c r="D117" i="17"/>
  <c r="D118" i="17" s="1"/>
  <c r="Y117" i="17"/>
  <c r="Y118" i="17" s="1"/>
  <c r="AE90" i="14"/>
  <c r="AD54" i="18" s="1"/>
  <c r="AF90" i="14"/>
  <c r="AE54" i="18" s="1"/>
  <c r="AD94" i="14"/>
  <c r="AC58" i="18" s="1"/>
  <c r="AA94" i="14"/>
  <c r="Z58" i="18" s="1"/>
  <c r="Z94" i="14"/>
  <c r="Y58" i="18" s="1"/>
  <c r="V92" i="14"/>
  <c r="U56" i="18" s="1"/>
  <c r="L90" i="14"/>
  <c r="K54" i="18" s="1"/>
  <c r="P92" i="14"/>
  <c r="O56" i="18" s="1"/>
  <c r="I92" i="14"/>
  <c r="F92" i="14"/>
  <c r="E56" i="18" s="1"/>
  <c r="N92" i="14"/>
  <c r="M56" i="18" s="1"/>
  <c r="O92" i="14"/>
  <c r="N56" i="18" s="1"/>
  <c r="S92" i="14"/>
  <c r="S90" i="14"/>
  <c r="R54" i="18" s="1"/>
  <c r="H90" i="14"/>
  <c r="G54" i="18" s="1"/>
  <c r="AG90" i="14"/>
  <c r="D80" i="14"/>
  <c r="E80" i="14"/>
  <c r="D58" i="17" s="1"/>
  <c r="D42" i="18" s="1"/>
  <c r="J80" i="14"/>
  <c r="I58" i="17" s="1"/>
  <c r="U80" i="14"/>
  <c r="H117" i="17"/>
  <c r="H118" i="17" s="1"/>
  <c r="AD59" i="18"/>
  <c r="AD90" i="14"/>
  <c r="AC54" i="18" s="1"/>
  <c r="M90" i="14"/>
  <c r="L54" i="18" s="1"/>
  <c r="Y94" i="14"/>
  <c r="X58" i="18" s="1"/>
  <c r="AF94" i="14"/>
  <c r="AE58" i="18" s="1"/>
  <c r="AG94" i="14"/>
  <c r="AF58" i="18" s="1"/>
  <c r="K92" i="14"/>
  <c r="C92" i="14"/>
  <c r="D92" i="14"/>
  <c r="C56" i="18" s="1"/>
  <c r="E94" i="14"/>
  <c r="D58" i="18" s="1"/>
  <c r="K90" i="14"/>
  <c r="J54" i="18" s="1"/>
  <c r="K94" i="14"/>
  <c r="J58" i="18" s="1"/>
  <c r="G94" i="14"/>
  <c r="F58" i="18" s="1"/>
  <c r="S80" i="14"/>
  <c r="R58" i="17" s="1"/>
  <c r="R42" i="18" s="1"/>
  <c r="C84" i="14"/>
  <c r="U84" i="14"/>
  <c r="N117" i="17"/>
  <c r="N118" i="17" s="1"/>
  <c r="AB24" i="14"/>
  <c r="AE79" i="14"/>
  <c r="E84" i="14"/>
  <c r="N84" i="14"/>
  <c r="W11" i="14"/>
  <c r="B117" i="17"/>
  <c r="B118" i="17" s="1"/>
  <c r="E117" i="17"/>
  <c r="E118" i="17" s="1"/>
  <c r="Q117" i="17"/>
  <c r="Q118" i="17" s="1"/>
  <c r="AB117" i="17"/>
  <c r="AB118" i="17" s="1"/>
  <c r="B25" i="2"/>
  <c r="AB108" i="14"/>
  <c r="AB111" i="14" s="1"/>
  <c r="G11" i="14"/>
  <c r="O11" i="14"/>
  <c r="AF75" i="14"/>
  <c r="K117" i="17"/>
  <c r="K118" i="17" s="1"/>
  <c r="V117" i="17"/>
  <c r="V118" i="17" s="1"/>
  <c r="T78" i="14"/>
  <c r="AA76" i="14"/>
  <c r="AB79" i="14"/>
  <c r="AC79" i="14"/>
  <c r="AB52" i="17" s="1"/>
  <c r="AB36" i="18" s="1"/>
  <c r="AD79" i="14"/>
  <c r="AC52" i="17" s="1"/>
  <c r="AC36" i="18" s="1"/>
  <c r="AE75" i="14"/>
  <c r="AF24" i="14"/>
  <c r="S84" i="14"/>
  <c r="AD11" i="14"/>
  <c r="M78" i="14"/>
  <c r="N75" i="14"/>
  <c r="S76" i="14"/>
  <c r="AD76" i="14"/>
  <c r="AE76" i="14"/>
  <c r="S83" i="14"/>
  <c r="L75" i="14"/>
  <c r="L76" i="14"/>
  <c r="M75" i="14"/>
  <c r="N78" i="14"/>
  <c r="P78" i="14"/>
  <c r="P75" i="14"/>
  <c r="S75" i="14"/>
  <c r="AC108" i="14"/>
  <c r="AC111" i="14" s="1"/>
  <c r="AD108" i="14"/>
  <c r="AD111" i="14" s="1"/>
  <c r="AE108" i="14"/>
  <c r="AE111" i="14" s="1"/>
  <c r="AG75" i="14"/>
  <c r="Y57" i="18"/>
  <c r="B16" i="2"/>
  <c r="P57" i="18"/>
  <c r="H53" i="18"/>
  <c r="M53" i="18"/>
  <c r="F80" i="14"/>
  <c r="E58" i="17" s="1"/>
  <c r="E42" i="18" s="1"/>
  <c r="F81" i="14"/>
  <c r="P81" i="14"/>
  <c r="Q81" i="14"/>
  <c r="R80" i="14"/>
  <c r="R81" i="14"/>
  <c r="T81" i="14"/>
  <c r="V80" i="14"/>
  <c r="W80" i="14"/>
  <c r="X80" i="14"/>
  <c r="Y81" i="14"/>
  <c r="Z81" i="14"/>
  <c r="AB80" i="14"/>
  <c r="AB81" i="14"/>
  <c r="Y10" i="14"/>
  <c r="B18" i="2"/>
  <c r="Z90" i="14"/>
  <c r="Y54" i="18" s="1"/>
  <c r="X94" i="14"/>
  <c r="W58" i="18" s="1"/>
  <c r="C81" i="14"/>
  <c r="G80" i="14"/>
  <c r="G81" i="14"/>
  <c r="H80" i="14"/>
  <c r="G58" i="17" s="1"/>
  <c r="H81" i="14"/>
  <c r="K80" i="14"/>
  <c r="K81" i="14"/>
  <c r="N81" i="14"/>
  <c r="O78" i="14"/>
  <c r="O75" i="14"/>
  <c r="P76" i="14"/>
  <c r="Q76" i="14"/>
  <c r="R78" i="14"/>
  <c r="R76" i="14"/>
  <c r="T80" i="14"/>
  <c r="U81" i="14"/>
  <c r="X78" i="14"/>
  <c r="Y80" i="14"/>
  <c r="Z80" i="14"/>
  <c r="Z75" i="14"/>
  <c r="Z76" i="14"/>
  <c r="AA80" i="14"/>
  <c r="AB78" i="14"/>
  <c r="AE78" i="14"/>
  <c r="AF78" i="14"/>
  <c r="AF81" i="14"/>
  <c r="AC10" i="14"/>
  <c r="F89" i="14"/>
  <c r="E53" i="18" s="1"/>
  <c r="L89" i="14"/>
  <c r="K53" i="18" s="1"/>
  <c r="Q89" i="14"/>
  <c r="P53" i="18" s="1"/>
  <c r="X89" i="14"/>
  <c r="W53" i="18" s="1"/>
  <c r="B17" i="2"/>
  <c r="Z52" i="17"/>
  <c r="Z36" i="18" s="1"/>
  <c r="AG92" i="14"/>
  <c r="AF56" i="18" s="1"/>
  <c r="C80" i="14"/>
  <c r="B58" i="17" s="1"/>
  <c r="I80" i="14"/>
  <c r="H58" i="17" s="1"/>
  <c r="H42" i="18" s="1"/>
  <c r="I81" i="14"/>
  <c r="L80" i="14"/>
  <c r="L81" i="14"/>
  <c r="N80" i="14"/>
  <c r="N76" i="14"/>
  <c r="O80" i="14"/>
  <c r="O81" i="14"/>
  <c r="P80" i="14"/>
  <c r="Q80" i="14"/>
  <c r="Q75" i="14"/>
  <c r="R75" i="14"/>
  <c r="S78" i="14"/>
  <c r="S81" i="14"/>
  <c r="T75" i="14"/>
  <c r="T76" i="14"/>
  <c r="U78" i="14"/>
  <c r="V78" i="14"/>
  <c r="V81" i="14"/>
  <c r="W78" i="14"/>
  <c r="X81" i="14"/>
  <c r="Y78" i="14"/>
  <c r="Z78" i="14"/>
  <c r="AA78" i="14"/>
  <c r="AA81" i="14"/>
  <c r="AC80" i="14"/>
  <c r="AC81" i="14"/>
  <c r="AD81" i="14"/>
  <c r="L10" i="14"/>
  <c r="H89" i="14"/>
  <c r="G53" i="18" s="1"/>
  <c r="M89" i="14"/>
  <c r="L53" i="18" s="1"/>
  <c r="R89" i="14"/>
  <c r="Q53" i="18" s="1"/>
  <c r="Z89" i="14"/>
  <c r="Y53" i="18" s="1"/>
  <c r="AT22" i="16"/>
  <c r="AT22" i="11" s="1"/>
  <c r="D100" i="18"/>
  <c r="U75" i="14"/>
  <c r="U76" i="14"/>
  <c r="W75" i="14"/>
  <c r="W76" i="14"/>
  <c r="AB76" i="14"/>
  <c r="AC76" i="14"/>
  <c r="AD75" i="14"/>
  <c r="V75" i="14"/>
  <c r="X75" i="14"/>
  <c r="X76" i="14"/>
  <c r="Y75" i="14"/>
  <c r="Y76" i="14"/>
  <c r="AA75" i="14"/>
  <c r="AB75" i="14"/>
  <c r="H73" i="14"/>
  <c r="P73" i="14"/>
  <c r="Z73" i="14"/>
  <c r="J73" i="14"/>
  <c r="R73" i="14"/>
  <c r="AD73" i="14"/>
  <c r="Y59" i="18"/>
  <c r="R94" i="14"/>
  <c r="Q58" i="18" s="1"/>
  <c r="F90" i="14"/>
  <c r="E54" i="18" s="1"/>
  <c r="H94" i="14"/>
  <c r="G58" i="18" s="1"/>
  <c r="N90" i="14"/>
  <c r="M54" i="18" s="1"/>
  <c r="T94" i="14"/>
  <c r="S58" i="18" s="1"/>
  <c r="X93" i="14"/>
  <c r="W57" i="18" s="1"/>
  <c r="AA92" i="14"/>
  <c r="Z56" i="18" s="1"/>
  <c r="P90" i="14"/>
  <c r="O54" i="18" s="1"/>
  <c r="X90" i="14"/>
  <c r="W54" i="18" s="1"/>
  <c r="AC94" i="14"/>
  <c r="AB58" i="18" s="1"/>
  <c r="M83" i="14"/>
  <c r="AF10" i="14"/>
  <c r="D84" i="14"/>
  <c r="I84" i="14"/>
  <c r="M84" i="14"/>
  <c r="R84" i="14"/>
  <c r="V84" i="14"/>
  <c r="AA84" i="14"/>
  <c r="AF11" i="14"/>
  <c r="G117" i="17"/>
  <c r="G118" i="17" s="1"/>
  <c r="M117" i="17"/>
  <c r="M118" i="17" s="1"/>
  <c r="R117" i="17"/>
  <c r="R118" i="17" s="1"/>
  <c r="X117" i="17"/>
  <c r="X118" i="17" s="1"/>
  <c r="AD117" i="17"/>
  <c r="AD118" i="17" s="1"/>
  <c r="AF89" i="14"/>
  <c r="AE59" i="18"/>
  <c r="AD58" i="18"/>
  <c r="AB57" i="18"/>
  <c r="M93" i="14"/>
  <c r="L57" i="18" s="1"/>
  <c r="L94" i="14"/>
  <c r="K58" i="18" s="1"/>
  <c r="N94" i="14"/>
  <c r="M58" i="18" s="1"/>
  <c r="D90" i="14"/>
  <c r="C54" i="18" s="1"/>
  <c r="J94" i="14"/>
  <c r="Q90" i="14"/>
  <c r="P54" i="18" s="1"/>
  <c r="P93" i="14"/>
  <c r="O57" i="18" s="1"/>
  <c r="X59" i="18"/>
  <c r="AB92" i="14"/>
  <c r="AA56" i="18" s="1"/>
  <c r="U94" i="14"/>
  <c r="T58" i="18" s="1"/>
  <c r="AC90" i="14"/>
  <c r="AB54" i="18" s="1"/>
  <c r="M91" i="14"/>
  <c r="L55" i="18" s="1"/>
  <c r="G90" i="14"/>
  <c r="F54" i="18" s="1"/>
  <c r="F83" i="14"/>
  <c r="F84" i="14"/>
  <c r="K84" i="14"/>
  <c r="T84" i="14"/>
  <c r="Y84" i="14"/>
  <c r="AC84" i="14"/>
  <c r="J117" i="17"/>
  <c r="J118" i="17" s="1"/>
  <c r="O117" i="17"/>
  <c r="O118" i="17" s="1"/>
  <c r="U117" i="17"/>
  <c r="U118" i="17" s="1"/>
  <c r="Z117" i="17"/>
  <c r="Z118" i="17" s="1"/>
  <c r="U89" i="14"/>
  <c r="T53" i="18" s="1"/>
  <c r="AB89" i="14"/>
  <c r="AA53" i="18" s="1"/>
  <c r="AC92" i="14"/>
  <c r="AB56" i="18" s="1"/>
  <c r="S94" i="14"/>
  <c r="R58" i="18" s="1"/>
  <c r="AA90" i="14"/>
  <c r="Z54" i="18" s="1"/>
  <c r="Z84" i="14"/>
  <c r="G9" i="14"/>
  <c r="K9" i="14"/>
  <c r="O9" i="14"/>
  <c r="S9" i="14"/>
  <c r="W9" i="14"/>
  <c r="AA9" i="14"/>
  <c r="AE9" i="14"/>
  <c r="R9" i="14"/>
  <c r="Z9" i="14"/>
  <c r="H9" i="14"/>
  <c r="L9" i="14"/>
  <c r="P9" i="14"/>
  <c r="T9" i="14"/>
  <c r="X9" i="14"/>
  <c r="AB9" i="14"/>
  <c r="AF9" i="14"/>
  <c r="N9" i="14"/>
  <c r="AD9" i="14"/>
  <c r="I9" i="14"/>
  <c r="M9" i="14"/>
  <c r="Q9" i="14"/>
  <c r="U9" i="14"/>
  <c r="Y9" i="14"/>
  <c r="AC9" i="14"/>
  <c r="AG9" i="14"/>
  <c r="J9" i="14"/>
  <c r="V9" i="14"/>
  <c r="C9" i="14"/>
  <c r="E9" i="14"/>
  <c r="F9" i="14"/>
  <c r="D9" i="14"/>
  <c r="AN39" i="16"/>
  <c r="AN40" i="11" s="1"/>
  <c r="AO54" i="16"/>
  <c r="AO65" i="11" s="1"/>
  <c r="AO36" i="16"/>
  <c r="AO37" i="11" s="1"/>
  <c r="AO18" i="16"/>
  <c r="AO18" i="11" s="1"/>
  <c r="AA61" i="50" s="1"/>
  <c r="AP18" i="16"/>
  <c r="AP18" i="11" s="1"/>
  <c r="H61" i="51" s="1"/>
  <c r="AQ40" i="8"/>
  <c r="AN54" i="16"/>
  <c r="AN65" i="11" s="1"/>
  <c r="AN9" i="16"/>
  <c r="AN9" i="11" s="1"/>
  <c r="AP37" i="16"/>
  <c r="AP38" i="11" s="1"/>
  <c r="AR35" i="8"/>
  <c r="E146" i="49"/>
  <c r="E129" i="49"/>
  <c r="E148" i="49" s="1"/>
  <c r="E149" i="49" s="1"/>
  <c r="N55" i="18"/>
  <c r="R55" i="18"/>
  <c r="G59" i="18"/>
  <c r="E58" i="18"/>
  <c r="Z124" i="14"/>
  <c r="P55" i="18"/>
  <c r="U59" i="18"/>
  <c r="R56" i="18"/>
  <c r="C55" i="18"/>
  <c r="T59" i="18"/>
  <c r="W55" i="18"/>
  <c r="Y123" i="14"/>
  <c r="Q91" i="16"/>
  <c r="R91" i="16"/>
  <c r="V59" i="18"/>
  <c r="P54" i="8"/>
  <c r="W121" i="14"/>
  <c r="U121" i="14"/>
  <c r="S121" i="14"/>
  <c r="Q121" i="14"/>
  <c r="O121" i="14"/>
  <c r="Q92" i="16"/>
  <c r="P89" i="16"/>
  <c r="Q89" i="16" s="1"/>
  <c r="C16" i="51"/>
  <c r="AE11" i="14"/>
  <c r="AE80" i="14"/>
  <c r="AE81" i="14"/>
  <c r="AF76" i="14"/>
  <c r="G83" i="14"/>
  <c r="N83" i="14"/>
  <c r="D11" i="14"/>
  <c r="G84" i="14"/>
  <c r="I11" i="14"/>
  <c r="K11" i="14"/>
  <c r="M11" i="14"/>
  <c r="P84" i="14"/>
  <c r="R11" i="14"/>
  <c r="T11" i="14"/>
  <c r="W84" i="14"/>
  <c r="Y11" i="14"/>
  <c r="AA11" i="14"/>
  <c r="AD84" i="14"/>
  <c r="AF84" i="14"/>
  <c r="AG11" i="14"/>
  <c r="C117" i="17"/>
  <c r="C118" i="17" s="1"/>
  <c r="F117" i="17"/>
  <c r="F118" i="17" s="1"/>
  <c r="I117" i="17"/>
  <c r="I118" i="17" s="1"/>
  <c r="L117" i="17"/>
  <c r="L118" i="17" s="1"/>
  <c r="P117" i="17"/>
  <c r="P118" i="17" s="1"/>
  <c r="S117" i="17"/>
  <c r="S118" i="17" s="1"/>
  <c r="W117" i="17"/>
  <c r="W118" i="17" s="1"/>
  <c r="AA117" i="17"/>
  <c r="AA118" i="17" s="1"/>
  <c r="AE117" i="17"/>
  <c r="AE118" i="17" s="1"/>
  <c r="T73" i="14"/>
  <c r="AB73" i="14"/>
  <c r="B26" i="2"/>
  <c r="P52" i="8"/>
  <c r="Q90" i="16"/>
  <c r="R90" i="16" s="1"/>
  <c r="E16" i="50"/>
  <c r="J16" i="50"/>
  <c r="L83" i="14"/>
  <c r="O83" i="14"/>
  <c r="AF41" i="14"/>
  <c r="AF61" i="14" s="1"/>
  <c r="P51" i="8"/>
  <c r="AU92" i="11"/>
  <c r="F16" i="50"/>
  <c r="AD80" i="14"/>
  <c r="AF80" i="14"/>
  <c r="P83" i="14"/>
  <c r="C11" i="14"/>
  <c r="E11" i="14"/>
  <c r="H84" i="14"/>
  <c r="J11" i="14"/>
  <c r="L11" i="14"/>
  <c r="O84" i="14"/>
  <c r="Q11" i="14"/>
  <c r="S11" i="14"/>
  <c r="U11" i="14"/>
  <c r="X84" i="14"/>
  <c r="Z11" i="14"/>
  <c r="AB11" i="14"/>
  <c r="AE84" i="14"/>
  <c r="AC117" i="17"/>
  <c r="AC118" i="17" s="1"/>
  <c r="D104" i="17"/>
  <c r="D109" i="17" s="1"/>
  <c r="F103" i="17"/>
  <c r="E104" i="17"/>
  <c r="E109" i="17" s="1"/>
  <c r="AQ24" i="16"/>
  <c r="AB34" i="17" s="1"/>
  <c r="AB24" i="18" s="1"/>
  <c r="AR25" i="8"/>
  <c r="AD17" i="50" s="1"/>
  <c r="Q90" i="11"/>
  <c r="Y90" i="11" s="1"/>
  <c r="T90" i="14"/>
  <c r="S54" i="18" s="1"/>
  <c r="U90" i="14"/>
  <c r="T54" i="18" s="1"/>
  <c r="AA54" i="18"/>
  <c r="E72" i="14"/>
  <c r="G72" i="14"/>
  <c r="K72" i="14"/>
  <c r="I72" i="14"/>
  <c r="O72" i="14"/>
  <c r="Q72" i="14"/>
  <c r="S72" i="14"/>
  <c r="U72" i="14"/>
  <c r="W72" i="14"/>
  <c r="Y72" i="14"/>
  <c r="AA72" i="14"/>
  <c r="AC72" i="14"/>
  <c r="AE72" i="14"/>
  <c r="AG72" i="14"/>
  <c r="C72" i="14"/>
  <c r="N72" i="14"/>
  <c r="P72" i="14"/>
  <c r="R72" i="14"/>
  <c r="T72" i="14"/>
  <c r="V72" i="14"/>
  <c r="X72" i="14"/>
  <c r="Z72" i="14"/>
  <c r="AB72" i="14"/>
  <c r="AD72" i="14"/>
  <c r="AF72" i="14"/>
  <c r="D72" i="14"/>
  <c r="F72" i="14"/>
  <c r="H72" i="14"/>
  <c r="J72" i="14"/>
  <c r="L72" i="14"/>
  <c r="AT37" i="16"/>
  <c r="AT38" i="11" s="1"/>
  <c r="AT39" i="8"/>
  <c r="AS20" i="16"/>
  <c r="AS20" i="11" s="1"/>
  <c r="AB40" i="8"/>
  <c r="M45" i="38" s="1"/>
  <c r="AB54" i="16"/>
  <c r="AB65" i="11" s="1"/>
  <c r="AB44" i="16"/>
  <c r="AB45" i="11" s="1"/>
  <c r="AB25" i="8"/>
  <c r="N17" i="50" s="1"/>
  <c r="AB33" i="16"/>
  <c r="AB34" i="11" s="1"/>
  <c r="N65" i="50" s="1"/>
  <c r="AB24" i="16"/>
  <c r="M34" i="17" s="1"/>
  <c r="M24" i="18" s="1"/>
  <c r="AB21" i="16"/>
  <c r="AB21" i="11" s="1"/>
  <c r="N62" i="50" s="1"/>
  <c r="AB15" i="8"/>
  <c r="N10" i="50" s="1"/>
  <c r="AB9" i="16"/>
  <c r="AB9" i="11" s="1"/>
  <c r="AC61" i="16"/>
  <c r="AC72" i="11" s="1"/>
  <c r="AC58" i="16"/>
  <c r="AC69" i="11" s="1"/>
  <c r="O68" i="50" s="1"/>
  <c r="AC35" i="8"/>
  <c r="AC42" i="16"/>
  <c r="AC43" i="11" s="1"/>
  <c r="AC38" i="16"/>
  <c r="AC39" i="11" s="1"/>
  <c r="AC36" i="16"/>
  <c r="AC37" i="11" s="1"/>
  <c r="AC31" i="16"/>
  <c r="AC32" i="11" s="1"/>
  <c r="AC22" i="16"/>
  <c r="AC22" i="11" s="1"/>
  <c r="AC19" i="16"/>
  <c r="AC19" i="11" s="1"/>
  <c r="AC9" i="8"/>
  <c r="N9" i="38" s="1"/>
  <c r="AD62" i="16"/>
  <c r="AD73" i="11" s="1"/>
  <c r="AD39" i="8"/>
  <c r="AD56" i="16"/>
  <c r="AD67" i="11" s="1"/>
  <c r="P71" i="50" s="1"/>
  <c r="AD53" i="16"/>
  <c r="AD64" i="11" s="1"/>
  <c r="AD28" i="8"/>
  <c r="AD39" i="16"/>
  <c r="AD40" i="11" s="1"/>
  <c r="AD26" i="8"/>
  <c r="P15" i="50" s="1"/>
  <c r="AD24" i="8"/>
  <c r="O27" i="38" s="1"/>
  <c r="AD23" i="8"/>
  <c r="AD17" i="8"/>
  <c r="AD20" i="16"/>
  <c r="AD20" i="11" s="1"/>
  <c r="AD10" i="16"/>
  <c r="AD10" i="11" s="1"/>
  <c r="AD8" i="16"/>
  <c r="AD8" i="11" s="1"/>
  <c r="P58" i="50" s="1"/>
  <c r="AE62" i="16"/>
  <c r="P79" i="17" s="1"/>
  <c r="P73" i="18" s="1"/>
  <c r="AE58" i="16"/>
  <c r="AE69" i="11" s="1"/>
  <c r="Q68" i="50" s="1"/>
  <c r="AE35" i="8"/>
  <c r="AE43" i="16"/>
  <c r="AE44" i="11" s="1"/>
  <c r="AE41" i="16"/>
  <c r="AE42" i="11" s="1"/>
  <c r="AE37" i="16"/>
  <c r="AE38" i="11" s="1"/>
  <c r="AE24" i="8"/>
  <c r="AE31" i="16"/>
  <c r="AE32" i="11" s="1"/>
  <c r="AE20" i="16"/>
  <c r="AE20" i="11" s="1"/>
  <c r="AE8" i="16"/>
  <c r="AE8" i="11" s="1"/>
  <c r="Q58" i="50" s="1"/>
  <c r="AF62" i="16"/>
  <c r="Q79" i="17" s="1"/>
  <c r="AF37" i="8"/>
  <c r="R20" i="50" s="1"/>
  <c r="AF34" i="8"/>
  <c r="F14" i="51" s="1"/>
  <c r="AF39" i="16"/>
  <c r="AF40" i="11" s="1"/>
  <c r="AF34" i="16"/>
  <c r="AF35" i="11" s="1"/>
  <c r="AF32" i="16"/>
  <c r="AF33" i="11" s="1"/>
  <c r="AF21" i="16"/>
  <c r="AF21" i="11" s="1"/>
  <c r="F62" i="51" s="1"/>
  <c r="AF9" i="16"/>
  <c r="AF9" i="11" s="1"/>
  <c r="AG60" i="16"/>
  <c r="AG71" i="11" s="1"/>
  <c r="AG35" i="8"/>
  <c r="AG43" i="16"/>
  <c r="R60" i="17" s="1"/>
  <c r="R44" i="18" s="1"/>
  <c r="AG15" i="8"/>
  <c r="S10" i="50" s="1"/>
  <c r="AH61" i="16"/>
  <c r="AH72" i="11" s="1"/>
  <c r="AH56" i="16"/>
  <c r="AH67" i="11" s="1"/>
  <c r="T71" i="50" s="1"/>
  <c r="AH43" i="16"/>
  <c r="S60" i="17" s="1"/>
  <c r="S44" i="18" s="1"/>
  <c r="AH15" i="8"/>
  <c r="T10" i="50" s="1"/>
  <c r="AI61" i="16"/>
  <c r="AI72" i="11" s="1"/>
  <c r="AI56" i="16"/>
  <c r="AI67" i="11" s="1"/>
  <c r="U71" i="50" s="1"/>
  <c r="AI43" i="16"/>
  <c r="T60" i="17" s="1"/>
  <c r="T44" i="18" s="1"/>
  <c r="AI15" i="8"/>
  <c r="U10" i="50" s="1"/>
  <c r="AJ61" i="16"/>
  <c r="AJ72" i="11" s="1"/>
  <c r="AJ44" i="16"/>
  <c r="AJ45" i="11" s="1"/>
  <c r="AJ17" i="8"/>
  <c r="AK44" i="16"/>
  <c r="V61" i="17" s="1"/>
  <c r="V45" i="18" s="1"/>
  <c r="AK24" i="8"/>
  <c r="AK20" i="16"/>
  <c r="AK20" i="11" s="1"/>
  <c r="AL37" i="8"/>
  <c r="X20" i="50" s="1"/>
  <c r="AL24" i="8"/>
  <c r="AL19" i="16"/>
  <c r="AL19" i="11" s="1"/>
  <c r="AM41" i="16"/>
  <c r="AM42" i="11" s="1"/>
  <c r="AM34" i="16"/>
  <c r="AM35" i="11" s="1"/>
  <c r="AM17" i="8"/>
  <c r="AN43" i="16"/>
  <c r="Y60" i="17" s="1"/>
  <c r="Y44" i="18" s="1"/>
  <c r="AN25" i="8"/>
  <c r="Z17" i="50" s="1"/>
  <c r="AO37" i="8"/>
  <c r="AA20" i="50" s="1"/>
  <c r="AO42" i="16"/>
  <c r="AO43" i="11" s="1"/>
  <c r="AP60" i="16"/>
  <c r="AP71" i="11" s="1"/>
  <c r="AP23" i="8"/>
  <c r="AQ37" i="16"/>
  <c r="AQ38" i="11" s="1"/>
  <c r="AQ16" i="8"/>
  <c r="AC11" i="50" s="1"/>
  <c r="AR32" i="16"/>
  <c r="AR33" i="11" s="1"/>
  <c r="AS36" i="16"/>
  <c r="AS37" i="11" s="1"/>
  <c r="AS19" i="16"/>
  <c r="AS19" i="11" s="1"/>
  <c r="AB37" i="8"/>
  <c r="N20" i="50" s="1"/>
  <c r="AB34" i="8"/>
  <c r="N14" i="50" s="1"/>
  <c r="AB43" i="16"/>
  <c r="M60" i="17" s="1"/>
  <c r="M44" i="18" s="1"/>
  <c r="AB41" i="16"/>
  <c r="AB42" i="11" s="1"/>
  <c r="AB37" i="16"/>
  <c r="AB38" i="11" s="1"/>
  <c r="AB34" i="16"/>
  <c r="AB35" i="11" s="1"/>
  <c r="AB32" i="16"/>
  <c r="AB33" i="11" s="1"/>
  <c r="AB16" i="8"/>
  <c r="N11" i="50" s="1"/>
  <c r="AB18" i="16"/>
  <c r="AB18" i="11" s="1"/>
  <c r="N61" i="50" s="1"/>
  <c r="AB8" i="8"/>
  <c r="N7" i="50" s="1"/>
  <c r="AB30" i="8"/>
  <c r="N16" i="50" s="1"/>
  <c r="AC40" i="8"/>
  <c r="AC54" i="16"/>
  <c r="AC65" i="11" s="1"/>
  <c r="AC44" i="16"/>
  <c r="AC45" i="11" s="1"/>
  <c r="AC25" i="8"/>
  <c r="AC33" i="16"/>
  <c r="AC34" i="11" s="1"/>
  <c r="O65" i="50" s="1"/>
  <c r="AC24" i="16"/>
  <c r="AC24" i="11" s="1"/>
  <c r="AC21" i="16"/>
  <c r="AC21" i="11" s="1"/>
  <c r="O62" i="50" s="1"/>
  <c r="AC15" i="8"/>
  <c r="O10" i="50" s="1"/>
  <c r="AC9" i="16"/>
  <c r="AC9" i="11" s="1"/>
  <c r="AD61" i="16"/>
  <c r="AD72" i="11" s="1"/>
  <c r="AD58" i="16"/>
  <c r="AD69" i="11" s="1"/>
  <c r="P68" i="50" s="1"/>
  <c r="AD35" i="8"/>
  <c r="O40" i="38" s="1"/>
  <c r="AD42" i="16"/>
  <c r="AD43" i="11" s="1"/>
  <c r="AD38" i="16"/>
  <c r="AD39" i="11" s="1"/>
  <c r="AD36" i="16"/>
  <c r="AD37" i="11" s="1"/>
  <c r="AD31" i="16"/>
  <c r="AD32" i="11" s="1"/>
  <c r="AD22" i="16"/>
  <c r="AD22" i="11" s="1"/>
  <c r="AD19" i="16"/>
  <c r="AD19" i="11" s="1"/>
  <c r="AD9" i="8"/>
  <c r="O9" i="38" s="1"/>
  <c r="AE61" i="16"/>
  <c r="AE72" i="11" s="1"/>
  <c r="AE34" i="8"/>
  <c r="Q14" i="50" s="1"/>
  <c r="AE28" i="8"/>
  <c r="P31" i="38" s="1"/>
  <c r="AE39" i="16"/>
  <c r="AE40" i="11" s="1"/>
  <c r="AE26" i="8"/>
  <c r="Q15" i="50" s="1"/>
  <c r="AE18" i="16"/>
  <c r="AE18" i="11" s="1"/>
  <c r="Q61" i="50" s="1"/>
  <c r="AF40" i="8"/>
  <c r="AF43" i="16"/>
  <c r="Q60" i="17" s="1"/>
  <c r="Q44" i="18" s="1"/>
  <c r="AF24" i="8"/>
  <c r="AF23" i="8"/>
  <c r="AF20" i="16"/>
  <c r="AF20" i="11" s="1"/>
  <c r="AF8" i="8"/>
  <c r="F7" i="51" s="1"/>
  <c r="AF30" i="8"/>
  <c r="F16" i="51" s="1"/>
  <c r="AG58" i="16"/>
  <c r="AG69" i="11" s="1"/>
  <c r="S68" i="50" s="1"/>
  <c r="AG54" i="16"/>
  <c r="AG65" i="11" s="1"/>
  <c r="AG37" i="16"/>
  <c r="AG38" i="11" s="1"/>
  <c r="AG33" i="16"/>
  <c r="AG34" i="11" s="1"/>
  <c r="S65" i="50" s="1"/>
  <c r="AG22" i="16"/>
  <c r="AG22" i="11" s="1"/>
  <c r="AG9" i="8"/>
  <c r="AH40" i="8"/>
  <c r="AH35" i="8"/>
  <c r="AH37" i="16"/>
  <c r="AH38" i="11" s="1"/>
  <c r="AH33" i="16"/>
  <c r="AH34" i="11" s="1"/>
  <c r="T65" i="50" s="1"/>
  <c r="AH22" i="16"/>
  <c r="AH22" i="11" s="1"/>
  <c r="AH9" i="8"/>
  <c r="AI40" i="8"/>
  <c r="AI35" i="8"/>
  <c r="AI37" i="16"/>
  <c r="AI38" i="11" s="1"/>
  <c r="AI33" i="16"/>
  <c r="AI34" i="11" s="1"/>
  <c r="U65" i="50" s="1"/>
  <c r="AI22" i="16"/>
  <c r="AI22" i="11" s="1"/>
  <c r="AI9" i="8"/>
  <c r="AJ40" i="8"/>
  <c r="AJ56" i="16"/>
  <c r="AJ67" i="11" s="1"/>
  <c r="V71" i="50" s="1"/>
  <c r="AJ42" i="16"/>
  <c r="AJ43" i="11" s="1"/>
  <c r="AJ26" i="8"/>
  <c r="V15" i="50" s="1"/>
  <c r="AJ33" i="16"/>
  <c r="AJ34" i="11" s="1"/>
  <c r="V65" i="50" s="1"/>
  <c r="AJ19" i="16"/>
  <c r="AJ19" i="11" s="1"/>
  <c r="AK37" i="8"/>
  <c r="W20" i="50" s="1"/>
  <c r="AK15" i="8"/>
  <c r="G10" i="51" s="1"/>
  <c r="AL53" i="16"/>
  <c r="AL64" i="11" s="1"/>
  <c r="AL38" i="16"/>
  <c r="AL39" i="11" s="1"/>
  <c r="AM37" i="8"/>
  <c r="Y20" i="50" s="1"/>
  <c r="AM38" i="16"/>
  <c r="AM39" i="11" s="1"/>
  <c r="AM18" i="16"/>
  <c r="AM18" i="11" s="1"/>
  <c r="Y61" i="50" s="1"/>
  <c r="AN56" i="16"/>
  <c r="AN67" i="11" s="1"/>
  <c r="Z71" i="50" s="1"/>
  <c r="AN24" i="8"/>
  <c r="AN16" i="8"/>
  <c r="Z11" i="50" s="1"/>
  <c r="AP24" i="16"/>
  <c r="AA34" i="17" s="1"/>
  <c r="AA24" i="18" s="1"/>
  <c r="AQ44" i="16"/>
  <c r="AQ45" i="11" s="1"/>
  <c r="AQ8" i="16"/>
  <c r="AQ8" i="11" s="1"/>
  <c r="AC58" i="50" s="1"/>
  <c r="AR61" i="16"/>
  <c r="AR72" i="11" s="1"/>
  <c r="AS54" i="16"/>
  <c r="AS65" i="11" s="1"/>
  <c r="AJ13" i="16"/>
  <c r="H100" i="18"/>
  <c r="L100" i="18"/>
  <c r="P100" i="18"/>
  <c r="T100" i="18"/>
  <c r="X100" i="18"/>
  <c r="AB100" i="18"/>
  <c r="AF100" i="18"/>
  <c r="G100" i="18"/>
  <c r="K100" i="18"/>
  <c r="W100" i="18"/>
  <c r="E100" i="18"/>
  <c r="I100" i="18"/>
  <c r="M100" i="18"/>
  <c r="Q100" i="18"/>
  <c r="U100" i="18"/>
  <c r="Y100" i="18"/>
  <c r="AC100" i="18"/>
  <c r="B100" i="18"/>
  <c r="S100" i="18"/>
  <c r="AE100" i="18"/>
  <c r="F100" i="18"/>
  <c r="J100" i="18"/>
  <c r="N100" i="18"/>
  <c r="R100" i="18"/>
  <c r="V100" i="18"/>
  <c r="Z100" i="18"/>
  <c r="AD100" i="18"/>
  <c r="Q31" i="16"/>
  <c r="Q32" i="11" s="1"/>
  <c r="C100" i="18"/>
  <c r="O100" i="18"/>
  <c r="AA100" i="18"/>
  <c r="AF91" i="11"/>
  <c r="AG91" i="11" s="1"/>
  <c r="AT35" i="8"/>
  <c r="AT9" i="8"/>
  <c r="AU34" i="8"/>
  <c r="I14" i="51" s="1"/>
  <c r="AT31" i="16"/>
  <c r="AT32" i="11" s="1"/>
  <c r="AU20" i="16"/>
  <c r="AU20" i="11" s="1"/>
  <c r="AV20" i="11" s="1"/>
  <c r="AR30" i="8"/>
  <c r="AD16" i="50" s="1"/>
  <c r="AU25" i="8"/>
  <c r="I17" i="51" s="1"/>
  <c r="AE17" i="8"/>
  <c r="P18" i="38" s="1"/>
  <c r="AE19" i="16"/>
  <c r="AE19" i="11" s="1"/>
  <c r="AE8" i="8"/>
  <c r="Q7" i="50" s="1"/>
  <c r="AE30" i="8"/>
  <c r="Q16" i="50" s="1"/>
  <c r="AF60" i="16"/>
  <c r="AF71" i="11" s="1"/>
  <c r="AF44" i="16"/>
  <c r="Q61" i="17" s="1"/>
  <c r="Q45" i="18" s="1"/>
  <c r="AF41" i="16"/>
  <c r="AF26" i="8"/>
  <c r="F15" i="51" s="1"/>
  <c r="AF24" i="16"/>
  <c r="Q34" i="17" s="1"/>
  <c r="Q24" i="18" s="1"/>
  <c r="AF16" i="8"/>
  <c r="F11" i="51" s="1"/>
  <c r="AF10" i="16"/>
  <c r="AF10" i="11" s="1"/>
  <c r="AG61" i="16"/>
  <c r="AG72" i="11" s="1"/>
  <c r="AG34" i="8"/>
  <c r="S14" i="50" s="1"/>
  <c r="AG42" i="16"/>
  <c r="AG43" i="11" s="1"/>
  <c r="AG34" i="16"/>
  <c r="AG35" i="11" s="1"/>
  <c r="AG31" i="16"/>
  <c r="AG32" i="11" s="1"/>
  <c r="AG21" i="16"/>
  <c r="AG21" i="11" s="1"/>
  <c r="S62" i="50" s="1"/>
  <c r="AG18" i="16"/>
  <c r="AG18" i="11" s="1"/>
  <c r="S61" i="50" s="1"/>
  <c r="AH62" i="16"/>
  <c r="S79" i="17" s="1"/>
  <c r="AH58" i="16"/>
  <c r="AH69" i="11" s="1"/>
  <c r="T68" i="50" s="1"/>
  <c r="AH54" i="16"/>
  <c r="AH65" i="11" s="1"/>
  <c r="AH42" i="16"/>
  <c r="AH43" i="11" s="1"/>
  <c r="AH34" i="16"/>
  <c r="AH35" i="11" s="1"/>
  <c r="AH31" i="16"/>
  <c r="AH32" i="11" s="1"/>
  <c r="AH21" i="16"/>
  <c r="AH21" i="11" s="1"/>
  <c r="T62" i="50" s="1"/>
  <c r="AH18" i="16"/>
  <c r="AH18" i="11" s="1"/>
  <c r="T61" i="50" s="1"/>
  <c r="AI62" i="16"/>
  <c r="T79" i="17" s="1"/>
  <c r="T62" i="10" s="1"/>
  <c r="AI58" i="16"/>
  <c r="AI69" i="11" s="1"/>
  <c r="U68" i="50" s="1"/>
  <c r="AI54" i="16"/>
  <c r="AI65" i="11" s="1"/>
  <c r="AI42" i="16"/>
  <c r="AI43" i="11" s="1"/>
  <c r="AI34" i="16"/>
  <c r="AI35" i="11" s="1"/>
  <c r="AI31" i="16"/>
  <c r="AI32" i="11" s="1"/>
  <c r="AI21" i="16"/>
  <c r="AI21" i="11" s="1"/>
  <c r="U62" i="50" s="1"/>
  <c r="AI18" i="16"/>
  <c r="AI18" i="11" s="1"/>
  <c r="U61" i="50" s="1"/>
  <c r="AJ62" i="16"/>
  <c r="AJ73" i="11" s="1"/>
  <c r="AJ58" i="16"/>
  <c r="AJ69" i="11" s="1"/>
  <c r="V68" i="50" s="1"/>
  <c r="AJ35" i="8"/>
  <c r="AJ28" i="8"/>
  <c r="U31" i="38" s="1"/>
  <c r="AJ38" i="16"/>
  <c r="AJ39" i="11" s="1"/>
  <c r="AJ25" i="8"/>
  <c r="V17" i="50" s="1"/>
  <c r="AJ23" i="8"/>
  <c r="AJ20" i="16"/>
  <c r="AJ20" i="11" s="1"/>
  <c r="AK39" i="8"/>
  <c r="AL61" i="16"/>
  <c r="AL72" i="11" s="1"/>
  <c r="AL31" i="16"/>
  <c r="AL32" i="11" s="1"/>
  <c r="AL8" i="8"/>
  <c r="X7" i="50" s="1"/>
  <c r="AM62" i="16"/>
  <c r="X79" i="17" s="1"/>
  <c r="X73" i="18" s="1"/>
  <c r="AM43" i="16"/>
  <c r="X60" i="17" s="1"/>
  <c r="X44" i="18" s="1"/>
  <c r="AM32" i="16"/>
  <c r="AM33" i="11" s="1"/>
  <c r="AM22" i="16"/>
  <c r="AM22" i="11" s="1"/>
  <c r="AN44" i="16"/>
  <c r="Y61" i="17" s="1"/>
  <c r="Y45" i="18" s="1"/>
  <c r="AN23" i="8"/>
  <c r="AN20" i="16"/>
  <c r="AN20" i="11" s="1"/>
  <c r="AP39" i="8"/>
  <c r="AP43" i="16"/>
  <c r="AA60" i="17" s="1"/>
  <c r="AA44" i="18" s="1"/>
  <c r="AP25" i="8"/>
  <c r="H17" i="51" s="1"/>
  <c r="AQ32" i="16"/>
  <c r="AQ33" i="11" s="1"/>
  <c r="AQ15" i="8"/>
  <c r="AC10" i="50" s="1"/>
  <c r="AR34" i="8"/>
  <c r="AD14" i="50" s="1"/>
  <c r="AR34" i="16"/>
  <c r="AR35" i="11" s="1"/>
  <c r="AR15" i="8"/>
  <c r="AD10" i="50" s="1"/>
  <c r="AS39" i="8"/>
  <c r="AS39" i="16"/>
  <c r="AS40" i="11" s="1"/>
  <c r="AS32" i="16"/>
  <c r="AS33" i="11" s="1"/>
  <c r="AT32" i="16"/>
  <c r="AT33" i="11" s="1"/>
  <c r="AT21" i="16"/>
  <c r="AT21" i="11" s="1"/>
  <c r="AF62" i="50" s="1"/>
  <c r="AO61" i="16"/>
  <c r="AO72" i="11" s="1"/>
  <c r="AO35" i="8"/>
  <c r="AO32" i="16"/>
  <c r="AO33" i="11" s="1"/>
  <c r="AO10" i="16"/>
  <c r="AO10" i="11" s="1"/>
  <c r="AP54" i="16"/>
  <c r="AP65" i="11" s="1"/>
  <c r="AP20" i="16"/>
  <c r="AP20" i="11" s="1"/>
  <c r="AQ28" i="8"/>
  <c r="AQ26" i="8"/>
  <c r="AC15" i="50" s="1"/>
  <c r="AR42" i="16"/>
  <c r="AR43" i="11" s="1"/>
  <c r="AR18" i="16"/>
  <c r="AR18" i="11" s="1"/>
  <c r="AD61" i="50" s="1"/>
  <c r="AS60" i="16"/>
  <c r="AS71" i="11" s="1"/>
  <c r="AS34" i="8"/>
  <c r="AE14" i="50" s="1"/>
  <c r="AS26" i="8"/>
  <c r="AE15" i="50" s="1"/>
  <c r="AS31" i="16"/>
  <c r="AS32" i="11" s="1"/>
  <c r="AT42" i="16"/>
  <c r="AT43" i="11" s="1"/>
  <c r="AT25" i="8"/>
  <c r="AF17" i="50" s="1"/>
  <c r="AT8" i="8"/>
  <c r="AF7" i="50" s="1"/>
  <c r="AU62" i="16"/>
  <c r="AF79" i="17" s="1"/>
  <c r="AU36" i="16"/>
  <c r="AU37" i="11" s="1"/>
  <c r="AV37" i="11" s="1"/>
  <c r="AU32" i="16"/>
  <c r="AU33" i="11" s="1"/>
  <c r="AI36" i="8"/>
  <c r="U18" i="50" s="1"/>
  <c r="AJ57" i="16"/>
  <c r="AJ68" i="11" s="1"/>
  <c r="V70" i="50" s="1"/>
  <c r="AU8" i="8"/>
  <c r="I7" i="51" s="1"/>
  <c r="AO38" i="8"/>
  <c r="AA19" i="50" s="1"/>
  <c r="AI41" i="8"/>
  <c r="AO36" i="8"/>
  <c r="AA18" i="50" s="1"/>
  <c r="W38" i="8"/>
  <c r="I19" i="50" s="1"/>
  <c r="Z38" i="8"/>
  <c r="L19" i="50" s="1"/>
  <c r="AD38" i="8"/>
  <c r="P19" i="50" s="1"/>
  <c r="AJ38" i="8"/>
  <c r="V19" i="50" s="1"/>
  <c r="AL38" i="8"/>
  <c r="X19" i="50" s="1"/>
  <c r="S55" i="16"/>
  <c r="S66" i="11" s="1"/>
  <c r="E69" i="50" s="1"/>
  <c r="U57" i="16"/>
  <c r="U68" i="11" s="1"/>
  <c r="G70" i="50" s="1"/>
  <c r="V41" i="8"/>
  <c r="Z57" i="16"/>
  <c r="Z68" i="11" s="1"/>
  <c r="L70" i="50" s="1"/>
  <c r="AQ55" i="16"/>
  <c r="AQ66" i="11" s="1"/>
  <c r="AC69" i="50" s="1"/>
  <c r="V36" i="8"/>
  <c r="AH36" i="8"/>
  <c r="Y38" i="8"/>
  <c r="K19" i="50" s="1"/>
  <c r="R55" i="16"/>
  <c r="R66" i="11" s="1"/>
  <c r="D69" i="50" s="1"/>
  <c r="AP55" i="16"/>
  <c r="AP66" i="11" s="1"/>
  <c r="H69" i="51" s="1"/>
  <c r="AE57" i="16"/>
  <c r="AE68" i="11" s="1"/>
  <c r="Q70" i="50" s="1"/>
  <c r="AL57" i="16"/>
  <c r="AL68" i="11" s="1"/>
  <c r="X70" i="50" s="1"/>
  <c r="AD11" i="8"/>
  <c r="P9" i="50" s="1"/>
  <c r="R74" i="16"/>
  <c r="C55" i="15" s="1"/>
  <c r="AD57" i="16"/>
  <c r="AD68" i="11" s="1"/>
  <c r="P70" i="50" s="1"/>
  <c r="AK57" i="16"/>
  <c r="AK68" i="11" s="1"/>
  <c r="G70" i="51" s="1"/>
  <c r="AI11" i="16"/>
  <c r="AI11" i="11" s="1"/>
  <c r="U59" i="50" s="1"/>
  <c r="X13" i="16"/>
  <c r="Z11" i="8"/>
  <c r="L9" i="50" s="1"/>
  <c r="U11" i="16"/>
  <c r="AH11" i="16"/>
  <c r="AH11" i="11" s="1"/>
  <c r="T59" i="50" s="1"/>
  <c r="U83" i="16"/>
  <c r="F64" i="15" s="1"/>
  <c r="AC48" i="16"/>
  <c r="N34" i="38" s="1"/>
  <c r="U11" i="8"/>
  <c r="G9" i="50" s="1"/>
  <c r="AN11" i="8"/>
  <c r="Z9" i="50" s="1"/>
  <c r="AT11" i="8"/>
  <c r="AF9" i="50" s="1"/>
  <c r="R11" i="16"/>
  <c r="R11" i="11" s="1"/>
  <c r="D59" i="50" s="1"/>
  <c r="AE11" i="16"/>
  <c r="AE11" i="11" s="1"/>
  <c r="Q59" i="50" s="1"/>
  <c r="U63" i="16"/>
  <c r="AE48" i="16"/>
  <c r="Q46" i="8"/>
  <c r="X81" i="16"/>
  <c r="I139" i="17" s="1"/>
  <c r="AA24" i="11"/>
  <c r="AJ22" i="16"/>
  <c r="AJ22" i="11" s="1"/>
  <c r="AJ15" i="8"/>
  <c r="V10" i="50" s="1"/>
  <c r="AJ8" i="16"/>
  <c r="AJ8" i="11" s="1"/>
  <c r="V58" i="50" s="1"/>
  <c r="AK62" i="16"/>
  <c r="V79" i="17" s="1"/>
  <c r="AK58" i="16"/>
  <c r="AK35" i="8"/>
  <c r="AK42" i="16"/>
  <c r="AK43" i="11" s="1"/>
  <c r="AK26" i="8"/>
  <c r="W15" i="50" s="1"/>
  <c r="AK33" i="16"/>
  <c r="AK22" i="16"/>
  <c r="AK22" i="11" s="1"/>
  <c r="AK10" i="16"/>
  <c r="AK10" i="11" s="1"/>
  <c r="AL60" i="16"/>
  <c r="AL71" i="11" s="1"/>
  <c r="AL35" i="8"/>
  <c r="AL43" i="16"/>
  <c r="AL41" i="16"/>
  <c r="AL42" i="11" s="1"/>
  <c r="AL37" i="16"/>
  <c r="AL17" i="8"/>
  <c r="AL10" i="16"/>
  <c r="AM40" i="8"/>
  <c r="AM56" i="16"/>
  <c r="AM67" i="11" s="1"/>
  <c r="Y71" i="50" s="1"/>
  <c r="AM42" i="16"/>
  <c r="AM43" i="11" s="1"/>
  <c r="AM24" i="8"/>
  <c r="AM31" i="16"/>
  <c r="AM32" i="11" s="1"/>
  <c r="AM16" i="8"/>
  <c r="Y11" i="50" s="1"/>
  <c r="AM8" i="8"/>
  <c r="AM30" i="8"/>
  <c r="Y16" i="50" s="1"/>
  <c r="AN39" i="8"/>
  <c r="Y39" i="15" s="1"/>
  <c r="AN34" i="8"/>
  <c r="Z14" i="50" s="1"/>
  <c r="AN37" i="16"/>
  <c r="AN38" i="11" s="1"/>
  <c r="AN18" i="16"/>
  <c r="AN18" i="11" s="1"/>
  <c r="Z61" i="50" s="1"/>
  <c r="AO40" i="8"/>
  <c r="AO41" i="16"/>
  <c r="AO42" i="11" s="1"/>
  <c r="AO34" i="16"/>
  <c r="AO35" i="11" s="1"/>
  <c r="AO23" i="8"/>
  <c r="AO22" i="16"/>
  <c r="AO22" i="11" s="1"/>
  <c r="AO8" i="8"/>
  <c r="AA7" i="50" s="1"/>
  <c r="AP39" i="16"/>
  <c r="AP24" i="8"/>
  <c r="AP9" i="16"/>
  <c r="AP9" i="11" s="1"/>
  <c r="AQ37" i="8"/>
  <c r="AC20" i="50" s="1"/>
  <c r="AQ24" i="8"/>
  <c r="AQ18" i="16"/>
  <c r="AR58" i="16"/>
  <c r="AR69" i="11" s="1"/>
  <c r="AD68" i="50" s="1"/>
  <c r="AR41" i="16"/>
  <c r="AC58" i="17" s="1"/>
  <c r="AC42" i="18" s="1"/>
  <c r="AR17" i="8"/>
  <c r="AR9" i="16"/>
  <c r="AR9" i="11" s="1"/>
  <c r="AS28" i="8"/>
  <c r="AS38" i="16"/>
  <c r="AS39" i="11" s="1"/>
  <c r="AS24" i="8"/>
  <c r="AS9" i="8"/>
  <c r="AT62" i="16"/>
  <c r="AE79" i="17" s="1"/>
  <c r="AT54" i="16"/>
  <c r="AT65" i="11" s="1"/>
  <c r="AT38" i="16"/>
  <c r="AT34" i="16"/>
  <c r="AT35" i="11" s="1"/>
  <c r="AT24" i="16"/>
  <c r="AE34" i="17" s="1"/>
  <c r="AE24" i="18" s="1"/>
  <c r="AT16" i="8"/>
  <c r="AF11" i="50" s="1"/>
  <c r="AU39" i="8"/>
  <c r="AF39" i="15" s="1"/>
  <c r="AF39" i="36" s="1"/>
  <c r="AU37" i="8"/>
  <c r="AU39" i="16"/>
  <c r="AU40" i="11" s="1"/>
  <c r="AU15" i="8"/>
  <c r="AG10" i="50" s="1"/>
  <c r="W36" i="8"/>
  <c r="AA36" i="8"/>
  <c r="AE36" i="8"/>
  <c r="Q18" i="50" s="1"/>
  <c r="AM36" i="8"/>
  <c r="Y18" i="50" s="1"/>
  <c r="AR36" i="8"/>
  <c r="AD18" i="50" s="1"/>
  <c r="T38" i="8"/>
  <c r="F19" i="50" s="1"/>
  <c r="V38" i="8"/>
  <c r="H19" i="50" s="1"/>
  <c r="AE38" i="8"/>
  <c r="AF55" i="16"/>
  <c r="AF66" i="11" s="1"/>
  <c r="F69" i="51" s="1"/>
  <c r="AO55" i="16"/>
  <c r="R11" i="8"/>
  <c r="D9" i="50" s="1"/>
  <c r="AK11" i="8"/>
  <c r="W9" i="50" s="1"/>
  <c r="Y11" i="16"/>
  <c r="Y11" i="11" s="1"/>
  <c r="K59" i="50" s="1"/>
  <c r="AD11" i="16"/>
  <c r="AG11" i="16"/>
  <c r="AG11" i="11" s="1"/>
  <c r="S59" i="50" s="1"/>
  <c r="S78" i="16"/>
  <c r="D136" i="17" s="1"/>
  <c r="V74" i="16"/>
  <c r="G132" i="17" s="1"/>
  <c r="Y63" i="16"/>
  <c r="AH48" i="16"/>
  <c r="AJ24" i="16"/>
  <c r="U34" i="17" s="1"/>
  <c r="U24" i="18" s="1"/>
  <c r="AJ21" i="16"/>
  <c r="AJ21" i="11" s="1"/>
  <c r="V62" i="50" s="1"/>
  <c r="AJ10" i="16"/>
  <c r="AK61" i="16"/>
  <c r="AK72" i="11" s="1"/>
  <c r="AK53" i="16"/>
  <c r="AK64" i="11" s="1"/>
  <c r="AK36" i="16"/>
  <c r="AK37" i="11" s="1"/>
  <c r="AK31" i="16"/>
  <c r="AK32" i="11" s="1"/>
  <c r="AK21" i="16"/>
  <c r="AK21" i="11" s="1"/>
  <c r="G62" i="51" s="1"/>
  <c r="AK9" i="8"/>
  <c r="AL58" i="16"/>
  <c r="AL69" i="11" s="1"/>
  <c r="X68" i="50" s="1"/>
  <c r="AL34" i="8"/>
  <c r="X14" i="50" s="1"/>
  <c r="AL28" i="8"/>
  <c r="AL39" i="16"/>
  <c r="AL40" i="11" s="1"/>
  <c r="AL26" i="8"/>
  <c r="X15" i="50" s="1"/>
  <c r="AL32" i="16"/>
  <c r="AL16" i="8"/>
  <c r="X11" i="50" s="1"/>
  <c r="AL9" i="8"/>
  <c r="AL30" i="8"/>
  <c r="X16" i="50" s="1"/>
  <c r="AM60" i="16"/>
  <c r="AM71" i="11" s="1"/>
  <c r="AM34" i="8"/>
  <c r="Y14" i="50" s="1"/>
  <c r="AM37" i="16"/>
  <c r="AM38" i="11" s="1"/>
  <c r="AM19" i="16"/>
  <c r="AM19" i="11" s="1"/>
  <c r="AM8" i="16"/>
  <c r="AM8" i="11" s="1"/>
  <c r="Y58" i="50" s="1"/>
  <c r="AN41" i="16"/>
  <c r="AN42" i="11" s="1"/>
  <c r="AN26" i="8"/>
  <c r="Z15" i="50" s="1"/>
  <c r="AN33" i="16"/>
  <c r="AN34" i="11" s="1"/>
  <c r="Z65" i="50" s="1"/>
  <c r="AN21" i="16"/>
  <c r="AN10" i="16"/>
  <c r="AN10" i="11" s="1"/>
  <c r="AO58" i="16"/>
  <c r="AO69" i="11" s="1"/>
  <c r="AA68" i="50" s="1"/>
  <c r="AO56" i="16"/>
  <c r="AO67" i="11" s="1"/>
  <c r="AA71" i="50" s="1"/>
  <c r="AO43" i="16"/>
  <c r="AO38" i="16"/>
  <c r="AO39" i="11" s="1"/>
  <c r="AO24" i="8"/>
  <c r="AO31" i="16"/>
  <c r="AO32" i="11" s="1"/>
  <c r="AO16" i="8"/>
  <c r="AA11" i="50" s="1"/>
  <c r="AP62" i="16"/>
  <c r="AA79" i="17" s="1"/>
  <c r="AP56" i="16"/>
  <c r="AP67" i="11" s="1"/>
  <c r="H71" i="51" s="1"/>
  <c r="AP44" i="16"/>
  <c r="AA61" i="17" s="1"/>
  <c r="AA45" i="18" s="1"/>
  <c r="AP16" i="8"/>
  <c r="AP8" i="16"/>
  <c r="AP8" i="11" s="1"/>
  <c r="AB58" i="50" s="1"/>
  <c r="AQ61" i="16"/>
  <c r="AQ72" i="11" s="1"/>
  <c r="AQ54" i="16"/>
  <c r="AQ65" i="11" s="1"/>
  <c r="AQ17" i="8"/>
  <c r="AQ8" i="8"/>
  <c r="AC7" i="50" s="1"/>
  <c r="AQ30" i="8"/>
  <c r="AC16" i="50" s="1"/>
  <c r="AR44" i="16"/>
  <c r="AR45" i="11" s="1"/>
  <c r="AR37" i="16"/>
  <c r="AR33" i="16"/>
  <c r="AR34" i="11" s="1"/>
  <c r="AD65" i="50" s="1"/>
  <c r="AR21" i="16"/>
  <c r="AR21" i="11" s="1"/>
  <c r="AD62" i="50" s="1"/>
  <c r="AR8" i="16"/>
  <c r="AR8" i="11" s="1"/>
  <c r="AD58" i="50" s="1"/>
  <c r="AS62" i="16"/>
  <c r="AS73" i="11" s="1"/>
  <c r="AS56" i="16"/>
  <c r="AS67" i="11" s="1"/>
  <c r="AE71" i="50" s="1"/>
  <c r="AS42" i="16"/>
  <c r="AS43" i="11" s="1"/>
  <c r="AS16" i="8"/>
  <c r="AS8" i="8"/>
  <c r="AT60" i="16"/>
  <c r="AT71" i="11" s="1"/>
  <c r="AT53" i="16"/>
  <c r="AT64" i="11" s="1"/>
  <c r="AT18" i="16"/>
  <c r="AT18" i="11" s="1"/>
  <c r="AF61" i="50" s="1"/>
  <c r="AU58" i="16"/>
  <c r="AU69" i="11" s="1"/>
  <c r="AG68" i="50" s="1"/>
  <c r="AU43" i="16"/>
  <c r="AF60" i="17" s="1"/>
  <c r="AF44" i="18" s="1"/>
  <c r="AU17" i="8"/>
  <c r="AF17" i="15" s="1"/>
  <c r="AF17" i="36" s="1"/>
  <c r="AU9" i="8"/>
  <c r="T36" i="8"/>
  <c r="E26" i="38" s="1"/>
  <c r="AT36" i="8"/>
  <c r="AF18" i="50" s="1"/>
  <c r="AM38" i="8"/>
  <c r="Y19" i="50" s="1"/>
  <c r="AP38" i="8"/>
  <c r="H19" i="51" s="1"/>
  <c r="AR38" i="8"/>
  <c r="AD19" i="50" s="1"/>
  <c r="AB57" i="16"/>
  <c r="AB68" i="11" s="1"/>
  <c r="N70" i="50" s="1"/>
  <c r="AE41" i="8"/>
  <c r="AE55" i="16"/>
  <c r="AK41" i="8"/>
  <c r="AL41" i="8"/>
  <c r="AM41" i="8"/>
  <c r="AT55" i="16"/>
  <c r="AT66" i="11" s="1"/>
  <c r="AF69" i="50" s="1"/>
  <c r="S86" i="16"/>
  <c r="D147" i="17" s="1"/>
  <c r="AU57" i="16"/>
  <c r="AU68" i="11" s="1"/>
  <c r="AG70" i="50" s="1"/>
  <c r="AC11" i="8"/>
  <c r="O9" i="50" s="1"/>
  <c r="AH11" i="8"/>
  <c r="T9" i="50" s="1"/>
  <c r="S11" i="16"/>
  <c r="S11" i="11" s="1"/>
  <c r="E59" i="50" s="1"/>
  <c r="V11" i="16"/>
  <c r="V11" i="11" s="1"/>
  <c r="D59" i="51" s="1"/>
  <c r="AA11" i="16"/>
  <c r="AA11" i="11" s="1"/>
  <c r="AQ10" i="8"/>
  <c r="T81" i="16"/>
  <c r="W77" i="16"/>
  <c r="H135" i="17" s="1"/>
  <c r="AA46" i="8"/>
  <c r="Q84" i="16"/>
  <c r="B142" i="17" s="1"/>
  <c r="B184" i="17" s="1"/>
  <c r="B87" i="15" s="1"/>
  <c r="R84" i="16"/>
  <c r="R48" i="16"/>
  <c r="R49" i="16" s="1"/>
  <c r="S46" i="8"/>
  <c r="T78" i="16"/>
  <c r="E59" i="15" s="1"/>
  <c r="U81" i="16"/>
  <c r="F139" i="17" s="1"/>
  <c r="V84" i="16"/>
  <c r="G142" i="17" s="1"/>
  <c r="G184" i="17" s="1"/>
  <c r="G87" i="15" s="1"/>
  <c r="V49" i="8"/>
  <c r="W74" i="16"/>
  <c r="H55" i="15" s="1"/>
  <c r="X80" i="16"/>
  <c r="I61" i="15" s="1"/>
  <c r="Y81" i="16"/>
  <c r="J139" i="17" s="1"/>
  <c r="Z79" i="16"/>
  <c r="K137" i="17" s="1"/>
  <c r="K179" i="17" s="1"/>
  <c r="K82" i="15" s="1"/>
  <c r="AB80" i="16"/>
  <c r="AD82" i="16"/>
  <c r="O140" i="17" s="1"/>
  <c r="O182" i="17" s="1"/>
  <c r="O85" i="15" s="1"/>
  <c r="AF46" i="8"/>
  <c r="AI82" i="16"/>
  <c r="T140" i="17" s="1"/>
  <c r="T182" i="17" s="1"/>
  <c r="T85" i="15" s="1"/>
  <c r="Q80" i="16"/>
  <c r="B138" i="17" s="1"/>
  <c r="R76" i="16"/>
  <c r="C134" i="17" s="1"/>
  <c r="C176" i="17" s="1"/>
  <c r="C79" i="15" s="1"/>
  <c r="S19" i="8"/>
  <c r="E13" i="50" s="1"/>
  <c r="S13" i="16"/>
  <c r="T73" i="16"/>
  <c r="E131" i="17" s="1"/>
  <c r="U80" i="16"/>
  <c r="F138" i="17" s="1"/>
  <c r="V81" i="16"/>
  <c r="G62" i="15" s="1"/>
  <c r="W84" i="16"/>
  <c r="H142" i="17" s="1"/>
  <c r="H184" i="17" s="1"/>
  <c r="H87" i="15" s="1"/>
  <c r="W63" i="16"/>
  <c r="X73" i="16"/>
  <c r="I54" i="15" s="1"/>
  <c r="Y78" i="16"/>
  <c r="J136" i="17" s="1"/>
  <c r="Z78" i="16"/>
  <c r="K136" i="17" s="1"/>
  <c r="AB47" i="8"/>
  <c r="AE84" i="16"/>
  <c r="P142" i="17" s="1"/>
  <c r="P184" i="17" s="1"/>
  <c r="P87" i="15" s="1"/>
  <c r="AG19" i="8"/>
  <c r="S13" i="50" s="1"/>
  <c r="AI49" i="8"/>
  <c r="Q77" i="16"/>
  <c r="B135" i="17" s="1"/>
  <c r="R78" i="16"/>
  <c r="C59" i="15" s="1"/>
  <c r="S80" i="16"/>
  <c r="D138" i="17" s="1"/>
  <c r="T19" i="8"/>
  <c r="F13" i="50" s="1"/>
  <c r="T72" i="16"/>
  <c r="E130" i="17" s="1"/>
  <c r="U73" i="16"/>
  <c r="F54" i="15" s="1"/>
  <c r="V77" i="16"/>
  <c r="G135" i="17" s="1"/>
  <c r="W82" i="16"/>
  <c r="H63" i="15" s="1"/>
  <c r="X84" i="16"/>
  <c r="I142" i="17" s="1"/>
  <c r="I184" i="17" s="1"/>
  <c r="I87" i="15" s="1"/>
  <c r="X63" i="16"/>
  <c r="Y74" i="16"/>
  <c r="J132" i="17" s="1"/>
  <c r="Z49" i="8"/>
  <c r="AC47" i="8"/>
  <c r="AE83" i="16"/>
  <c r="P64" i="15" s="1"/>
  <c r="AG75" i="16"/>
  <c r="R133" i="17" s="1"/>
  <c r="R45" i="11"/>
  <c r="AA45" i="11"/>
  <c r="AA78" i="16"/>
  <c r="L136" i="17" s="1"/>
  <c r="AB13" i="16"/>
  <c r="AD13" i="16"/>
  <c r="AF79" i="16"/>
  <c r="Q60" i="15" s="1"/>
  <c r="AG72" i="16"/>
  <c r="R53" i="15" s="1"/>
  <c r="D27" i="38"/>
  <c r="R52" i="17"/>
  <c r="R36" i="18" s="1"/>
  <c r="AD30" i="8"/>
  <c r="P16" i="50" s="1"/>
  <c r="AE40" i="8"/>
  <c r="AE54" i="16"/>
  <c r="AE65" i="11" s="1"/>
  <c r="AE44" i="16"/>
  <c r="AE25" i="8"/>
  <c r="Q17" i="50" s="1"/>
  <c r="AE33" i="16"/>
  <c r="AE24" i="16"/>
  <c r="P34" i="17" s="1"/>
  <c r="P24" i="18" s="1"/>
  <c r="AE21" i="16"/>
  <c r="AE21" i="11" s="1"/>
  <c r="Q62" i="50" s="1"/>
  <c r="AE15" i="8"/>
  <c r="AE9" i="16"/>
  <c r="AE9" i="11" s="1"/>
  <c r="AF61" i="16"/>
  <c r="AF72" i="11" s="1"/>
  <c r="AF58" i="16"/>
  <c r="AF56" i="16"/>
  <c r="AF67" i="11" s="1"/>
  <c r="AF53" i="16"/>
  <c r="AF42" i="16"/>
  <c r="AF43" i="11" s="1"/>
  <c r="AF38" i="16"/>
  <c r="AF36" i="16"/>
  <c r="Q29" i="38" s="1"/>
  <c r="AF31" i="16"/>
  <c r="AF32" i="11" s="1"/>
  <c r="AF22" i="16"/>
  <c r="AF22" i="11" s="1"/>
  <c r="AF19" i="16"/>
  <c r="AF19" i="11" s="1"/>
  <c r="AF9" i="8"/>
  <c r="AG62" i="16"/>
  <c r="AG39" i="8"/>
  <c r="AG56" i="16"/>
  <c r="AG67" i="11" s="1"/>
  <c r="S71" i="50" s="1"/>
  <c r="AG53" i="16"/>
  <c r="AG64" i="11" s="1"/>
  <c r="AG28" i="8"/>
  <c r="AG39" i="16"/>
  <c r="AG40" i="11" s="1"/>
  <c r="AG26" i="8"/>
  <c r="S15" i="50" s="1"/>
  <c r="AG24" i="8"/>
  <c r="AG23" i="8"/>
  <c r="AG17" i="8"/>
  <c r="AG20" i="16"/>
  <c r="AG20" i="11" s="1"/>
  <c r="AG10" i="16"/>
  <c r="AG8" i="16"/>
  <c r="AG8" i="11" s="1"/>
  <c r="S58" i="50" s="1"/>
  <c r="AH60" i="16"/>
  <c r="AH71" i="11" s="1"/>
  <c r="AH37" i="8"/>
  <c r="AH34" i="8"/>
  <c r="T14" i="50" s="1"/>
  <c r="AH28" i="8"/>
  <c r="AH39" i="16"/>
  <c r="AH40" i="11" s="1"/>
  <c r="AH26" i="8"/>
  <c r="T15" i="50" s="1"/>
  <c r="AH24" i="8"/>
  <c r="AH23" i="8"/>
  <c r="AH17" i="8"/>
  <c r="AH20" i="16"/>
  <c r="AH20" i="11" s="1"/>
  <c r="AH10" i="16"/>
  <c r="AH8" i="16"/>
  <c r="AH8" i="11" s="1"/>
  <c r="T58" i="50" s="1"/>
  <c r="AI60" i="16"/>
  <c r="AI71" i="11" s="1"/>
  <c r="AI37" i="8"/>
  <c r="AI34" i="8"/>
  <c r="AI28" i="8"/>
  <c r="AI39" i="16"/>
  <c r="AI40" i="11" s="1"/>
  <c r="AI26" i="8"/>
  <c r="U15" i="50" s="1"/>
  <c r="AI24" i="8"/>
  <c r="AI23" i="8"/>
  <c r="AI17" i="8"/>
  <c r="T17" i="15" s="1"/>
  <c r="T17" i="36" s="1"/>
  <c r="AI20" i="16"/>
  <c r="AI20" i="11" s="1"/>
  <c r="AI10" i="16"/>
  <c r="AI8" i="16"/>
  <c r="AJ60" i="16"/>
  <c r="AJ71" i="11" s="1"/>
  <c r="AJ37" i="8"/>
  <c r="AJ54" i="16"/>
  <c r="AJ43" i="16"/>
  <c r="AJ41" i="16"/>
  <c r="U58" i="17" s="1"/>
  <c r="U42" i="18" s="1"/>
  <c r="AJ37" i="16"/>
  <c r="AJ38" i="11" s="1"/>
  <c r="AJ34" i="16"/>
  <c r="AJ35" i="11" s="1"/>
  <c r="AJ32" i="16"/>
  <c r="AJ33" i="11" s="1"/>
  <c r="AJ16" i="8"/>
  <c r="V11" i="50" s="1"/>
  <c r="AJ18" i="16"/>
  <c r="AJ18" i="11" s="1"/>
  <c r="V61" i="50" s="1"/>
  <c r="AJ8" i="8"/>
  <c r="AJ30" i="8"/>
  <c r="AK40" i="8"/>
  <c r="AK54" i="16"/>
  <c r="AK65" i="11" s="1"/>
  <c r="AK28" i="8"/>
  <c r="AK38" i="16"/>
  <c r="AK39" i="11" s="1"/>
  <c r="AK25" i="8"/>
  <c r="G17" i="51" s="1"/>
  <c r="AK23" i="8"/>
  <c r="AK17" i="8"/>
  <c r="AK19" i="16"/>
  <c r="AK9" i="16"/>
  <c r="AK9" i="11" s="1"/>
  <c r="AL39" i="8"/>
  <c r="AL56" i="16"/>
  <c r="AL34" i="16"/>
  <c r="AL35" i="11" s="1"/>
  <c r="AL23" i="8"/>
  <c r="AL22" i="16"/>
  <c r="AL22" i="11" s="1"/>
  <c r="AL18" i="16"/>
  <c r="AL8" i="16"/>
  <c r="AL8" i="11" s="1"/>
  <c r="X58" i="50" s="1"/>
  <c r="AM39" i="8"/>
  <c r="AM54" i="16"/>
  <c r="AM65" i="11" s="1"/>
  <c r="AM28" i="8"/>
  <c r="AM39" i="16"/>
  <c r="AM40" i="11" s="1"/>
  <c r="AM26" i="8"/>
  <c r="Y15" i="50" s="1"/>
  <c r="AM20" i="16"/>
  <c r="AM20" i="11" s="1"/>
  <c r="AM9" i="8"/>
  <c r="AN40" i="8"/>
  <c r="AN37" i="8"/>
  <c r="Z20" i="50" s="1"/>
  <c r="AN53" i="16"/>
  <c r="AN28" i="8"/>
  <c r="AN34" i="16"/>
  <c r="AN35" i="11" s="1"/>
  <c r="AN32" i="16"/>
  <c r="AN33" i="11" s="1"/>
  <c r="AN17" i="8"/>
  <c r="Y17" i="15" s="1"/>
  <c r="Y17" i="36" s="1"/>
  <c r="AN15" i="8"/>
  <c r="Z10" i="50" s="1"/>
  <c r="AN8" i="8"/>
  <c r="AN30" i="8"/>
  <c r="Z16" i="50" s="1"/>
  <c r="AO60" i="16"/>
  <c r="AO71" i="11" s="1"/>
  <c r="AO53" i="16"/>
  <c r="AO37" i="16"/>
  <c r="AO38" i="11" s="1"/>
  <c r="AO19" i="16"/>
  <c r="AO19" i="11" s="1"/>
  <c r="AO8" i="16"/>
  <c r="AO8" i="11" s="1"/>
  <c r="AA58" i="50" s="1"/>
  <c r="AP41" i="16"/>
  <c r="AP26" i="8"/>
  <c r="AB15" i="50" s="1"/>
  <c r="AP33" i="16"/>
  <c r="AP34" i="11" s="1"/>
  <c r="H65" i="51" s="1"/>
  <c r="AP21" i="16"/>
  <c r="AP21" i="11" s="1"/>
  <c r="H62" i="51" s="1"/>
  <c r="AP10" i="16"/>
  <c r="AP10" i="11" s="1"/>
  <c r="AQ58" i="16"/>
  <c r="AQ69" i="11" s="1"/>
  <c r="AC68" i="50" s="1"/>
  <c r="AQ34" i="8"/>
  <c r="AC14" i="50" s="1"/>
  <c r="AQ41" i="16"/>
  <c r="AQ34" i="16"/>
  <c r="AQ35" i="11" s="1"/>
  <c r="AQ23" i="8"/>
  <c r="AQ21" i="16"/>
  <c r="AQ21" i="11" s="1"/>
  <c r="AC62" i="50" s="1"/>
  <c r="AQ10" i="16"/>
  <c r="AQ10" i="11" s="1"/>
  <c r="AR60" i="16"/>
  <c r="AR71" i="11" s="1"/>
  <c r="AR54" i="16"/>
  <c r="AR65" i="11" s="1"/>
  <c r="AR43" i="16"/>
  <c r="AC60" i="17" s="1"/>
  <c r="AC44" i="18" s="1"/>
  <c r="AR38" i="16"/>
  <c r="AR39" i="11" s="1"/>
  <c r="AR24" i="8"/>
  <c r="AR23" i="8"/>
  <c r="AR20" i="16"/>
  <c r="AR20" i="11" s="1"/>
  <c r="AR8" i="8"/>
  <c r="AD7" i="50" s="1"/>
  <c r="AS43" i="16"/>
  <c r="AS44" i="11" s="1"/>
  <c r="AS41" i="16"/>
  <c r="AS37" i="16"/>
  <c r="AS38" i="11" s="1"/>
  <c r="AS17" i="8"/>
  <c r="AS10" i="16"/>
  <c r="AS10" i="11" s="1"/>
  <c r="AT58" i="16"/>
  <c r="AT43" i="16"/>
  <c r="AE60" i="17" s="1"/>
  <c r="AE44" i="18" s="1"/>
  <c r="AT15" i="8"/>
  <c r="AF10" i="50" s="1"/>
  <c r="AU61" i="16"/>
  <c r="AU72" i="11" s="1"/>
  <c r="AV72" i="11" s="1"/>
  <c r="AU54" i="16"/>
  <c r="AU65" i="11" s="1"/>
  <c r="AV65" i="11" s="1"/>
  <c r="AU42" i="16"/>
  <c r="AU43" i="11" s="1"/>
  <c r="AV43" i="11" s="1"/>
  <c r="AU38" i="16"/>
  <c r="AU39" i="11" s="1"/>
  <c r="AU24" i="8"/>
  <c r="AU23" i="8"/>
  <c r="AU16" i="8"/>
  <c r="I11" i="51" s="1"/>
  <c r="AU18" i="16"/>
  <c r="AU18" i="11" s="1"/>
  <c r="S36" i="8"/>
  <c r="D26" i="38" s="1"/>
  <c r="U36" i="8"/>
  <c r="G18" i="50" s="1"/>
  <c r="Z36" i="8"/>
  <c r="L18" i="50" s="1"/>
  <c r="AF36" i="8"/>
  <c r="F18" i="51" s="1"/>
  <c r="AJ36" i="8"/>
  <c r="AQ36" i="8"/>
  <c r="AC18" i="50" s="1"/>
  <c r="Q38" i="8"/>
  <c r="J75" i="1" s="1"/>
  <c r="AG38" i="8"/>
  <c r="S19" i="50" s="1"/>
  <c r="AS38" i="8"/>
  <c r="Q57" i="16"/>
  <c r="Q68" i="11" s="1"/>
  <c r="C70" i="51" s="1"/>
  <c r="R41" i="8"/>
  <c r="T55" i="16"/>
  <c r="T66" i="11" s="1"/>
  <c r="F69" i="50" s="1"/>
  <c r="X57" i="16"/>
  <c r="Y57" i="16"/>
  <c r="Z41" i="8"/>
  <c r="Z55" i="16"/>
  <c r="Z66" i="11" s="1"/>
  <c r="L69" i="50" s="1"/>
  <c r="AC41" i="8"/>
  <c r="AG55" i="16"/>
  <c r="AG66" i="11" s="1"/>
  <c r="S69" i="50" s="1"/>
  <c r="AH55" i="16"/>
  <c r="AH66" i="11" s="1"/>
  <c r="T69" i="50" s="1"/>
  <c r="AI55" i="16"/>
  <c r="AJ55" i="16"/>
  <c r="AJ66" i="11" s="1"/>
  <c r="V69" i="50" s="1"/>
  <c r="AO57" i="16"/>
  <c r="AP41" i="8"/>
  <c r="AQ57" i="16"/>
  <c r="AQ68" i="11" s="1"/>
  <c r="AC70" i="50" s="1"/>
  <c r="AR41" i="8"/>
  <c r="AS55" i="16"/>
  <c r="AS66" i="11" s="1"/>
  <c r="AE69" i="50" s="1"/>
  <c r="S11" i="8"/>
  <c r="E9" i="50" s="1"/>
  <c r="W11" i="8"/>
  <c r="I9" i="50" s="1"/>
  <c r="AF11" i="8"/>
  <c r="R9" i="50" s="1"/>
  <c r="AI11" i="8"/>
  <c r="U9" i="50" s="1"/>
  <c r="AM11" i="8"/>
  <c r="Y9" i="50" s="1"/>
  <c r="AQ11" i="8"/>
  <c r="AC9" i="50" s="1"/>
  <c r="W11" i="16"/>
  <c r="W11" i="11" s="1"/>
  <c r="I59" i="50" s="1"/>
  <c r="Z11" i="16"/>
  <c r="AC11" i="16"/>
  <c r="AC11" i="11" s="1"/>
  <c r="O59" i="50" s="1"/>
  <c r="AM10" i="8"/>
  <c r="AT10" i="8"/>
  <c r="Q83" i="16"/>
  <c r="B64" i="15" s="1"/>
  <c r="R46" i="8"/>
  <c r="S84" i="16"/>
  <c r="D142" i="17" s="1"/>
  <c r="D184" i="17" s="1"/>
  <c r="D87" i="15" s="1"/>
  <c r="S72" i="16"/>
  <c r="D130" i="17" s="1"/>
  <c r="T80" i="16"/>
  <c r="E61" i="15" s="1"/>
  <c r="T13" i="16"/>
  <c r="U74" i="16"/>
  <c r="F55" i="15" s="1"/>
  <c r="V83" i="16"/>
  <c r="G141" i="17" s="1"/>
  <c r="G183" i="17" s="1"/>
  <c r="G86" i="15" s="1"/>
  <c r="V73" i="16"/>
  <c r="G131" i="17" s="1"/>
  <c r="W78" i="16"/>
  <c r="H136" i="17" s="1"/>
  <c r="W49" i="8"/>
  <c r="X77" i="16"/>
  <c r="I135" i="17" s="1"/>
  <c r="Y83" i="16"/>
  <c r="Y73" i="16"/>
  <c r="J54" i="15" s="1"/>
  <c r="Z72" i="16"/>
  <c r="K130" i="17" s="1"/>
  <c r="AB83" i="16"/>
  <c r="M64" i="15" s="1"/>
  <c r="AC83" i="16"/>
  <c r="N64" i="15" s="1"/>
  <c r="AD78" i="16"/>
  <c r="O136" i="17" s="1"/>
  <c r="AE74" i="16"/>
  <c r="P55" i="15" s="1"/>
  <c r="AF49" i="8"/>
  <c r="AH83" i="16"/>
  <c r="S141" i="17" s="1"/>
  <c r="S183" i="17" s="1"/>
  <c r="S86" i="15" s="1"/>
  <c r="AO46" i="8"/>
  <c r="AN72" i="16"/>
  <c r="AJ48" i="8"/>
  <c r="AI46" i="8"/>
  <c r="AH73" i="16"/>
  <c r="S131" i="17" s="1"/>
  <c r="AH82" i="16"/>
  <c r="S140" i="17" s="1"/>
  <c r="S182" i="17" s="1"/>
  <c r="S85" i="15" s="1"/>
  <c r="AG48" i="8"/>
  <c r="AG79" i="16"/>
  <c r="R137" i="17" s="1"/>
  <c r="R179" i="17" s="1"/>
  <c r="R82" i="15" s="1"/>
  <c r="AF63" i="16"/>
  <c r="AF77" i="16"/>
  <c r="Q135" i="17" s="1"/>
  <c r="AF84" i="16"/>
  <c r="Q142" i="17" s="1"/>
  <c r="Q184" i="17" s="1"/>
  <c r="Q87" i="15" s="1"/>
  <c r="AE73" i="16"/>
  <c r="P131" i="17" s="1"/>
  <c r="AE81" i="16"/>
  <c r="P62" i="15" s="1"/>
  <c r="AD49" i="8"/>
  <c r="AD46" i="8"/>
  <c r="AD79" i="16"/>
  <c r="O137" i="17" s="1"/>
  <c r="O179" i="17" s="1"/>
  <c r="O82" i="15" s="1"/>
  <c r="AC63" i="16"/>
  <c r="AC77" i="16"/>
  <c r="N135" i="17" s="1"/>
  <c r="AC84" i="16"/>
  <c r="N142" i="17" s="1"/>
  <c r="N184" i="17" s="1"/>
  <c r="N87" i="15" s="1"/>
  <c r="AB73" i="16"/>
  <c r="M131" i="17" s="1"/>
  <c r="AB81" i="16"/>
  <c r="M139" i="17" s="1"/>
  <c r="AA13" i="16"/>
  <c r="AA75" i="16"/>
  <c r="L133" i="17" s="1"/>
  <c r="AA82" i="16"/>
  <c r="L63" i="15" s="1"/>
  <c r="Z48" i="8"/>
  <c r="Z80" i="16"/>
  <c r="K138" i="17" s="1"/>
  <c r="Y49" i="8"/>
  <c r="Y48" i="8"/>
  <c r="Y75" i="16"/>
  <c r="J133" i="17" s="1"/>
  <c r="Y80" i="16"/>
  <c r="J138" i="17" s="1"/>
  <c r="Y82" i="16"/>
  <c r="J140" i="17" s="1"/>
  <c r="J182" i="17" s="1"/>
  <c r="J85" i="15" s="1"/>
  <c r="X49" i="8"/>
  <c r="X72" i="16"/>
  <c r="X46" i="8"/>
  <c r="X78" i="16"/>
  <c r="I136" i="17" s="1"/>
  <c r="X79" i="16"/>
  <c r="I137" i="17" s="1"/>
  <c r="I179" i="17" s="1"/>
  <c r="I82" i="15" s="1"/>
  <c r="W48" i="16"/>
  <c r="H34" i="38" s="1"/>
  <c r="W73" i="16"/>
  <c r="H54" i="15" s="1"/>
  <c r="W47" i="8"/>
  <c r="W81" i="16"/>
  <c r="H139" i="17" s="1"/>
  <c r="W83" i="16"/>
  <c r="H64" i="15" s="1"/>
  <c r="V13" i="16"/>
  <c r="V48" i="8"/>
  <c r="V75" i="16"/>
  <c r="G56" i="15" s="1"/>
  <c r="V80" i="16"/>
  <c r="G61" i="15" s="1"/>
  <c r="V82" i="16"/>
  <c r="G140" i="17" s="1"/>
  <c r="G182" i="17" s="1"/>
  <c r="G85" i="15" s="1"/>
  <c r="U49" i="8"/>
  <c r="U72" i="16"/>
  <c r="F130" i="17" s="1"/>
  <c r="U46" i="8"/>
  <c r="U78" i="16"/>
  <c r="F136" i="17" s="1"/>
  <c r="U79" i="16"/>
  <c r="F60" i="15" s="1"/>
  <c r="U19" i="8"/>
  <c r="G13" i="50" s="1"/>
  <c r="T63" i="16"/>
  <c r="T74" i="16"/>
  <c r="E132" i="17" s="1"/>
  <c r="T77" i="16"/>
  <c r="E135" i="17" s="1"/>
  <c r="T76" i="16"/>
  <c r="E57" i="15" s="1"/>
  <c r="T84" i="16"/>
  <c r="E65" i="15" s="1"/>
  <c r="S48" i="16"/>
  <c r="S49" i="16" s="1"/>
  <c r="S73" i="16"/>
  <c r="D54" i="15" s="1"/>
  <c r="S47" i="8"/>
  <c r="S81" i="16"/>
  <c r="D139" i="17" s="1"/>
  <c r="S83" i="16"/>
  <c r="D141" i="17" s="1"/>
  <c r="D183" i="17" s="1"/>
  <c r="D86" i="15" s="1"/>
  <c r="R13" i="16"/>
  <c r="R48" i="8"/>
  <c r="R75" i="16"/>
  <c r="C56" i="15" s="1"/>
  <c r="R80" i="16"/>
  <c r="C61" i="15" s="1"/>
  <c r="R82" i="16"/>
  <c r="C140" i="17" s="1"/>
  <c r="C182" i="17" s="1"/>
  <c r="C85" i="15" s="1"/>
  <c r="R19" i="8"/>
  <c r="D13" i="50" s="1"/>
  <c r="Q48" i="8"/>
  <c r="Q53" i="8" s="1"/>
  <c r="Q78" i="16"/>
  <c r="Q79" i="16"/>
  <c r="B137" i="17" s="1"/>
  <c r="B179" i="17" s="1"/>
  <c r="B82" i="15" s="1"/>
  <c r="Q19" i="8"/>
  <c r="C13" i="51" s="1"/>
  <c r="AU10" i="8"/>
  <c r="P69" i="1" s="1"/>
  <c r="AU11" i="16"/>
  <c r="AT11" i="16"/>
  <c r="AT11" i="11" s="1"/>
  <c r="AF59" i="50" s="1"/>
  <c r="AS11" i="16"/>
  <c r="AS11" i="11" s="1"/>
  <c r="AE59" i="50" s="1"/>
  <c r="AR11" i="16"/>
  <c r="AR11" i="11" s="1"/>
  <c r="AD59" i="50" s="1"/>
  <c r="AQ11" i="16"/>
  <c r="AQ11" i="11" s="1"/>
  <c r="AC59" i="50" s="1"/>
  <c r="AP11" i="16"/>
  <c r="AP11" i="11" s="1"/>
  <c r="AO11" i="16"/>
  <c r="AO11" i="11" s="1"/>
  <c r="AA59" i="50" s="1"/>
  <c r="AN11" i="16"/>
  <c r="AN11" i="11" s="1"/>
  <c r="Z59" i="50" s="1"/>
  <c r="AM11" i="16"/>
  <c r="AM11" i="11" s="1"/>
  <c r="Y59" i="50" s="1"/>
  <c r="AL11" i="16"/>
  <c r="AL11" i="11" s="1"/>
  <c r="X59" i="50" s="1"/>
  <c r="AK11" i="16"/>
  <c r="AK11" i="11" s="1"/>
  <c r="G59" i="51" s="1"/>
  <c r="AJ11" i="16"/>
  <c r="AJ11" i="11" s="1"/>
  <c r="V59" i="50" s="1"/>
  <c r="AL48" i="16"/>
  <c r="AI13" i="16"/>
  <c r="AH75" i="16"/>
  <c r="S133" i="17" s="1"/>
  <c r="AG13" i="16"/>
  <c r="AG80" i="16"/>
  <c r="R138" i="17" s="1"/>
  <c r="AF72" i="16"/>
  <c r="Q130" i="17" s="1"/>
  <c r="AF76" i="16"/>
  <c r="Q134" i="17" s="1"/>
  <c r="Q176" i="17" s="1"/>
  <c r="Q79" i="15" s="1"/>
  <c r="AE63" i="16"/>
  <c r="AE76" i="16"/>
  <c r="AD72" i="16"/>
  <c r="AD80" i="16"/>
  <c r="O138" i="17" s="1"/>
  <c r="AC73" i="16"/>
  <c r="N131" i="17" s="1"/>
  <c r="AC76" i="16"/>
  <c r="N134" i="17" s="1"/>
  <c r="N176" i="17" s="1"/>
  <c r="N79" i="15" s="1"/>
  <c r="AB48" i="8"/>
  <c r="AB82" i="16"/>
  <c r="M140" i="17" s="1"/>
  <c r="M182" i="17" s="1"/>
  <c r="M85" i="15" s="1"/>
  <c r="AA48" i="8"/>
  <c r="AA79" i="16"/>
  <c r="Z46" i="8"/>
  <c r="Z82" i="16"/>
  <c r="Y72" i="16"/>
  <c r="J130" i="17" s="1"/>
  <c r="Y47" i="8"/>
  <c r="Y76" i="16"/>
  <c r="J134" i="17" s="1"/>
  <c r="J176" i="17" s="1"/>
  <c r="J79" i="15" s="1"/>
  <c r="Y19" i="8"/>
  <c r="K13" i="50" s="1"/>
  <c r="X48" i="8"/>
  <c r="X47" i="8"/>
  <c r="X76" i="16"/>
  <c r="I134" i="17" s="1"/>
  <c r="I176" i="17" s="1"/>
  <c r="I79" i="15" s="1"/>
  <c r="X19" i="8"/>
  <c r="J13" i="50" s="1"/>
  <c r="W72" i="16"/>
  <c r="H53" i="15" s="1"/>
  <c r="W75" i="16"/>
  <c r="H56" i="15" s="1"/>
  <c r="W76" i="16"/>
  <c r="H134" i="17" s="1"/>
  <c r="H176" i="17" s="1"/>
  <c r="H79" i="15" s="1"/>
  <c r="W19" i="8"/>
  <c r="I13" i="50" s="1"/>
  <c r="V72" i="16"/>
  <c r="G53" i="15" s="1"/>
  <c r="V47" i="8"/>
  <c r="V76" i="16"/>
  <c r="G134" i="17" s="1"/>
  <c r="G176" i="17" s="1"/>
  <c r="G79" i="15" s="1"/>
  <c r="V19" i="8"/>
  <c r="D13" i="51" s="1"/>
  <c r="U48" i="8"/>
  <c r="U47" i="8"/>
  <c r="U76" i="16"/>
  <c r="F134" i="17" s="1"/>
  <c r="F176" i="17" s="1"/>
  <c r="F79" i="15" s="1"/>
  <c r="T49" i="8"/>
  <c r="T48" i="8"/>
  <c r="T47" i="8"/>
  <c r="T79" i="16"/>
  <c r="E60" i="15" s="1"/>
  <c r="S49" i="8"/>
  <c r="S48" i="8"/>
  <c r="S77" i="16"/>
  <c r="D135" i="17" s="1"/>
  <c r="S79" i="16"/>
  <c r="D137" i="17" s="1"/>
  <c r="D179" i="17" s="1"/>
  <c r="D82" i="15" s="1"/>
  <c r="R49" i="8"/>
  <c r="R73" i="16"/>
  <c r="C54" i="15" s="1"/>
  <c r="R77" i="16"/>
  <c r="R79" i="16"/>
  <c r="C137" i="17" s="1"/>
  <c r="C179" i="17" s="1"/>
  <c r="C82" i="15" s="1"/>
  <c r="Q49" i="8"/>
  <c r="Q47" i="8"/>
  <c r="Q54" i="8" s="1"/>
  <c r="Q76" i="16"/>
  <c r="B134" i="17" s="1"/>
  <c r="AR10" i="8"/>
  <c r="AN10" i="8"/>
  <c r="AJ10" i="8"/>
  <c r="AR11" i="8"/>
  <c r="AD9" i="50" s="1"/>
  <c r="AO11" i="8"/>
  <c r="AA9" i="50" s="1"/>
  <c r="AJ11" i="8"/>
  <c r="AG11" i="8"/>
  <c r="AB11" i="8"/>
  <c r="Y11" i="8"/>
  <c r="K9" i="50" s="1"/>
  <c r="T11" i="8"/>
  <c r="Q11" i="8"/>
  <c r="AU41" i="8"/>
  <c r="AT57" i="16"/>
  <c r="AT68" i="11" s="1"/>
  <c r="AF70" i="50" s="1"/>
  <c r="AR55" i="16"/>
  <c r="AR66" i="11" s="1"/>
  <c r="AD69" i="50" s="1"/>
  <c r="AQ41" i="8"/>
  <c r="AP57" i="16"/>
  <c r="AP68" i="11" s="1"/>
  <c r="AN55" i="16"/>
  <c r="AN66" i="11" s="1"/>
  <c r="Z69" i="50" s="1"/>
  <c r="AN41" i="8"/>
  <c r="AM57" i="16"/>
  <c r="AM68" i="11" s="1"/>
  <c r="Y70" i="50" s="1"/>
  <c r="AK55" i="16"/>
  <c r="AK66" i="11" s="1"/>
  <c r="W69" i="50" s="1"/>
  <c r="AJ41" i="8"/>
  <c r="AI57" i="16"/>
  <c r="AI68" i="11" s="1"/>
  <c r="U70" i="50" s="1"/>
  <c r="AG41" i="8"/>
  <c r="AF57" i="16"/>
  <c r="AF68" i="11" s="1"/>
  <c r="F70" i="51" s="1"/>
  <c r="AD41" i="8"/>
  <c r="AC57" i="16"/>
  <c r="AC68" i="11" s="1"/>
  <c r="O70" i="50" s="1"/>
  <c r="AA55" i="16"/>
  <c r="AA66" i="11" s="1"/>
  <c r="E69" i="51" s="1"/>
  <c r="AA41" i="8"/>
  <c r="Y55" i="16"/>
  <c r="Y66" i="11" s="1"/>
  <c r="K69" i="50" s="1"/>
  <c r="Y41" i="8"/>
  <c r="W55" i="16"/>
  <c r="W66" i="11" s="1"/>
  <c r="I69" i="50" s="1"/>
  <c r="W41" i="8"/>
  <c r="AN80" i="16"/>
  <c r="Y138" i="17" s="1"/>
  <c r="AI79" i="16"/>
  <c r="T137" i="17" s="1"/>
  <c r="T179" i="17" s="1"/>
  <c r="T82" i="15" s="1"/>
  <c r="AH81" i="16"/>
  <c r="S139" i="17" s="1"/>
  <c r="AG78" i="16"/>
  <c r="AF74" i="16"/>
  <c r="Q132" i="17" s="1"/>
  <c r="AF19" i="8"/>
  <c r="F13" i="51" s="1"/>
  <c r="AE77" i="16"/>
  <c r="P135" i="17" s="1"/>
  <c r="AD48" i="8"/>
  <c r="AD19" i="8"/>
  <c r="P13" i="50" s="1"/>
  <c r="AC81" i="16"/>
  <c r="N139" i="17" s="1"/>
  <c r="AB75" i="16"/>
  <c r="M56" i="15" s="1"/>
  <c r="AA49" i="8"/>
  <c r="AA80" i="16"/>
  <c r="L138" i="17" s="1"/>
  <c r="Z75" i="16"/>
  <c r="K56" i="15" s="1"/>
  <c r="Y48" i="16"/>
  <c r="Y46" i="8"/>
  <c r="Y79" i="16"/>
  <c r="J137" i="17" s="1"/>
  <c r="J179" i="17" s="1"/>
  <c r="J82" i="15" s="1"/>
  <c r="X48" i="16"/>
  <c r="X75" i="16"/>
  <c r="I133" i="17" s="1"/>
  <c r="X82" i="16"/>
  <c r="I140" i="17" s="1"/>
  <c r="I182" i="17" s="1"/>
  <c r="I85" i="15" s="1"/>
  <c r="W13" i="16"/>
  <c r="W46" i="8"/>
  <c r="W79" i="16"/>
  <c r="H60" i="15" s="1"/>
  <c r="V48" i="16"/>
  <c r="V46" i="8"/>
  <c r="V79" i="16"/>
  <c r="U48" i="16"/>
  <c r="U49" i="16" s="1"/>
  <c r="U75" i="16"/>
  <c r="U82" i="16"/>
  <c r="F63" i="15" s="1"/>
  <c r="T48" i="16"/>
  <c r="T49" i="16" s="1"/>
  <c r="T75" i="16"/>
  <c r="E133" i="17" s="1"/>
  <c r="T82" i="16"/>
  <c r="E140" i="17" s="1"/>
  <c r="E182" i="17" s="1"/>
  <c r="E85" i="15" s="1"/>
  <c r="S63" i="16"/>
  <c r="S75" i="16"/>
  <c r="D56" i="15" s="1"/>
  <c r="S82" i="16"/>
  <c r="D63" i="15" s="1"/>
  <c r="R63" i="16"/>
  <c r="R47" i="8"/>
  <c r="R54" i="8" s="1"/>
  <c r="R83" i="16"/>
  <c r="C64" i="15" s="1"/>
  <c r="Q63" i="16"/>
  <c r="Q81" i="16"/>
  <c r="B62" i="15" s="1"/>
  <c r="AO10" i="8"/>
  <c r="AL10" i="8"/>
  <c r="AI10" i="8"/>
  <c r="AH10" i="8"/>
  <c r="AG10" i="8"/>
  <c r="AF10" i="8"/>
  <c r="M69" i="1" s="1"/>
  <c r="AE10" i="8"/>
  <c r="AD10" i="8"/>
  <c r="AC10" i="8"/>
  <c r="AB10" i="8"/>
  <c r="AA10" i="8"/>
  <c r="Z10" i="8"/>
  <c r="Y10" i="8"/>
  <c r="X10" i="8"/>
  <c r="W10" i="8"/>
  <c r="V10" i="8"/>
  <c r="U10" i="8"/>
  <c r="T10" i="8"/>
  <c r="S10" i="8"/>
  <c r="R10" i="8"/>
  <c r="Q10" i="8"/>
  <c r="J69" i="1" s="1"/>
  <c r="AU11" i="8"/>
  <c r="I9" i="51" s="1"/>
  <c r="AL11" i="8"/>
  <c r="X9" i="50" s="1"/>
  <c r="AE11" i="8"/>
  <c r="Q9" i="50" s="1"/>
  <c r="V11" i="8"/>
  <c r="D9" i="51" s="1"/>
  <c r="AU55" i="16"/>
  <c r="AU66" i="11" s="1"/>
  <c r="AG69" i="50" s="1"/>
  <c r="AT41" i="8"/>
  <c r="AS57" i="16"/>
  <c r="AS68" i="11" s="1"/>
  <c r="AE70" i="50" s="1"/>
  <c r="AR57" i="16"/>
  <c r="AR68" i="11" s="1"/>
  <c r="AD70" i="50" s="1"/>
  <c r="AM55" i="16"/>
  <c r="AM66" i="11" s="1"/>
  <c r="Y69" i="50" s="1"/>
  <c r="AL55" i="16"/>
  <c r="AL66" i="11" s="1"/>
  <c r="X69" i="50" s="1"/>
  <c r="AH57" i="16"/>
  <c r="AH68" i="11" s="1"/>
  <c r="T70" i="50" s="1"/>
  <c r="AB41" i="8"/>
  <c r="AA57" i="16"/>
  <c r="X55" i="16"/>
  <c r="X66" i="11" s="1"/>
  <c r="J69" i="50" s="1"/>
  <c r="X41" i="8"/>
  <c r="W57" i="16"/>
  <c r="V57" i="16"/>
  <c r="T41" i="8"/>
  <c r="E46" i="38" s="1"/>
  <c r="S57" i="16"/>
  <c r="S68" i="11" s="1"/>
  <c r="E70" i="50" s="1"/>
  <c r="Q55" i="16"/>
  <c r="Q66" i="11" s="1"/>
  <c r="Q41" i="8"/>
  <c r="AN38" i="8"/>
  <c r="Z19" i="50" s="1"/>
  <c r="AK38" i="8"/>
  <c r="G19" i="51" s="1"/>
  <c r="AH38" i="8"/>
  <c r="T19" i="50" s="1"/>
  <c r="AB38" i="8"/>
  <c r="N19" i="50" s="1"/>
  <c r="X38" i="8"/>
  <c r="J19" i="50" s="1"/>
  <c r="U38" i="8"/>
  <c r="R38" i="8"/>
  <c r="D19" i="50" s="1"/>
  <c r="AN36" i="8"/>
  <c r="Z18" i="50" s="1"/>
  <c r="AK36" i="8"/>
  <c r="G18" i="51" s="1"/>
  <c r="AG36" i="8"/>
  <c r="AD36" i="8"/>
  <c r="P18" i="50" s="1"/>
  <c r="AB36" i="8"/>
  <c r="X36" i="8"/>
  <c r="I26" i="38" s="1"/>
  <c r="R36" i="8"/>
  <c r="AU8" i="16"/>
  <c r="AU8" i="11" s="1"/>
  <c r="I58" i="51" s="1"/>
  <c r="AU10" i="16"/>
  <c r="AU10" i="11" s="1"/>
  <c r="AV10" i="11" s="1"/>
  <c r="AU22" i="16"/>
  <c r="AU22" i="11" s="1"/>
  <c r="AU24" i="16"/>
  <c r="AF34" i="17" s="1"/>
  <c r="AF24" i="18" s="1"/>
  <c r="AU33" i="16"/>
  <c r="AU34" i="11" s="1"/>
  <c r="AG65" i="50" s="1"/>
  <c r="AU34" i="16"/>
  <c r="AU35" i="11" s="1"/>
  <c r="AV35" i="11" s="1"/>
  <c r="AU37" i="16"/>
  <c r="AU38" i="11" s="1"/>
  <c r="AV38" i="11" s="1"/>
  <c r="AU41" i="16"/>
  <c r="AU28" i="8"/>
  <c r="AU53" i="16"/>
  <c r="AU56" i="16"/>
  <c r="AU60" i="16"/>
  <c r="AU71" i="11" s="1"/>
  <c r="AT8" i="16"/>
  <c r="AT10" i="16"/>
  <c r="AT20" i="16"/>
  <c r="AT20" i="11" s="1"/>
  <c r="AT17" i="8"/>
  <c r="AT23" i="8"/>
  <c r="AT24" i="8"/>
  <c r="AT26" i="8"/>
  <c r="AF15" i="50" s="1"/>
  <c r="AT39" i="16"/>
  <c r="AT40" i="11" s="1"/>
  <c r="AT28" i="8"/>
  <c r="AT34" i="8"/>
  <c r="AT37" i="8"/>
  <c r="AF20" i="50" s="1"/>
  <c r="AT40" i="8"/>
  <c r="AS30" i="8"/>
  <c r="AE16" i="50" s="1"/>
  <c r="AS9" i="16"/>
  <c r="AS9" i="11" s="1"/>
  <c r="AS15" i="8"/>
  <c r="AE10" i="50" s="1"/>
  <c r="AS21" i="16"/>
  <c r="AS21" i="11" s="1"/>
  <c r="AE62" i="50" s="1"/>
  <c r="AS24" i="16"/>
  <c r="AS33" i="16"/>
  <c r="AS34" i="11" s="1"/>
  <c r="AE65" i="50" s="1"/>
  <c r="AS25" i="8"/>
  <c r="AE17" i="50" s="1"/>
  <c r="AS44" i="16"/>
  <c r="AD61" i="17" s="1"/>
  <c r="AD45" i="18" s="1"/>
  <c r="AS35" i="8"/>
  <c r="AS58" i="16"/>
  <c r="AS69" i="11" s="1"/>
  <c r="AE68" i="50" s="1"/>
  <c r="AS61" i="16"/>
  <c r="AS72" i="11" s="1"/>
  <c r="AR9" i="8"/>
  <c r="AR19" i="16"/>
  <c r="AR19" i="11" s="1"/>
  <c r="AR22" i="16"/>
  <c r="AR22" i="11" s="1"/>
  <c r="AR31" i="16"/>
  <c r="AR32" i="11" s="1"/>
  <c r="AR36" i="16"/>
  <c r="AR39" i="16"/>
  <c r="AR40" i="11" s="1"/>
  <c r="AR28" i="8"/>
  <c r="AR53" i="16"/>
  <c r="AR64" i="11" s="1"/>
  <c r="AR56" i="16"/>
  <c r="AR67" i="11" s="1"/>
  <c r="AD71" i="50" s="1"/>
  <c r="AR39" i="8"/>
  <c r="AR62" i="16"/>
  <c r="AQ9" i="8"/>
  <c r="AQ19" i="16"/>
  <c r="AQ19" i="11" s="1"/>
  <c r="AQ22" i="16"/>
  <c r="AQ22" i="11" s="1"/>
  <c r="AQ31" i="16"/>
  <c r="AQ32" i="11" s="1"/>
  <c r="AQ36" i="16"/>
  <c r="AQ37" i="11" s="1"/>
  <c r="AQ38" i="16"/>
  <c r="AQ39" i="11" s="1"/>
  <c r="AQ42" i="16"/>
  <c r="AQ43" i="11" s="1"/>
  <c r="AQ53" i="16"/>
  <c r="AQ64" i="11" s="1"/>
  <c r="AQ56" i="16"/>
  <c r="AQ67" i="11" s="1"/>
  <c r="AC71" i="50" s="1"/>
  <c r="AQ39" i="8"/>
  <c r="AB39" i="15" s="1"/>
  <c r="AB39" i="36" s="1"/>
  <c r="AQ62" i="16"/>
  <c r="AP9" i="8"/>
  <c r="AP19" i="16"/>
  <c r="AP19" i="11" s="1"/>
  <c r="AP22" i="16"/>
  <c r="AP31" i="16"/>
  <c r="AP36" i="16"/>
  <c r="AP37" i="11" s="1"/>
  <c r="AP38" i="16"/>
  <c r="AP39" i="11" s="1"/>
  <c r="AP42" i="16"/>
  <c r="AP43" i="11" s="1"/>
  <c r="AP35" i="8"/>
  <c r="AP58" i="16"/>
  <c r="AP69" i="11" s="1"/>
  <c r="AP61" i="16"/>
  <c r="AP72" i="11" s="1"/>
  <c r="AO9" i="16"/>
  <c r="AO9" i="11" s="1"/>
  <c r="AO15" i="8"/>
  <c r="AA10" i="50" s="1"/>
  <c r="AO21" i="16"/>
  <c r="AO21" i="11" s="1"/>
  <c r="AA62" i="50" s="1"/>
  <c r="AO24" i="16"/>
  <c r="AO33" i="16"/>
  <c r="AO34" i="11" s="1"/>
  <c r="AA65" i="50" s="1"/>
  <c r="AO25" i="8"/>
  <c r="AO44" i="16"/>
  <c r="AJ80" i="16"/>
  <c r="U61" i="15" s="1"/>
  <c r="AH47" i="8"/>
  <c r="AG82" i="16"/>
  <c r="R63" i="15" s="1"/>
  <c r="AF78" i="16"/>
  <c r="Q136" i="17" s="1"/>
  <c r="AE47" i="8"/>
  <c r="AD75" i="16"/>
  <c r="O133" i="17" s="1"/>
  <c r="AC74" i="16"/>
  <c r="N55" i="15" s="1"/>
  <c r="AB48" i="16"/>
  <c r="AA72" i="16"/>
  <c r="L53" i="15" s="1"/>
  <c r="Z13" i="16"/>
  <c r="Z19" i="8"/>
  <c r="L13" i="50" s="1"/>
  <c r="Y77" i="16"/>
  <c r="J58" i="15" s="1"/>
  <c r="Y84" i="16"/>
  <c r="J65" i="15" s="1"/>
  <c r="X74" i="16"/>
  <c r="I132" i="17" s="1"/>
  <c r="X83" i="16"/>
  <c r="I64" i="15" s="1"/>
  <c r="W48" i="8"/>
  <c r="W80" i="16"/>
  <c r="H61" i="15" s="1"/>
  <c r="V63" i="16"/>
  <c r="V78" i="16"/>
  <c r="G59" i="15" s="1"/>
  <c r="U13" i="16"/>
  <c r="U77" i="16"/>
  <c r="F135" i="17" s="1"/>
  <c r="U84" i="16"/>
  <c r="F142" i="17" s="1"/>
  <c r="F184" i="17" s="1"/>
  <c r="F87" i="15" s="1"/>
  <c r="T46" i="8"/>
  <c r="T83" i="16"/>
  <c r="E64" i="15" s="1"/>
  <c r="S74" i="16"/>
  <c r="D132" i="17" s="1"/>
  <c r="S76" i="16"/>
  <c r="D57" i="15" s="1"/>
  <c r="R72" i="16"/>
  <c r="R81" i="16"/>
  <c r="C139" i="17" s="1"/>
  <c r="Q13" i="16"/>
  <c r="Q82" i="16"/>
  <c r="B140" i="17" s="1"/>
  <c r="B182" i="17" s="1"/>
  <c r="B85" i="15" s="1"/>
  <c r="AS10" i="8"/>
  <c r="AP10" i="8"/>
  <c r="AK10" i="8"/>
  <c r="AF11" i="16"/>
  <c r="AF11" i="11" s="1"/>
  <c r="F59" i="51" s="1"/>
  <c r="AB11" i="16"/>
  <c r="AB11" i="11" s="1"/>
  <c r="N59" i="50" s="1"/>
  <c r="X11" i="16"/>
  <c r="T11" i="16"/>
  <c r="T11" i="11" s="1"/>
  <c r="F59" i="50" s="1"/>
  <c r="Q11" i="16"/>
  <c r="AS11" i="8"/>
  <c r="AE9" i="50" s="1"/>
  <c r="AP11" i="8"/>
  <c r="AB9" i="50" s="1"/>
  <c r="AA11" i="8"/>
  <c r="E9" i="51" s="1"/>
  <c r="X11" i="8"/>
  <c r="P63" i="16"/>
  <c r="P64" i="16" s="1"/>
  <c r="AS41" i="8"/>
  <c r="AO41" i="8"/>
  <c r="AN57" i="16"/>
  <c r="AH41" i="8"/>
  <c r="AG57" i="16"/>
  <c r="AG68" i="11" s="1"/>
  <c r="S70" i="50" s="1"/>
  <c r="AF41" i="8"/>
  <c r="Q46" i="38" s="1"/>
  <c r="AD55" i="16"/>
  <c r="AD66" i="11" s="1"/>
  <c r="P69" i="50" s="1"/>
  <c r="AC55" i="16"/>
  <c r="AB55" i="16"/>
  <c r="AB66" i="11" s="1"/>
  <c r="N69" i="50" s="1"/>
  <c r="V55" i="16"/>
  <c r="V66" i="11" s="1"/>
  <c r="D69" i="51" s="1"/>
  <c r="U55" i="16"/>
  <c r="U66" i="11" s="1"/>
  <c r="G69" i="50" s="1"/>
  <c r="U41" i="8"/>
  <c r="T57" i="16"/>
  <c r="T68" i="11" s="1"/>
  <c r="F70" i="50" s="1"/>
  <c r="S41" i="8"/>
  <c r="R57" i="16"/>
  <c r="AU38" i="8"/>
  <c r="AG19" i="50" s="1"/>
  <c r="AT38" i="8"/>
  <c r="AQ38" i="8"/>
  <c r="AC19" i="50" s="1"/>
  <c r="AI38" i="8"/>
  <c r="U19" i="50" s="1"/>
  <c r="AF38" i="8"/>
  <c r="AC38" i="8"/>
  <c r="N43" i="38" s="1"/>
  <c r="AA38" i="8"/>
  <c r="M19" i="50" s="1"/>
  <c r="S38" i="8"/>
  <c r="E19" i="50" s="1"/>
  <c r="AU36" i="8"/>
  <c r="AS36" i="8"/>
  <c r="AP36" i="8"/>
  <c r="AB18" i="50" s="1"/>
  <c r="AL36" i="8"/>
  <c r="AC36" i="8"/>
  <c r="Y36" i="8"/>
  <c r="Q36" i="8"/>
  <c r="C18" i="51" s="1"/>
  <c r="AU30" i="8"/>
  <c r="AU9" i="16"/>
  <c r="AU9" i="11" s="1"/>
  <c r="AV9" i="11" s="1"/>
  <c r="AU19" i="16"/>
  <c r="AU19" i="11" s="1"/>
  <c r="AV19" i="11" s="1"/>
  <c r="AU21" i="16"/>
  <c r="AU21" i="11" s="1"/>
  <c r="AG62" i="50" s="1"/>
  <c r="AU31" i="16"/>
  <c r="AU32" i="11" s="1"/>
  <c r="AU26" i="8"/>
  <c r="I15" i="51" s="1"/>
  <c r="AU44" i="16"/>
  <c r="AF61" i="17" s="1"/>
  <c r="AF45" i="18" s="1"/>
  <c r="AU35" i="8"/>
  <c r="AU40" i="8"/>
  <c r="AT30" i="8"/>
  <c r="AF16" i="50" s="1"/>
  <c r="AT9" i="16"/>
  <c r="AT9" i="11" s="1"/>
  <c r="AT19" i="16"/>
  <c r="AT19" i="11" s="1"/>
  <c r="AT33" i="16"/>
  <c r="AT36" i="16"/>
  <c r="AT41" i="16"/>
  <c r="AT42" i="11" s="1"/>
  <c r="AT44" i="16"/>
  <c r="AT45" i="11" s="1"/>
  <c r="AT56" i="16"/>
  <c r="AT61" i="16"/>
  <c r="AT72" i="11" s="1"/>
  <c r="AS8" i="16"/>
  <c r="AS8" i="11" s="1"/>
  <c r="AE58" i="50" s="1"/>
  <c r="AS18" i="16"/>
  <c r="AS18" i="11" s="1"/>
  <c r="AE61" i="50" s="1"/>
  <c r="AS22" i="16"/>
  <c r="AS22" i="11" s="1"/>
  <c r="AS23" i="8"/>
  <c r="AS34" i="16"/>
  <c r="AS53" i="16"/>
  <c r="AS64" i="11" s="1"/>
  <c r="AS37" i="8"/>
  <c r="AE20" i="50" s="1"/>
  <c r="AS40" i="8"/>
  <c r="AR10" i="16"/>
  <c r="AR10" i="11" s="1"/>
  <c r="AR16" i="8"/>
  <c r="AD11" i="50" s="1"/>
  <c r="AR24" i="16"/>
  <c r="AR26" i="8"/>
  <c r="AD15" i="50" s="1"/>
  <c r="AR37" i="8"/>
  <c r="AR40" i="8"/>
  <c r="AQ9" i="16"/>
  <c r="AQ9" i="11" s="1"/>
  <c r="AQ20" i="16"/>
  <c r="AQ20" i="11" s="1"/>
  <c r="AQ33" i="16"/>
  <c r="AQ34" i="11" s="1"/>
  <c r="AC65" i="50" s="1"/>
  <c r="AQ25" i="8"/>
  <c r="AB29" i="38" s="1"/>
  <c r="AQ39" i="16"/>
  <c r="AQ40" i="11" s="1"/>
  <c r="AQ43" i="16"/>
  <c r="AQ35" i="8"/>
  <c r="AQ60" i="16"/>
  <c r="AQ71" i="11" s="1"/>
  <c r="AP30" i="8"/>
  <c r="H16" i="51" s="1"/>
  <c r="AP8" i="8"/>
  <c r="H7" i="51" s="1"/>
  <c r="AP15" i="8"/>
  <c r="H10" i="51" s="1"/>
  <c r="AP17" i="8"/>
  <c r="AP32" i="16"/>
  <c r="AP33" i="11" s="1"/>
  <c r="AP34" i="16"/>
  <c r="AP35" i="11" s="1"/>
  <c r="AP28" i="8"/>
  <c r="AP53" i="16"/>
  <c r="AP64" i="11" s="1"/>
  <c r="AP37" i="8"/>
  <c r="AP40" i="8"/>
  <c r="AO9" i="8"/>
  <c r="AO20" i="16"/>
  <c r="AO20" i="11" s="1"/>
  <c r="AO26" i="8"/>
  <c r="AA15" i="50" s="1"/>
  <c r="AO39" i="16"/>
  <c r="AO28" i="8"/>
  <c r="AO34" i="8"/>
  <c r="AA14" i="50" s="1"/>
  <c r="AO39" i="8"/>
  <c r="AO62" i="16"/>
  <c r="AN9" i="8"/>
  <c r="AN19" i="16"/>
  <c r="AN19" i="11" s="1"/>
  <c r="AN22" i="16"/>
  <c r="AN22" i="11" s="1"/>
  <c r="AN31" i="16"/>
  <c r="AN32" i="11" s="1"/>
  <c r="AN36" i="16"/>
  <c r="AN37" i="11" s="1"/>
  <c r="AN38" i="16"/>
  <c r="AN39" i="11" s="1"/>
  <c r="AN42" i="16"/>
  <c r="AN35" i="8"/>
  <c r="AN58" i="16"/>
  <c r="AN69" i="11" s="1"/>
  <c r="Z68" i="50" s="1"/>
  <c r="AN61" i="16"/>
  <c r="AN72" i="11" s="1"/>
  <c r="AM9" i="16"/>
  <c r="AM9" i="11" s="1"/>
  <c r="AM15" i="8"/>
  <c r="Y10" i="50" s="1"/>
  <c r="AM21" i="16"/>
  <c r="AM21" i="11" s="1"/>
  <c r="Y62" i="50" s="1"/>
  <c r="AM24" i="16"/>
  <c r="AM24" i="11" s="1"/>
  <c r="AM33" i="16"/>
  <c r="AM34" i="11" s="1"/>
  <c r="Y65" i="50" s="1"/>
  <c r="AM25" i="8"/>
  <c r="AM44" i="16"/>
  <c r="AM35" i="8"/>
  <c r="AM58" i="16"/>
  <c r="AM69" i="11" s="1"/>
  <c r="Y68" i="50" s="1"/>
  <c r="AM61" i="16"/>
  <c r="AM72" i="11" s="1"/>
  <c r="AL9" i="16"/>
  <c r="AL9" i="11" s="1"/>
  <c r="AL15" i="8"/>
  <c r="X10" i="50" s="1"/>
  <c r="AL21" i="16"/>
  <c r="AL21" i="11" s="1"/>
  <c r="X62" i="50" s="1"/>
  <c r="AL24" i="16"/>
  <c r="AL24" i="11" s="1"/>
  <c r="AL33" i="16"/>
  <c r="AL34" i="11" s="1"/>
  <c r="X65" i="50" s="1"/>
  <c r="AL25" i="8"/>
  <c r="AL44" i="16"/>
  <c r="W61" i="17" s="1"/>
  <c r="W45" i="18" s="1"/>
  <c r="AL54" i="16"/>
  <c r="AL65" i="11" s="1"/>
  <c r="AL40" i="8"/>
  <c r="AK30" i="8"/>
  <c r="W16" i="50" s="1"/>
  <c r="AK8" i="8"/>
  <c r="W7" i="50" s="1"/>
  <c r="AK18" i="16"/>
  <c r="AK18" i="11" s="1"/>
  <c r="G61" i="51" s="1"/>
  <c r="AK16" i="8"/>
  <c r="W11" i="50" s="1"/>
  <c r="AK32" i="16"/>
  <c r="AK33" i="11" s="1"/>
  <c r="AK34" i="16"/>
  <c r="AK35" i="11" s="1"/>
  <c r="AK37" i="16"/>
  <c r="AK41" i="16"/>
  <c r="AK42" i="11" s="1"/>
  <c r="AK43" i="16"/>
  <c r="AK44" i="11" s="1"/>
  <c r="AK34" i="8"/>
  <c r="G14" i="51" s="1"/>
  <c r="AG46" i="8"/>
  <c r="AG49" i="8"/>
  <c r="AH80" i="16"/>
  <c r="S138" i="17" s="1"/>
  <c r="AH48" i="8"/>
  <c r="AI75" i="16"/>
  <c r="T133" i="17" s="1"/>
  <c r="AJ81" i="16"/>
  <c r="U139" i="17" s="1"/>
  <c r="AL80" i="16"/>
  <c r="W138" i="17" s="1"/>
  <c r="AH13" i="16"/>
  <c r="AI80" i="16"/>
  <c r="T138" i="17" s="1"/>
  <c r="AI48" i="8"/>
  <c r="AJ83" i="16"/>
  <c r="U64" i="15" s="1"/>
  <c r="AJ75" i="16"/>
  <c r="U56" i="15" s="1"/>
  <c r="AK80" i="16"/>
  <c r="V138" i="17" s="1"/>
  <c r="AM76" i="16"/>
  <c r="AO72" i="16"/>
  <c r="Z130" i="17" s="1"/>
  <c r="AI78" i="16"/>
  <c r="AI72" i="16"/>
  <c r="AJ82" i="16"/>
  <c r="U63" i="15" s="1"/>
  <c r="AJ73" i="16"/>
  <c r="U131" i="17" s="1"/>
  <c r="AK72" i="16"/>
  <c r="V130" i="17" s="1"/>
  <c r="AM63" i="16"/>
  <c r="AK78" i="16"/>
  <c r="V59" i="15" s="1"/>
  <c r="AK49" i="8"/>
  <c r="AL47" i="8"/>
  <c r="AL13" i="16"/>
  <c r="AM77" i="16"/>
  <c r="X135" i="17" s="1"/>
  <c r="AM49" i="8"/>
  <c r="AN78" i="16"/>
  <c r="Y136" i="17" s="1"/>
  <c r="AN49" i="8"/>
  <c r="AP77" i="16"/>
  <c r="AA135" i="17" s="1"/>
  <c r="C52" i="8"/>
  <c r="AK46" i="8"/>
  <c r="AL83" i="16"/>
  <c r="W141" i="17" s="1"/>
  <c r="W183" i="17" s="1"/>
  <c r="W86" i="15" s="1"/>
  <c r="AL75" i="16"/>
  <c r="AM84" i="16"/>
  <c r="X142" i="17" s="1"/>
  <c r="X184" i="17" s="1"/>
  <c r="X87" i="15" s="1"/>
  <c r="AM46" i="8"/>
  <c r="AN19" i="8"/>
  <c r="Z13" i="50" s="1"/>
  <c r="AN46" i="8"/>
  <c r="AO79" i="16"/>
  <c r="AP13" i="16"/>
  <c r="Y19" i="11"/>
  <c r="AJ47" i="8"/>
  <c r="AJ48" i="16"/>
  <c r="AK79" i="16"/>
  <c r="V137" i="17" s="1"/>
  <c r="V179" i="17" s="1"/>
  <c r="V82" i="15" s="1"/>
  <c r="AK48" i="8"/>
  <c r="AL82" i="16"/>
  <c r="W63" i="15" s="1"/>
  <c r="AL48" i="8"/>
  <c r="AM79" i="16"/>
  <c r="X137" i="17" s="1"/>
  <c r="X179" i="17" s="1"/>
  <c r="X82" i="15" s="1"/>
  <c r="AM74" i="16"/>
  <c r="X132" i="17" s="1"/>
  <c r="AN79" i="16"/>
  <c r="Y60" i="15" s="1"/>
  <c r="AN48" i="8"/>
  <c r="AO80" i="16"/>
  <c r="Z138" i="17" s="1"/>
  <c r="T52" i="17"/>
  <c r="T36" i="18" s="1"/>
  <c r="E52" i="17"/>
  <c r="E36" i="18" s="1"/>
  <c r="H44" i="38"/>
  <c r="AK82" i="16"/>
  <c r="V140" i="17" s="1"/>
  <c r="V182" i="17" s="1"/>
  <c r="V85" i="15" s="1"/>
  <c r="AK75" i="16"/>
  <c r="AK13" i="16"/>
  <c r="AL81" i="16"/>
  <c r="W62" i="15" s="1"/>
  <c r="AL73" i="16"/>
  <c r="W131" i="17" s="1"/>
  <c r="AM78" i="16"/>
  <c r="X59" i="15" s="1"/>
  <c r="AM72" i="16"/>
  <c r="AN82" i="16"/>
  <c r="Y140" i="17" s="1"/>
  <c r="Y182" i="17" s="1"/>
  <c r="Y85" i="15" s="1"/>
  <c r="AN75" i="16"/>
  <c r="Y133" i="17" s="1"/>
  <c r="AN13" i="16"/>
  <c r="AP73" i="16"/>
  <c r="B50" i="2" s="1"/>
  <c r="AP76" i="16"/>
  <c r="AA57" i="15" s="1"/>
  <c r="AO75" i="16"/>
  <c r="Z56" i="15" s="1"/>
  <c r="AO82" i="16"/>
  <c r="Z140" i="17" s="1"/>
  <c r="Z182" i="17" s="1"/>
  <c r="Z85" i="15" s="1"/>
  <c r="AN48" i="16"/>
  <c r="AN73" i="16"/>
  <c r="Y131" i="17" s="1"/>
  <c r="AN47" i="8"/>
  <c r="AN81" i="16"/>
  <c r="AN83" i="16"/>
  <c r="AM13" i="16"/>
  <c r="AM48" i="8"/>
  <c r="AM75" i="16"/>
  <c r="X133" i="17" s="1"/>
  <c r="AM80" i="16"/>
  <c r="X61" i="15" s="1"/>
  <c r="AM82" i="16"/>
  <c r="X63" i="15" s="1"/>
  <c r="AM19" i="8"/>
  <c r="Y13" i="50" s="1"/>
  <c r="AL63" i="16"/>
  <c r="AL74" i="16"/>
  <c r="W132" i="17" s="1"/>
  <c r="AL77" i="16"/>
  <c r="W135" i="17" s="1"/>
  <c r="AL76" i="16"/>
  <c r="W134" i="17" s="1"/>
  <c r="W176" i="17" s="1"/>
  <c r="W79" i="15" s="1"/>
  <c r="AL84" i="16"/>
  <c r="AK48" i="16"/>
  <c r="AK73" i="16"/>
  <c r="V54" i="15" s="1"/>
  <c r="AK47" i="8"/>
  <c r="AK81" i="16"/>
  <c r="V139" i="17" s="1"/>
  <c r="AK83" i="16"/>
  <c r="V141" i="17" s="1"/>
  <c r="V183" i="17" s="1"/>
  <c r="V86" i="15" s="1"/>
  <c r="AK19" i="8"/>
  <c r="AJ63" i="16"/>
  <c r="AJ74" i="16"/>
  <c r="U132" i="17" s="1"/>
  <c r="AJ77" i="16"/>
  <c r="U135" i="17" s="1"/>
  <c r="AJ76" i="16"/>
  <c r="U134" i="17" s="1"/>
  <c r="U176" i="17" s="1"/>
  <c r="U79" i="15" s="1"/>
  <c r="AJ84" i="16"/>
  <c r="U65" i="15" s="1"/>
  <c r="AI48" i="16"/>
  <c r="AI73" i="16"/>
  <c r="T131" i="17" s="1"/>
  <c r="AI47" i="8"/>
  <c r="AI81" i="16"/>
  <c r="T139" i="17" s="1"/>
  <c r="AI83" i="16"/>
  <c r="AI19" i="8"/>
  <c r="U13" i="50" s="1"/>
  <c r="AH63" i="16"/>
  <c r="AH74" i="16"/>
  <c r="S132" i="17" s="1"/>
  <c r="AH77" i="16"/>
  <c r="S58" i="15" s="1"/>
  <c r="AH76" i="16"/>
  <c r="S134" i="17" s="1"/>
  <c r="S176" i="17" s="1"/>
  <c r="S79" i="15" s="1"/>
  <c r="AH84" i="16"/>
  <c r="S142" i="17" s="1"/>
  <c r="S184" i="17" s="1"/>
  <c r="S87" i="15" s="1"/>
  <c r="AG48" i="16"/>
  <c r="AG73" i="16"/>
  <c r="R131" i="17" s="1"/>
  <c r="AG47" i="8"/>
  <c r="AG81" i="16"/>
  <c r="R139" i="17" s="1"/>
  <c r="AG83" i="16"/>
  <c r="R64" i="15" s="1"/>
  <c r="AF13" i="16"/>
  <c r="AF48" i="8"/>
  <c r="AF75" i="16"/>
  <c r="Q133" i="17" s="1"/>
  <c r="AF80" i="16"/>
  <c r="Q138" i="17" s="1"/>
  <c r="AF82" i="16"/>
  <c r="Q140" i="17" s="1"/>
  <c r="Q182" i="17" s="1"/>
  <c r="Q85" i="15" s="1"/>
  <c r="AE49" i="8"/>
  <c r="AE72" i="16"/>
  <c r="AE46" i="8"/>
  <c r="AE78" i="16"/>
  <c r="AE79" i="16"/>
  <c r="P60" i="15" s="1"/>
  <c r="AD48" i="16"/>
  <c r="AD73" i="16"/>
  <c r="O131" i="17" s="1"/>
  <c r="AD47" i="8"/>
  <c r="AD81" i="16"/>
  <c r="O139" i="17" s="1"/>
  <c r="AD83" i="16"/>
  <c r="O141" i="17" s="1"/>
  <c r="O183" i="17" s="1"/>
  <c r="O86" i="15" s="1"/>
  <c r="AC49" i="8"/>
  <c r="AC72" i="16"/>
  <c r="AC46" i="8"/>
  <c r="AC78" i="16"/>
  <c r="N136" i="17" s="1"/>
  <c r="AC79" i="16"/>
  <c r="N137" i="17" s="1"/>
  <c r="N179" i="17" s="1"/>
  <c r="N82" i="15" s="1"/>
  <c r="AC19" i="8"/>
  <c r="O13" i="50" s="1"/>
  <c r="AB63" i="16"/>
  <c r="AB74" i="16"/>
  <c r="M55" i="15" s="1"/>
  <c r="AB77" i="16"/>
  <c r="M135" i="17" s="1"/>
  <c r="AB76" i="16"/>
  <c r="M57" i="15" s="1"/>
  <c r="AB84" i="16"/>
  <c r="AA48" i="16"/>
  <c r="AA73" i="16"/>
  <c r="L54" i="15" s="1"/>
  <c r="AA47" i="8"/>
  <c r="AA81" i="16"/>
  <c r="AA83" i="16"/>
  <c r="L64" i="15" s="1"/>
  <c r="Z48" i="16"/>
  <c r="K34" i="38" s="1"/>
  <c r="Z73" i="16"/>
  <c r="Z47" i="8"/>
  <c r="Z81" i="16"/>
  <c r="K139" i="17" s="1"/>
  <c r="Z83" i="16"/>
  <c r="K141" i="17" s="1"/>
  <c r="K183" i="17" s="1"/>
  <c r="K86" i="15" s="1"/>
  <c r="Y13" i="16"/>
  <c r="AQ63" i="16"/>
  <c r="AO49" i="8"/>
  <c r="AO78" i="16"/>
  <c r="Z59" i="15" s="1"/>
  <c r="AO19" i="8"/>
  <c r="AA13" i="50" s="1"/>
  <c r="AN63" i="16"/>
  <c r="AN74" i="16"/>
  <c r="Y132" i="17" s="1"/>
  <c r="AN77" i="16"/>
  <c r="Y135" i="17" s="1"/>
  <c r="AN76" i="16"/>
  <c r="Y134" i="17" s="1"/>
  <c r="AN84" i="16"/>
  <c r="Y142" i="17" s="1"/>
  <c r="Y184" i="17" s="1"/>
  <c r="Y87" i="15" s="1"/>
  <c r="AM48" i="16"/>
  <c r="AM73" i="16"/>
  <c r="X54" i="15" s="1"/>
  <c r="AM47" i="8"/>
  <c r="AM81" i="16"/>
  <c r="X62" i="15" s="1"/>
  <c r="AM83" i="16"/>
  <c r="X141" i="17" s="1"/>
  <c r="X183" i="17" s="1"/>
  <c r="X86" i="15" s="1"/>
  <c r="AL49" i="8"/>
  <c r="AL72" i="16"/>
  <c r="AL46" i="8"/>
  <c r="AL78" i="16"/>
  <c r="W59" i="15" s="1"/>
  <c r="AL79" i="16"/>
  <c r="W137" i="17" s="1"/>
  <c r="W179" i="17" s="1"/>
  <c r="W82" i="15" s="1"/>
  <c r="AL19" i="8"/>
  <c r="X13" i="50" s="1"/>
  <c r="AK63" i="16"/>
  <c r="AK74" i="16"/>
  <c r="V55" i="15" s="1"/>
  <c r="AK77" i="16"/>
  <c r="V135" i="17" s="1"/>
  <c r="AK76" i="16"/>
  <c r="V134" i="17" s="1"/>
  <c r="V176" i="17" s="1"/>
  <c r="V79" i="15" s="1"/>
  <c r="AK84" i="16"/>
  <c r="V142" i="17" s="1"/>
  <c r="V184" i="17" s="1"/>
  <c r="V87" i="15" s="1"/>
  <c r="AJ49" i="8"/>
  <c r="AJ72" i="16"/>
  <c r="U130" i="17" s="1"/>
  <c r="AJ46" i="8"/>
  <c r="AJ78" i="16"/>
  <c r="U59" i="15" s="1"/>
  <c r="AJ79" i="16"/>
  <c r="U60" i="15" s="1"/>
  <c r="AJ19" i="8"/>
  <c r="V13" i="50" s="1"/>
  <c r="AI63" i="16"/>
  <c r="AI74" i="16"/>
  <c r="T132" i="17" s="1"/>
  <c r="AI77" i="16"/>
  <c r="T135" i="17" s="1"/>
  <c r="AI76" i="16"/>
  <c r="T134" i="17" s="1"/>
  <c r="T176" i="17" s="1"/>
  <c r="T79" i="15" s="1"/>
  <c r="AI84" i="16"/>
  <c r="AH49" i="8"/>
  <c r="AH72" i="16"/>
  <c r="S130" i="17" s="1"/>
  <c r="AH46" i="8"/>
  <c r="AH78" i="16"/>
  <c r="S59" i="15" s="1"/>
  <c r="AH79" i="16"/>
  <c r="S137" i="17" s="1"/>
  <c r="S179" i="17" s="1"/>
  <c r="S82" i="15" s="1"/>
  <c r="AH19" i="8"/>
  <c r="T13" i="50" s="1"/>
  <c r="AG63" i="16"/>
  <c r="AG74" i="16"/>
  <c r="AG77" i="16"/>
  <c r="R58" i="15" s="1"/>
  <c r="AG76" i="16"/>
  <c r="R134" i="17" s="1"/>
  <c r="R176" i="17" s="1"/>
  <c r="R79" i="15" s="1"/>
  <c r="AG84" i="16"/>
  <c r="R142" i="17" s="1"/>
  <c r="R184" i="17" s="1"/>
  <c r="R87" i="15" s="1"/>
  <c r="AF48" i="16"/>
  <c r="AF73" i="16"/>
  <c r="Q131" i="17" s="1"/>
  <c r="AF47" i="8"/>
  <c r="AF81" i="16"/>
  <c r="Q139" i="17" s="1"/>
  <c r="AF83" i="16"/>
  <c r="AE13" i="16"/>
  <c r="AE48" i="8"/>
  <c r="AE75" i="16"/>
  <c r="P133" i="17" s="1"/>
  <c r="AE80" i="16"/>
  <c r="AE82" i="16"/>
  <c r="P140" i="17" s="1"/>
  <c r="P182" i="17" s="1"/>
  <c r="P85" i="15" s="1"/>
  <c r="AE19" i="8"/>
  <c r="Q13" i="50" s="1"/>
  <c r="AD63" i="16"/>
  <c r="AD74" i="16"/>
  <c r="AD77" i="16"/>
  <c r="O135" i="17" s="1"/>
  <c r="AD76" i="16"/>
  <c r="O134" i="17" s="1"/>
  <c r="O176" i="17" s="1"/>
  <c r="O79" i="15" s="1"/>
  <c r="AD84" i="16"/>
  <c r="O142" i="17" s="1"/>
  <c r="O184" i="17" s="1"/>
  <c r="O87" i="15" s="1"/>
  <c r="AC13" i="16"/>
  <c r="AC48" i="8"/>
  <c r="AC75" i="16"/>
  <c r="N133" i="17" s="1"/>
  <c r="AC80" i="16"/>
  <c r="N138" i="17" s="1"/>
  <c r="AC82" i="16"/>
  <c r="N63" i="15" s="1"/>
  <c r="AB49" i="8"/>
  <c r="AB72" i="16"/>
  <c r="M53" i="15" s="1"/>
  <c r="AB46" i="8"/>
  <c r="AB78" i="16"/>
  <c r="AB79" i="16"/>
  <c r="M137" i="17" s="1"/>
  <c r="M179" i="17" s="1"/>
  <c r="M82" i="15" s="1"/>
  <c r="AB19" i="8"/>
  <c r="N13" i="50" s="1"/>
  <c r="AA63" i="16"/>
  <c r="AA74" i="16"/>
  <c r="L132" i="17" s="1"/>
  <c r="AA77" i="16"/>
  <c r="AA76" i="16"/>
  <c r="L134" i="17" s="1"/>
  <c r="L176" i="17" s="1"/>
  <c r="L79" i="15" s="1"/>
  <c r="AA84" i="16"/>
  <c r="L65" i="15" s="1"/>
  <c r="AA19" i="8"/>
  <c r="E13" i="51" s="1"/>
  <c r="Z63" i="16"/>
  <c r="Z74" i="16"/>
  <c r="K132" i="17" s="1"/>
  <c r="Z77" i="16"/>
  <c r="K135" i="17" s="1"/>
  <c r="Z76" i="16"/>
  <c r="K57" i="15" s="1"/>
  <c r="Z84" i="16"/>
  <c r="AP47" i="8"/>
  <c r="AR72" i="16"/>
  <c r="AC130" i="17" s="1"/>
  <c r="AO48" i="8"/>
  <c r="AP79" i="16"/>
  <c r="AA137" i="17" s="1"/>
  <c r="AA179" i="17" s="1"/>
  <c r="AA82" i="15" s="1"/>
  <c r="AP48" i="8"/>
  <c r="K25" i="11"/>
  <c r="G25" i="11"/>
  <c r="X52" i="17"/>
  <c r="X36" i="18" s="1"/>
  <c r="R24" i="11"/>
  <c r="AO84" i="16"/>
  <c r="Z142" i="17" s="1"/>
  <c r="Z184" i="17" s="1"/>
  <c r="Z87" i="15" s="1"/>
  <c r="AO76" i="16"/>
  <c r="AO77" i="16"/>
  <c r="Z135" i="17" s="1"/>
  <c r="AO74" i="16"/>
  <c r="Z132" i="17" s="1"/>
  <c r="AO48" i="16"/>
  <c r="Z34" i="38" s="1"/>
  <c r="AP84" i="16"/>
  <c r="AA65" i="15" s="1"/>
  <c r="AP81" i="16"/>
  <c r="AA139" i="17" s="1"/>
  <c r="AP46" i="8"/>
  <c r="AQ84" i="16"/>
  <c r="AB142" i="17" s="1"/>
  <c r="AB184" i="17" s="1"/>
  <c r="AB87" i="15" s="1"/>
  <c r="AS77" i="16"/>
  <c r="AD135" i="17" s="1"/>
  <c r="M14" i="50"/>
  <c r="AO83" i="16"/>
  <c r="Z64" i="15" s="1"/>
  <c r="AO81" i="16"/>
  <c r="Z139" i="17" s="1"/>
  <c r="AO47" i="8"/>
  <c r="AO73" i="16"/>
  <c r="Z131" i="17" s="1"/>
  <c r="AO13" i="16"/>
  <c r="AP83" i="16"/>
  <c r="AA141" i="17" s="1"/>
  <c r="AA183" i="17" s="1"/>
  <c r="AA86" i="15" s="1"/>
  <c r="AP78" i="16"/>
  <c r="AA59" i="15" s="1"/>
  <c r="AQ81" i="16"/>
  <c r="AB139" i="17" s="1"/>
  <c r="AA52" i="17"/>
  <c r="AA36" i="18" s="1"/>
  <c r="I52" i="17"/>
  <c r="I36" i="18" s="1"/>
  <c r="M15" i="50"/>
  <c r="C17" i="38"/>
  <c r="E29" i="38"/>
  <c r="AQ83" i="16"/>
  <c r="AR19" i="8"/>
  <c r="AD13" i="50" s="1"/>
  <c r="AS63" i="16"/>
  <c r="AO63" i="16"/>
  <c r="AP19" i="8"/>
  <c r="H13" i="51" s="1"/>
  <c r="AP82" i="16"/>
  <c r="AA140" i="17" s="1"/>
  <c r="AA182" i="17" s="1"/>
  <c r="AA85" i="15" s="1"/>
  <c r="AP80" i="16"/>
  <c r="AP75" i="16"/>
  <c r="AP48" i="16"/>
  <c r="AQ76" i="16"/>
  <c r="AB57" i="15" s="1"/>
  <c r="AR46" i="8"/>
  <c r="J52" i="17"/>
  <c r="J36" i="18" s="1"/>
  <c r="B40" i="38"/>
  <c r="G44" i="38"/>
  <c r="E61" i="51"/>
  <c r="M61" i="50"/>
  <c r="B29" i="38"/>
  <c r="Z40" i="16"/>
  <c r="H40" i="38"/>
  <c r="S42" i="11"/>
  <c r="P40" i="16"/>
  <c r="H73" i="18"/>
  <c r="AP72" i="16"/>
  <c r="AA130" i="17" s="1"/>
  <c r="AP49" i="8"/>
  <c r="AQ82" i="16"/>
  <c r="AB140" i="17" s="1"/>
  <c r="AB182" i="17" s="1"/>
  <c r="AB85" i="15" s="1"/>
  <c r="AQ77" i="16"/>
  <c r="AB135" i="17" s="1"/>
  <c r="AR79" i="16"/>
  <c r="AC137" i="17" s="1"/>
  <c r="AC179" i="17" s="1"/>
  <c r="AC82" i="15" s="1"/>
  <c r="AR49" i="8"/>
  <c r="AT46" i="8"/>
  <c r="L23" i="11"/>
  <c r="AP63" i="16"/>
  <c r="AQ19" i="8"/>
  <c r="AC13" i="50" s="1"/>
  <c r="AQ79" i="16"/>
  <c r="AB137" i="17" s="1"/>
  <c r="AB179" i="17" s="1"/>
  <c r="AB82" i="15" s="1"/>
  <c r="AQ74" i="16"/>
  <c r="AR78" i="16"/>
  <c r="AS82" i="16"/>
  <c r="AD140" i="17" s="1"/>
  <c r="AD182" i="17" s="1"/>
  <c r="AD85" i="15" s="1"/>
  <c r="N23" i="11"/>
  <c r="B25" i="11"/>
  <c r="Q73" i="11"/>
  <c r="T24" i="11"/>
  <c r="U73" i="11"/>
  <c r="E31" i="38"/>
  <c r="E25" i="38"/>
  <c r="AQ47" i="8"/>
  <c r="AQ73" i="16"/>
  <c r="AB131" i="17" s="1"/>
  <c r="AQ48" i="16"/>
  <c r="AR84" i="16"/>
  <c r="AC142" i="17" s="1"/>
  <c r="AC184" i="17" s="1"/>
  <c r="AC87" i="15" s="1"/>
  <c r="AR76" i="16"/>
  <c r="AR77" i="16"/>
  <c r="AC135" i="17" s="1"/>
  <c r="AR74" i="16"/>
  <c r="AC55" i="15" s="1"/>
  <c r="AR63" i="16"/>
  <c r="AS19" i="8"/>
  <c r="AE13" i="50" s="1"/>
  <c r="AS76" i="16"/>
  <c r="AD134" i="17" s="1"/>
  <c r="AD176" i="17" s="1"/>
  <c r="AD79" i="15" s="1"/>
  <c r="AS75" i="16"/>
  <c r="AD56" i="15" s="1"/>
  <c r="AS48" i="16"/>
  <c r="AT48" i="16"/>
  <c r="AU63" i="16"/>
  <c r="AQ80" i="16"/>
  <c r="AB138" i="17" s="1"/>
  <c r="AQ75" i="16"/>
  <c r="AQ48" i="8"/>
  <c r="AQ13" i="16"/>
  <c r="AR83" i="16"/>
  <c r="AC64" i="15" s="1"/>
  <c r="AR81" i="16"/>
  <c r="AR47" i="8"/>
  <c r="AR73" i="16"/>
  <c r="AC131" i="17" s="1"/>
  <c r="AR48" i="16"/>
  <c r="AS84" i="16"/>
  <c r="AS81" i="16"/>
  <c r="AD139" i="17" s="1"/>
  <c r="AS46" i="8"/>
  <c r="AT82" i="16"/>
  <c r="AE63" i="15" s="1"/>
  <c r="AU47" i="8"/>
  <c r="Q72" i="16"/>
  <c r="U26" i="16"/>
  <c r="B73" i="18"/>
  <c r="S47" i="11"/>
  <c r="U12" i="11"/>
  <c r="W44" i="11"/>
  <c r="AQ78" i="16"/>
  <c r="AQ46" i="8"/>
  <c r="AQ72" i="16"/>
  <c r="AB53" i="15" s="1"/>
  <c r="AQ49" i="8"/>
  <c r="AR82" i="16"/>
  <c r="AR80" i="16"/>
  <c r="AC138" i="17" s="1"/>
  <c r="AR75" i="16"/>
  <c r="AC56" i="15" s="1"/>
  <c r="AR48" i="8"/>
  <c r="AR13" i="16"/>
  <c r="AS83" i="16"/>
  <c r="AD141" i="17" s="1"/>
  <c r="AD183" i="17" s="1"/>
  <c r="AD86" i="15" s="1"/>
  <c r="AS80" i="16"/>
  <c r="AD138" i="17" s="1"/>
  <c r="AS48" i="8"/>
  <c r="AT80" i="16"/>
  <c r="X18" i="8"/>
  <c r="D52" i="8"/>
  <c r="F52" i="8"/>
  <c r="C39" i="38"/>
  <c r="J29" i="38"/>
  <c r="E45" i="38"/>
  <c r="C10" i="50"/>
  <c r="AM12" i="11"/>
  <c r="X12" i="17"/>
  <c r="X12" i="18" s="1"/>
  <c r="Z64" i="17"/>
  <c r="Z48" i="18" s="1"/>
  <c r="AO48" i="11"/>
  <c r="AE64" i="17"/>
  <c r="AE48" i="18" s="1"/>
  <c r="AT48" i="11"/>
  <c r="B34" i="17"/>
  <c r="B24" i="18" s="1"/>
  <c r="Q24" i="11"/>
  <c r="D17" i="51"/>
  <c r="H10" i="50"/>
  <c r="D10" i="51"/>
  <c r="W32" i="11"/>
  <c r="H25" i="38"/>
  <c r="X8" i="11"/>
  <c r="J58" i="50" s="1"/>
  <c r="E58" i="51"/>
  <c r="M58" i="50"/>
  <c r="T61" i="17"/>
  <c r="T45" i="18" s="1"/>
  <c r="Q56" i="18"/>
  <c r="R70" i="11"/>
  <c r="T45" i="11"/>
  <c r="B45" i="38"/>
  <c r="D9" i="38"/>
  <c r="F45" i="38"/>
  <c r="F16" i="38"/>
  <c r="G17" i="38"/>
  <c r="S44" i="11"/>
  <c r="V73" i="11"/>
  <c r="W73" i="11"/>
  <c r="B44" i="38"/>
  <c r="AS79" i="16"/>
  <c r="AD137" i="17" s="1"/>
  <c r="AD179" i="17" s="1"/>
  <c r="AD82" i="15" s="1"/>
  <c r="AS78" i="16"/>
  <c r="AD136" i="17" s="1"/>
  <c r="AS74" i="16"/>
  <c r="AT83" i="16"/>
  <c r="AE141" i="17" s="1"/>
  <c r="AE183" i="17" s="1"/>
  <c r="AE86" i="15" s="1"/>
  <c r="AT73" i="16"/>
  <c r="AK23" i="16"/>
  <c r="U18" i="11"/>
  <c r="G61" i="50" s="1"/>
  <c r="AS47" i="8"/>
  <c r="AS73" i="16"/>
  <c r="AD131" i="17" s="1"/>
  <c r="AT19" i="8"/>
  <c r="AF13" i="50" s="1"/>
  <c r="AT78" i="16"/>
  <c r="AT13" i="16"/>
  <c r="AU72" i="16"/>
  <c r="AF53" i="15" s="1"/>
  <c r="AE18" i="8"/>
  <c r="Z45" i="11"/>
  <c r="B31" i="38"/>
  <c r="B18" i="38"/>
  <c r="D40" i="38"/>
  <c r="I16" i="38"/>
  <c r="J31" i="38"/>
  <c r="J18" i="38"/>
  <c r="K42" i="38"/>
  <c r="K39" i="38"/>
  <c r="V12" i="11"/>
  <c r="AV55" i="11"/>
  <c r="AV57" i="11"/>
  <c r="B58" i="18"/>
  <c r="H56" i="18"/>
  <c r="G56" i="18"/>
  <c r="O59" i="18"/>
  <c r="S59" i="18"/>
  <c r="E68" i="51"/>
  <c r="M68" i="50"/>
  <c r="AH36" i="11"/>
  <c r="R39" i="11"/>
  <c r="R41" i="11" s="1"/>
  <c r="D66" i="50" s="1"/>
  <c r="R40" i="16"/>
  <c r="C30" i="38" s="1"/>
  <c r="R22" i="11"/>
  <c r="C18" i="38"/>
  <c r="S32" i="11"/>
  <c r="D25" i="38"/>
  <c r="E79" i="17"/>
  <c r="T73" i="11"/>
  <c r="T64" i="11"/>
  <c r="G60" i="17"/>
  <c r="G44" i="18" s="1"/>
  <c r="V44" i="11"/>
  <c r="H61" i="17"/>
  <c r="H45" i="18" s="1"/>
  <c r="W45" i="11"/>
  <c r="J60" i="17"/>
  <c r="J44" i="18" s="1"/>
  <c r="Y44" i="11"/>
  <c r="E71" i="51"/>
  <c r="M71" i="50"/>
  <c r="AB40" i="11"/>
  <c r="AC42" i="11"/>
  <c r="E8" i="38"/>
  <c r="G40" i="38"/>
  <c r="AU36" i="11"/>
  <c r="AF52" i="17"/>
  <c r="AF36" i="18" s="1"/>
  <c r="H61" i="50"/>
  <c r="L18" i="38"/>
  <c r="J28" i="38"/>
  <c r="D62" i="51"/>
  <c r="H62" i="50"/>
  <c r="Q18" i="11"/>
  <c r="B16" i="38"/>
  <c r="R43" i="11"/>
  <c r="C31" i="38"/>
  <c r="D29" i="38"/>
  <c r="S37" i="11"/>
  <c r="F60" i="17"/>
  <c r="F44" i="18" s="1"/>
  <c r="U44" i="11"/>
  <c r="U40" i="16"/>
  <c r="F30" i="38" s="1"/>
  <c r="U38" i="11"/>
  <c r="U41" i="11" s="1"/>
  <c r="G66" i="50" s="1"/>
  <c r="X69" i="11"/>
  <c r="J68" i="50" s="1"/>
  <c r="I44" i="38"/>
  <c r="J58" i="17"/>
  <c r="J42" i="18" s="1"/>
  <c r="AA64" i="11"/>
  <c r="L39" i="38"/>
  <c r="AA39" i="11"/>
  <c r="AA19" i="11"/>
  <c r="AC71" i="11"/>
  <c r="AE22" i="11"/>
  <c r="L31" i="38"/>
  <c r="L25" i="38"/>
  <c r="G16" i="38"/>
  <c r="E64" i="17"/>
  <c r="E48" i="18" s="1"/>
  <c r="T48" i="11"/>
  <c r="U71" i="11"/>
  <c r="E9" i="38"/>
  <c r="AP48" i="11"/>
  <c r="P17" i="50"/>
  <c r="I17" i="38"/>
  <c r="B39" i="38"/>
  <c r="H29" i="38"/>
  <c r="F42" i="38"/>
  <c r="F39" i="38"/>
  <c r="D16" i="38"/>
  <c r="C16" i="38"/>
  <c r="I16" i="50"/>
  <c r="P11" i="50"/>
  <c r="J10" i="50"/>
  <c r="C64" i="17"/>
  <c r="C48" i="18" s="1"/>
  <c r="R48" i="11"/>
  <c r="D64" i="17"/>
  <c r="D48" i="18" s="1"/>
  <c r="S48" i="11"/>
  <c r="L53" i="8"/>
  <c r="W12" i="17"/>
  <c r="W12" i="18" s="1"/>
  <c r="AL12" i="11"/>
  <c r="AF12" i="17"/>
  <c r="AU12" i="11"/>
  <c r="F34" i="17"/>
  <c r="F24" i="18" s="1"/>
  <c r="U24" i="11"/>
  <c r="G34" i="17"/>
  <c r="G24" i="18" s="1"/>
  <c r="V24" i="11"/>
  <c r="I79" i="17"/>
  <c r="I62" i="10" s="1"/>
  <c r="X73" i="11"/>
  <c r="L62" i="10"/>
  <c r="L73" i="18"/>
  <c r="AG24" i="11"/>
  <c r="S76" i="17"/>
  <c r="S70" i="18" s="1"/>
  <c r="AH70" i="11"/>
  <c r="C52" i="17"/>
  <c r="C36" i="18" s="1"/>
  <c r="Q52" i="17"/>
  <c r="Q36" i="18" s="1"/>
  <c r="W71" i="50"/>
  <c r="I14" i="16"/>
  <c r="G40" i="16"/>
  <c r="O25" i="11"/>
  <c r="J56" i="18"/>
  <c r="D56" i="18"/>
  <c r="AD60" i="11"/>
  <c r="F46" i="11"/>
  <c r="Q45" i="11"/>
  <c r="X55" i="18"/>
  <c r="E25" i="11"/>
  <c r="G41" i="11"/>
  <c r="C65" i="50"/>
  <c r="B76" i="17"/>
  <c r="B70" i="18" s="1"/>
  <c r="Q70" i="11"/>
  <c r="AV70" i="11" s="1"/>
  <c r="AA73" i="11"/>
  <c r="D39" i="38"/>
  <c r="AS13" i="16"/>
  <c r="AT79" i="16"/>
  <c r="AE137" i="17" s="1"/>
  <c r="AE179" i="17" s="1"/>
  <c r="AE82" i="15" s="1"/>
  <c r="AT47" i="8"/>
  <c r="AT48" i="8"/>
  <c r="AU83" i="16"/>
  <c r="AF141" i="17" s="1"/>
  <c r="AF183" i="17" s="1"/>
  <c r="AF86" i="15" s="1"/>
  <c r="R23" i="16"/>
  <c r="AB23" i="16"/>
  <c r="AK26" i="16"/>
  <c r="G27" i="38"/>
  <c r="J39" i="38"/>
  <c r="AS72" i="16"/>
  <c r="AD130" i="17" s="1"/>
  <c r="AS49" i="8"/>
  <c r="AT84" i="16"/>
  <c r="AT81" i="16"/>
  <c r="AE62" i="15" s="1"/>
  <c r="AT75" i="16"/>
  <c r="AE133" i="17" s="1"/>
  <c r="AT63" i="16"/>
  <c r="AU82" i="16"/>
  <c r="AF140" i="17" s="1"/>
  <c r="AF182" i="17" s="1"/>
  <c r="AF85" i="15" s="1"/>
  <c r="AU75" i="16"/>
  <c r="U23" i="16"/>
  <c r="AB18" i="8"/>
  <c r="AP26" i="16"/>
  <c r="AA48" i="11"/>
  <c r="AQ70" i="11"/>
  <c r="AT70" i="11"/>
  <c r="C57" i="18"/>
  <c r="O52" i="8"/>
  <c r="J53" i="8"/>
  <c r="AN36" i="11"/>
  <c r="E46" i="11"/>
  <c r="Y70" i="11"/>
  <c r="AE47" i="11"/>
  <c r="C40" i="38"/>
  <c r="D44" i="38"/>
  <c r="N60" i="17"/>
  <c r="N44" i="18" s="1"/>
  <c r="K52" i="8"/>
  <c r="M64" i="16"/>
  <c r="I46" i="11"/>
  <c r="G69" i="16"/>
  <c r="G96" i="16" s="1"/>
  <c r="G80" i="11" s="1"/>
  <c r="Z47" i="11"/>
  <c r="O60" i="17"/>
  <c r="O44" i="18" s="1"/>
  <c r="AD44" i="11"/>
  <c r="C68" i="51"/>
  <c r="Y60" i="11"/>
  <c r="M52" i="17"/>
  <c r="M36" i="18" s="1"/>
  <c r="M53" i="8"/>
  <c r="D57" i="18"/>
  <c r="H53" i="8"/>
  <c r="I52" i="8"/>
  <c r="E55" i="18"/>
  <c r="W47" i="11"/>
  <c r="S64" i="17"/>
  <c r="S48" i="18" s="1"/>
  <c r="AH48" i="11"/>
  <c r="AT76" i="16"/>
  <c r="AE134" i="17" s="1"/>
  <c r="AE176" i="17" s="1"/>
  <c r="AE79" i="15" s="1"/>
  <c r="AT77" i="16"/>
  <c r="AT74" i="16"/>
  <c r="AE55" i="15" s="1"/>
  <c r="AT72" i="16"/>
  <c r="AT49" i="8"/>
  <c r="Q75" i="16"/>
  <c r="AU46" i="8"/>
  <c r="R26" i="16"/>
  <c r="Y23" i="16"/>
  <c r="AF23" i="16"/>
  <c r="AF23" i="11" s="1"/>
  <c r="AP18" i="8"/>
  <c r="D14" i="16"/>
  <c r="Q12" i="17"/>
  <c r="Q12" i="18" s="1"/>
  <c r="AF12" i="11"/>
  <c r="T12" i="17"/>
  <c r="T12" i="18" s="1"/>
  <c r="AI12" i="11"/>
  <c r="S60" i="11"/>
  <c r="E14" i="16"/>
  <c r="W42" i="11"/>
  <c r="H28" i="38"/>
  <c r="P23" i="11"/>
  <c r="M65" i="11"/>
  <c r="F8" i="38"/>
  <c r="M55" i="18"/>
  <c r="I20" i="50"/>
  <c r="T70" i="11"/>
  <c r="T47" i="11"/>
  <c r="X45" i="11"/>
  <c r="X21" i="11"/>
  <c r="J62" i="50" s="1"/>
  <c r="AG47" i="11"/>
  <c r="V12" i="17"/>
  <c r="V12" i="18" s="1"/>
  <c r="AK12" i="11"/>
  <c r="AM48" i="11"/>
  <c r="AB64" i="17"/>
  <c r="AB48" i="18" s="1"/>
  <c r="AQ48" i="11"/>
  <c r="AD52" i="17"/>
  <c r="AD36" i="18" s="1"/>
  <c r="N53" i="8"/>
  <c r="F14" i="16"/>
  <c r="H40" i="16"/>
  <c r="M40" i="16"/>
  <c r="K28" i="38"/>
  <c r="M23" i="11"/>
  <c r="H60" i="11"/>
  <c r="C60" i="11"/>
  <c r="D15" i="51"/>
  <c r="V71" i="11"/>
  <c r="V8" i="11"/>
  <c r="Z48" i="11"/>
  <c r="AB70" i="11"/>
  <c r="I60" i="11"/>
  <c r="G57" i="18"/>
  <c r="J27" i="16"/>
  <c r="M41" i="11"/>
  <c r="K45" i="38"/>
  <c r="J9" i="38"/>
  <c r="K60" i="11"/>
  <c r="W60" i="11"/>
  <c r="C27" i="38"/>
  <c r="H18" i="38"/>
  <c r="AU81" i="16"/>
  <c r="AF139" i="17" s="1"/>
  <c r="Q73" i="16"/>
  <c r="AU49" i="8"/>
  <c r="S26" i="16"/>
  <c r="V18" i="8"/>
  <c r="Z26" i="16"/>
  <c r="AD23" i="16"/>
  <c r="AH26" i="16"/>
  <c r="AM18" i="8"/>
  <c r="AS23" i="16"/>
  <c r="AU19" i="8"/>
  <c r="AU80" i="16"/>
  <c r="AF138" i="17" s="1"/>
  <c r="Q23" i="16"/>
  <c r="S18" i="8"/>
  <c r="W26" i="16"/>
  <c r="Z18" i="8"/>
  <c r="AD26" i="16"/>
  <c r="AH18" i="8"/>
  <c r="AN23" i="16"/>
  <c r="AN25" i="11" s="1"/>
  <c r="AS26" i="16"/>
  <c r="E40" i="38"/>
  <c r="G45" i="38"/>
  <c r="G8" i="38"/>
  <c r="H17" i="38"/>
  <c r="I9" i="38"/>
  <c r="J44" i="38"/>
  <c r="AI60" i="11"/>
  <c r="J46" i="11"/>
  <c r="C10" i="11"/>
  <c r="C14" i="16"/>
  <c r="K10" i="11"/>
  <c r="K14" i="16"/>
  <c r="O8" i="11"/>
  <c r="O14" i="16"/>
  <c r="J65" i="11"/>
  <c r="J64" i="16"/>
  <c r="E52" i="8"/>
  <c r="E53" i="8"/>
  <c r="L9" i="11"/>
  <c r="L14" i="16"/>
  <c r="AJ36" i="11"/>
  <c r="D71" i="51"/>
  <c r="AH60" i="11"/>
  <c r="P60" i="11"/>
  <c r="D23" i="11"/>
  <c r="D25" i="11"/>
  <c r="H54" i="18"/>
  <c r="K46" i="11"/>
  <c r="L60" i="11"/>
  <c r="E34" i="11"/>
  <c r="E49" i="16"/>
  <c r="H41" i="11"/>
  <c r="P9" i="11"/>
  <c r="P14" i="16"/>
  <c r="F41" i="11"/>
  <c r="O63" i="17"/>
  <c r="O47" i="18" s="1"/>
  <c r="AD47" i="11"/>
  <c r="L64" i="16"/>
  <c r="O58" i="18"/>
  <c r="U57" i="18"/>
  <c r="D42" i="38"/>
  <c r="F40" i="16"/>
  <c r="B41" i="11"/>
  <c r="S40" i="16"/>
  <c r="D30" i="38" s="1"/>
  <c r="Q40" i="16"/>
  <c r="B30" i="38" s="1"/>
  <c r="C29" i="38"/>
  <c r="F25" i="11"/>
  <c r="L16" i="50"/>
  <c r="S64" i="11"/>
  <c r="Y73" i="11"/>
  <c r="Y24" i="11"/>
  <c r="J64" i="17"/>
  <c r="J48" i="18" s="1"/>
  <c r="Y48" i="11"/>
  <c r="AC70" i="11"/>
  <c r="U63" i="17"/>
  <c r="U47" i="18" s="1"/>
  <c r="AJ47" i="11"/>
  <c r="U12" i="17"/>
  <c r="U12" i="18" s="1"/>
  <c r="AJ12" i="11"/>
  <c r="S24" i="11"/>
  <c r="D34" i="17"/>
  <c r="D24" i="18" s="1"/>
  <c r="F27" i="38"/>
  <c r="J27" i="38"/>
  <c r="K60" i="17"/>
  <c r="K44" i="18" s="1"/>
  <c r="X12" i="11"/>
  <c r="I12" i="17"/>
  <c r="I12" i="18" s="1"/>
  <c r="E64" i="16"/>
  <c r="AF60" i="11"/>
  <c r="D31" i="38"/>
  <c r="B17" i="38"/>
  <c r="G53" i="8"/>
  <c r="D46" i="11"/>
  <c r="C71" i="50"/>
  <c r="K69" i="16"/>
  <c r="T44" i="11"/>
  <c r="U45" i="11"/>
  <c r="G73" i="18"/>
  <c r="W48" i="11"/>
  <c r="J73" i="18"/>
  <c r="L63" i="17"/>
  <c r="L47" i="18" s="1"/>
  <c r="AD12" i="11"/>
  <c r="AF47" i="11"/>
  <c r="Z12" i="17"/>
  <c r="Z12" i="18" s="1"/>
  <c r="AO12" i="11"/>
  <c r="L46" i="11"/>
  <c r="E41" i="11"/>
  <c r="AB60" i="11"/>
  <c r="D60" i="11"/>
  <c r="C69" i="16"/>
  <c r="C98" i="16" s="1"/>
  <c r="C82" i="11" s="1"/>
  <c r="D69" i="16"/>
  <c r="D97" i="16" s="1"/>
  <c r="D81" i="11" s="1"/>
  <c r="E69" i="16"/>
  <c r="C11" i="51"/>
  <c r="C14" i="51"/>
  <c r="Q44" i="11"/>
  <c r="S70" i="11"/>
  <c r="U70" i="11"/>
  <c r="V48" i="11"/>
  <c r="Q76" i="17"/>
  <c r="Q70" i="18" s="1"/>
  <c r="AA76" i="17"/>
  <c r="AA70" i="18" s="1"/>
  <c r="AP70" i="11"/>
  <c r="AB12" i="17"/>
  <c r="AB12" i="18" s="1"/>
  <c r="AQ12" i="11"/>
  <c r="C25" i="38"/>
  <c r="F40" i="38"/>
  <c r="F18" i="38"/>
  <c r="I28" i="38"/>
  <c r="AU79" i="16"/>
  <c r="AU78" i="16"/>
  <c r="Q74" i="16"/>
  <c r="AU73" i="16"/>
  <c r="AF131" i="17" s="1"/>
  <c r="AU48" i="16"/>
  <c r="Q26" i="16"/>
  <c r="R18" i="8"/>
  <c r="T23" i="16"/>
  <c r="V23" i="16"/>
  <c r="W18" i="8"/>
  <c r="Y26" i="16"/>
  <c r="AA26" i="16"/>
  <c r="AC23" i="16"/>
  <c r="AD18" i="8"/>
  <c r="AG23" i="16"/>
  <c r="AI18" i="8"/>
  <c r="AL26" i="16"/>
  <c r="AO23" i="16"/>
  <c r="AQ18" i="8"/>
  <c r="AT26" i="16"/>
  <c r="AU84" i="16"/>
  <c r="AU76" i="16"/>
  <c r="AU77" i="16"/>
  <c r="AF135" i="17" s="1"/>
  <c r="AU74" i="16"/>
  <c r="AF55" i="15" s="1"/>
  <c r="AU48" i="8"/>
  <c r="AU13" i="16"/>
  <c r="Q18" i="8"/>
  <c r="S23" i="16"/>
  <c r="T18" i="8"/>
  <c r="V26" i="16"/>
  <c r="X23" i="16"/>
  <c r="Z23" i="16"/>
  <c r="AA18" i="8"/>
  <c r="AC26" i="16"/>
  <c r="AE26" i="16"/>
  <c r="AG26" i="16"/>
  <c r="AJ23" i="16"/>
  <c r="AL18" i="8"/>
  <c r="AO26" i="16"/>
  <c r="AR23" i="16"/>
  <c r="AU23" i="16"/>
  <c r="C28" i="38"/>
  <c r="D28" i="38"/>
  <c r="E44" i="38"/>
  <c r="E18" i="38"/>
  <c r="I25" i="38"/>
  <c r="K27" i="38"/>
  <c r="K25" i="38"/>
  <c r="L58" i="17"/>
  <c r="L42" i="18" s="1"/>
  <c r="AM60" i="11"/>
  <c r="O55" i="18"/>
  <c r="J60" i="11"/>
  <c r="AV53" i="11"/>
  <c r="J55" i="18"/>
  <c r="B56" i="18"/>
  <c r="X60" i="11"/>
  <c r="E60" i="11"/>
  <c r="B60" i="11"/>
  <c r="M60" i="11"/>
  <c r="O60" i="11"/>
  <c r="F62" i="10"/>
  <c r="F73" i="18"/>
  <c r="AV58" i="11"/>
  <c r="AF54" i="18"/>
  <c r="AV54" i="11"/>
  <c r="AP60" i="11"/>
  <c r="AC57" i="18"/>
  <c r="R12" i="17"/>
  <c r="R12" i="18" s="1"/>
  <c r="Y63" i="17"/>
  <c r="Y47" i="18" s="1"/>
  <c r="Q41" i="11"/>
  <c r="C66" i="51" s="1"/>
  <c r="B27" i="38"/>
  <c r="D17" i="38"/>
  <c r="AF57" i="18"/>
  <c r="L12" i="17"/>
  <c r="L12" i="18" s="1"/>
  <c r="O76" i="17"/>
  <c r="O70" i="18" s="1"/>
  <c r="AR47" i="11"/>
  <c r="AR12" i="11"/>
  <c r="B9" i="38"/>
  <c r="C44" i="38"/>
  <c r="D45" i="38"/>
  <c r="D18" i="38"/>
  <c r="E42" i="38"/>
  <c r="E28" i="38"/>
  <c r="F44" i="38"/>
  <c r="F31" i="38"/>
  <c r="F25" i="38"/>
  <c r="K31" i="38"/>
  <c r="AV56" i="11"/>
  <c r="AD55" i="18"/>
  <c r="H45" i="38"/>
  <c r="J40" i="38"/>
  <c r="M44" i="38"/>
  <c r="M31" i="38"/>
  <c r="M18" i="38"/>
  <c r="AF55" i="18"/>
  <c r="AV59" i="11"/>
  <c r="AR60" i="11"/>
  <c r="AA58" i="18"/>
  <c r="W76" i="17"/>
  <c r="W70" i="18" s="1"/>
  <c r="AD63" i="17"/>
  <c r="AD47" i="18" s="1"/>
  <c r="AD12" i="17"/>
  <c r="AD12" i="18" s="1"/>
  <c r="C45" i="38"/>
  <c r="C9" i="38"/>
  <c r="E27" i="38"/>
  <c r="S20" i="50"/>
  <c r="F14" i="50"/>
  <c r="E39" i="38"/>
  <c r="L11" i="50"/>
  <c r="T7" i="50"/>
  <c r="P53" i="8"/>
  <c r="I39" i="38"/>
  <c r="F20" i="50"/>
  <c r="C17" i="50"/>
  <c r="C17" i="51"/>
  <c r="J73" i="1"/>
  <c r="B28" i="38"/>
  <c r="K16" i="50"/>
  <c r="E7" i="51"/>
  <c r="L8" i="38"/>
  <c r="O14" i="50"/>
  <c r="N39" i="38"/>
  <c r="D16" i="50"/>
  <c r="E16" i="38"/>
  <c r="F10" i="50"/>
  <c r="G11" i="50"/>
  <c r="F17" i="38"/>
  <c r="G16" i="50"/>
  <c r="M17" i="50"/>
  <c r="L29" i="38"/>
  <c r="I29" i="38"/>
  <c r="L16" i="38"/>
  <c r="L28" i="38"/>
  <c r="E10" i="51"/>
  <c r="F17" i="51"/>
  <c r="C20" i="51"/>
  <c r="C20" i="50"/>
  <c r="B42" i="38"/>
  <c r="J76" i="1"/>
  <c r="J72" i="1"/>
  <c r="C16" i="50"/>
  <c r="D14" i="51"/>
  <c r="H14" i="50"/>
  <c r="J71" i="1"/>
  <c r="C15" i="50"/>
  <c r="D20" i="50"/>
  <c r="C42" i="38"/>
  <c r="G17" i="50"/>
  <c r="F28" i="38"/>
  <c r="F29" i="38"/>
  <c r="K7" i="50"/>
  <c r="J8" i="38"/>
  <c r="E20" i="51"/>
  <c r="L42" i="38"/>
  <c r="M73" i="1"/>
  <c r="S11" i="50"/>
  <c r="E17" i="38"/>
  <c r="D7" i="50"/>
  <c r="C8" i="38"/>
  <c r="D8" i="38"/>
  <c r="E7" i="50"/>
  <c r="D11" i="51"/>
  <c r="H11" i="50"/>
  <c r="D7" i="51"/>
  <c r="H7" i="50"/>
  <c r="D16" i="51"/>
  <c r="G17" i="15"/>
  <c r="G17" i="36" s="1"/>
  <c r="AF31" i="14"/>
  <c r="AF51" i="14" s="1"/>
  <c r="AF43" i="14"/>
  <c r="AF63" i="14" s="1"/>
  <c r="AF42" i="14"/>
  <c r="AF62" i="14" s="1"/>
  <c r="M7" i="14"/>
  <c r="M41" i="14" s="1"/>
  <c r="M61" i="14" s="1"/>
  <c r="AF35" i="14"/>
  <c r="AF55" i="14" s="1"/>
  <c r="AF45" i="14"/>
  <c r="AF65" i="14" s="1"/>
  <c r="W7" i="14"/>
  <c r="W8" i="14" s="1"/>
  <c r="W22" i="14" s="1"/>
  <c r="AC7" i="14"/>
  <c r="AC31" i="14" s="1"/>
  <c r="AC51" i="14" s="1"/>
  <c r="AF39" i="14"/>
  <c r="AF59" i="14" s="1"/>
  <c r="G7" i="14"/>
  <c r="G46" i="14" s="1"/>
  <c r="G66" i="14" s="1"/>
  <c r="B37" i="11"/>
  <c r="B49" i="16"/>
  <c r="F33" i="11"/>
  <c r="F49" i="16"/>
  <c r="D39" i="11"/>
  <c r="D41" i="11" s="1"/>
  <c r="D40" i="16"/>
  <c r="N14" i="16"/>
  <c r="N12" i="11"/>
  <c r="F19" i="11"/>
  <c r="F27" i="16"/>
  <c r="M8" i="11"/>
  <c r="M14" i="16"/>
  <c r="AC36" i="11"/>
  <c r="L40" i="11"/>
  <c r="L41" i="11" s="1"/>
  <c r="L40" i="16"/>
  <c r="J39" i="11"/>
  <c r="J41" i="11" s="1"/>
  <c r="J49" i="16"/>
  <c r="L19" i="11"/>
  <c r="L27" i="16"/>
  <c r="T76" i="17"/>
  <c r="T70" i="18" s="1"/>
  <c r="AI70" i="11"/>
  <c r="M64" i="17"/>
  <c r="M48" i="18" s="1"/>
  <c r="AB48" i="11"/>
  <c r="V64" i="17"/>
  <c r="V48" i="18" s="1"/>
  <c r="AK48" i="11"/>
  <c r="AU60" i="11"/>
  <c r="AS60" i="11"/>
  <c r="J40" i="16"/>
  <c r="H64" i="16"/>
  <c r="H66" i="11"/>
  <c r="AE60" i="11"/>
  <c r="I72" i="11"/>
  <c r="I64" i="16"/>
  <c r="C69" i="11"/>
  <c r="C64" i="16"/>
  <c r="N64" i="16"/>
  <c r="N66" i="11"/>
  <c r="C49" i="16"/>
  <c r="K68" i="11"/>
  <c r="K64" i="16"/>
  <c r="B12" i="17"/>
  <c r="B12" i="18" s="1"/>
  <c r="Q12" i="11"/>
  <c r="E12" i="17"/>
  <c r="E12" i="18" s="1"/>
  <c r="T12" i="11"/>
  <c r="X63" i="17"/>
  <c r="X47" i="18" s="1"/>
  <c r="AM47" i="11"/>
  <c r="O67" i="11"/>
  <c r="O64" i="16"/>
  <c r="K39" i="11"/>
  <c r="K41" i="11" s="1"/>
  <c r="K40" i="16"/>
  <c r="H36" i="11"/>
  <c r="H49" i="16"/>
  <c r="C39" i="11"/>
  <c r="C41" i="11" s="1"/>
  <c r="C40" i="16"/>
  <c r="AQ60" i="11"/>
  <c r="AO60" i="11"/>
  <c r="Q71" i="11"/>
  <c r="AB67" i="11"/>
  <c r="N71" i="50" s="1"/>
  <c r="AB20" i="11"/>
  <c r="AB8" i="11"/>
  <c r="N58" i="50" s="1"/>
  <c r="AC20" i="11"/>
  <c r="C58" i="51"/>
  <c r="C58" i="50"/>
  <c r="C12" i="17"/>
  <c r="C12" i="18" s="1"/>
  <c r="R12" i="11"/>
  <c r="G63" i="17"/>
  <c r="G47" i="18" s="1"/>
  <c r="V47" i="11"/>
  <c r="J12" i="17"/>
  <c r="J12" i="18" s="1"/>
  <c r="Y12" i="11"/>
  <c r="Y76" i="17"/>
  <c r="Y70" i="18" s="1"/>
  <c r="AN70" i="11"/>
  <c r="D79" i="17"/>
  <c r="S73" i="11"/>
  <c r="D68" i="51"/>
  <c r="H68" i="50"/>
  <c r="G61" i="17"/>
  <c r="G45" i="18" s="1"/>
  <c r="V45" i="11"/>
  <c r="AN60" i="11"/>
  <c r="AC53" i="18"/>
  <c r="H58" i="18"/>
  <c r="B55" i="18"/>
  <c r="B46" i="11"/>
  <c r="I57" i="18"/>
  <c r="C62" i="51"/>
  <c r="C62" i="50"/>
  <c r="I63" i="17"/>
  <c r="I47" i="18" s="1"/>
  <c r="X47" i="11"/>
  <c r="W63" i="17"/>
  <c r="W47" i="18" s="1"/>
  <c r="AL47" i="11"/>
  <c r="C79" i="17"/>
  <c r="R73" i="11"/>
  <c r="C60" i="17"/>
  <c r="C44" i="18" s="1"/>
  <c r="R44" i="11"/>
  <c r="AT60" i="11"/>
  <c r="AE53" i="18"/>
  <c r="AC59" i="18"/>
  <c r="F55" i="18"/>
  <c r="I55" i="18"/>
  <c r="AJ60" i="11"/>
  <c r="N59" i="18"/>
  <c r="I56" i="18"/>
  <c r="AC48" i="11"/>
  <c r="N64" i="17"/>
  <c r="N48" i="18" s="1"/>
  <c r="P64" i="17"/>
  <c r="P48" i="18" s="1"/>
  <c r="AE48" i="11"/>
  <c r="AH47" i="11"/>
  <c r="S63" i="17"/>
  <c r="S47" i="18" s="1"/>
  <c r="S55" i="18"/>
  <c r="H59" i="18"/>
  <c r="G92" i="14"/>
  <c r="F56" i="18" s="1"/>
  <c r="B40" i="16"/>
  <c r="I58" i="18"/>
  <c r="Y92" i="14"/>
  <c r="X56" i="18" s="1"/>
  <c r="X92" i="14"/>
  <c r="W56" i="18" s="1"/>
  <c r="AD92" i="14"/>
  <c r="AC56" i="18" s="1"/>
  <c r="W92" i="14"/>
  <c r="V56" i="18" s="1"/>
  <c r="F69" i="16"/>
  <c r="F98" i="16" s="1"/>
  <c r="F82" i="11" s="1"/>
  <c r="S45" i="11"/>
  <c r="W41" i="11"/>
  <c r="I66" i="50" s="1"/>
  <c r="K12" i="17"/>
  <c r="K12" i="18" s="1"/>
  <c r="Z12" i="11"/>
  <c r="M63" i="17"/>
  <c r="M47" i="18" s="1"/>
  <c r="N12" i="17"/>
  <c r="N12" i="18" s="1"/>
  <c r="AC12" i="11"/>
  <c r="P12" i="17"/>
  <c r="P12" i="18" s="1"/>
  <c r="AO70" i="11"/>
  <c r="AF63" i="17"/>
  <c r="AU47" i="11"/>
  <c r="F58" i="17"/>
  <c r="F42" i="18" s="1"/>
  <c r="AK60" i="11"/>
  <c r="B69" i="16"/>
  <c r="B95" i="16" s="1"/>
  <c r="B79" i="11" s="1"/>
  <c r="H69" i="16"/>
  <c r="H102" i="16" s="1"/>
  <c r="J69" i="16"/>
  <c r="J98" i="16" s="1"/>
  <c r="J82" i="11" s="1"/>
  <c r="R64" i="17"/>
  <c r="R48" i="18" s="1"/>
  <c r="AG48" i="11"/>
  <c r="T64" i="17"/>
  <c r="T48" i="18" s="1"/>
  <c r="AI48" i="11"/>
  <c r="Y64" i="17"/>
  <c r="Y48" i="18" s="1"/>
  <c r="AN48" i="11"/>
  <c r="P59" i="18"/>
  <c r="T55" i="18"/>
  <c r="Q60" i="11"/>
  <c r="G60" i="11"/>
  <c r="L92" i="14"/>
  <c r="K56" i="18" s="1"/>
  <c r="B59" i="18"/>
  <c r="P41" i="11"/>
  <c r="AF92" i="14"/>
  <c r="AE56" i="18" s="1"/>
  <c r="V57" i="18"/>
  <c r="L69" i="16"/>
  <c r="L95" i="16" s="1"/>
  <c r="L79" i="11" s="1"/>
  <c r="G76" i="17"/>
  <c r="G70" i="18" s="1"/>
  <c r="V70" i="11"/>
  <c r="I64" i="17"/>
  <c r="I48" i="18" s="1"/>
  <c r="X48" i="11"/>
  <c r="Z70" i="11"/>
  <c r="AG85" i="14"/>
  <c r="AE85" i="14"/>
  <c r="AB85" i="14"/>
  <c r="Q85" i="14"/>
  <c r="P85" i="14"/>
  <c r="N85" i="14"/>
  <c r="J85" i="14"/>
  <c r="G85" i="14"/>
  <c r="C85" i="14"/>
  <c r="AD85" i="14"/>
  <c r="Z85" i="14"/>
  <c r="X85" i="14"/>
  <c r="W85" i="14"/>
  <c r="O85" i="14"/>
  <c r="L85" i="14"/>
  <c r="I85" i="14"/>
  <c r="F85" i="14"/>
  <c r="U85" i="14"/>
  <c r="T85" i="14"/>
  <c r="H85" i="14"/>
  <c r="Y85" i="14"/>
  <c r="E85" i="14"/>
  <c r="AF85" i="14"/>
  <c r="AC85" i="14"/>
  <c r="S85" i="14"/>
  <c r="S41" i="11"/>
  <c r="E66" i="50" s="1"/>
  <c r="Z41" i="11"/>
  <c r="L66" i="50" s="1"/>
  <c r="U76" i="17"/>
  <c r="U70" i="18" s="1"/>
  <c r="AK70" i="11"/>
  <c r="AE63" i="17"/>
  <c r="AE47" i="18" s="1"/>
  <c r="AF76" i="17"/>
  <c r="AG107" i="14"/>
  <c r="AG110" i="14" s="1"/>
  <c r="AF107" i="14"/>
  <c r="AF110" i="14" s="1"/>
  <c r="AC107" i="14"/>
  <c r="AC110" i="14" s="1"/>
  <c r="Y107" i="14"/>
  <c r="Y110" i="14" s="1"/>
  <c r="U107" i="14"/>
  <c r="U110" i="14" s="1"/>
  <c r="M107" i="14"/>
  <c r="M110" i="14" s="1"/>
  <c r="E107" i="14"/>
  <c r="E110" i="14" s="1"/>
  <c r="AE107" i="14"/>
  <c r="AE110" i="14" s="1"/>
  <c r="V107" i="14"/>
  <c r="V110" i="14" s="1"/>
  <c r="T107" i="14"/>
  <c r="T110" i="14" s="1"/>
  <c r="R107" i="14"/>
  <c r="R110" i="14" s="1"/>
  <c r="H107" i="14"/>
  <c r="H110" i="14" s="1"/>
  <c r="D10" i="14"/>
  <c r="AP47" i="11"/>
  <c r="AA63" i="17"/>
  <c r="AA47" i="18" s="1"/>
  <c r="AR70" i="11"/>
  <c r="AC76" i="17"/>
  <c r="AC70" i="18" s="1"/>
  <c r="AG10" i="14"/>
  <c r="Z10" i="14"/>
  <c r="T10" i="14"/>
  <c r="Q10" i="14"/>
  <c r="O10" i="14"/>
  <c r="M10" i="14"/>
  <c r="K10" i="14"/>
  <c r="H10" i="14"/>
  <c r="F10" i="14"/>
  <c r="W10" i="14"/>
  <c r="U10" i="14"/>
  <c r="R10" i="14"/>
  <c r="P10" i="14"/>
  <c r="AA10" i="14"/>
  <c r="I10" i="14"/>
  <c r="E10" i="14"/>
  <c r="AD10" i="14"/>
  <c r="X10" i="14"/>
  <c r="V10" i="14"/>
  <c r="N10" i="14"/>
  <c r="G10" i="14"/>
  <c r="C10" i="14"/>
  <c r="AE10" i="14"/>
  <c r="AB10" i="14"/>
  <c r="J10" i="14"/>
  <c r="AD78" i="14"/>
  <c r="AD24" i="14"/>
  <c r="E83" i="14"/>
  <c r="I83" i="14"/>
  <c r="Q83" i="14"/>
  <c r="T83" i="14"/>
  <c r="Z83" i="14"/>
  <c r="AF83" i="14"/>
  <c r="AE83" i="14"/>
  <c r="AC83" i="14"/>
  <c r="X83" i="14"/>
  <c r="V83" i="14"/>
  <c r="J83" i="14"/>
  <c r="D83" i="14"/>
  <c r="C83" i="14"/>
  <c r="AD83" i="14"/>
  <c r="AB83" i="14"/>
  <c r="AA83" i="14"/>
  <c r="Y83" i="14"/>
  <c r="AE24" i="14"/>
  <c r="H83" i="14"/>
  <c r="K83" i="14"/>
  <c r="R83" i="14"/>
  <c r="U83" i="14"/>
  <c r="W83" i="14"/>
  <c r="C7" i="14"/>
  <c r="I7" i="14"/>
  <c r="I47" i="14" s="1"/>
  <c r="I67" i="14" s="1"/>
  <c r="S7" i="14"/>
  <c r="Y7" i="14"/>
  <c r="Y41" i="14" s="1"/>
  <c r="Y61" i="14" s="1"/>
  <c r="C73" i="14"/>
  <c r="E73" i="14"/>
  <c r="G73" i="14"/>
  <c r="I73" i="14"/>
  <c r="K73" i="14"/>
  <c r="M73" i="14"/>
  <c r="O73" i="14"/>
  <c r="Q73" i="14"/>
  <c r="S73" i="14"/>
  <c r="U73" i="14"/>
  <c r="W73" i="14"/>
  <c r="Y73" i="14"/>
  <c r="AA73" i="14"/>
  <c r="AC73" i="14"/>
  <c r="AE73" i="14"/>
  <c r="Y89" i="14"/>
  <c r="X53" i="18" s="1"/>
  <c r="AC89" i="14"/>
  <c r="AB53" i="18" s="1"/>
  <c r="AG89" i="14"/>
  <c r="AF53" i="18" s="1"/>
  <c r="F11" i="14"/>
  <c r="H11" i="14"/>
  <c r="N11" i="14"/>
  <c r="P11" i="14"/>
  <c r="V11" i="14"/>
  <c r="X11" i="14"/>
  <c r="E7" i="14"/>
  <c r="E8" i="14" s="1"/>
  <c r="O7" i="14"/>
  <c r="U7" i="14"/>
  <c r="U46" i="14" s="1"/>
  <c r="U66" i="14" s="1"/>
  <c r="AE7" i="14"/>
  <c r="AE8" i="14" s="1"/>
  <c r="AE16" i="14" s="1"/>
  <c r="K7" i="14"/>
  <c r="Q7" i="14"/>
  <c r="Q40" i="14" s="1"/>
  <c r="Q60" i="14" s="1"/>
  <c r="AA7" i="14"/>
  <c r="AG7" i="14"/>
  <c r="AG32" i="14" s="1"/>
  <c r="AG52" i="14" s="1"/>
  <c r="C89" i="14"/>
  <c r="B53" i="18" s="1"/>
  <c r="G89" i="14"/>
  <c r="F53" i="18" s="1"/>
  <c r="K89" i="14"/>
  <c r="J53" i="18" s="1"/>
  <c r="O89" i="14"/>
  <c r="N53" i="18" s="1"/>
  <c r="S89" i="14"/>
  <c r="R53" i="18" s="1"/>
  <c r="W89" i="14"/>
  <c r="V53" i="18" s="1"/>
  <c r="AA89" i="14"/>
  <c r="Z53" i="18" s="1"/>
  <c r="D100" i="14"/>
  <c r="T26" i="16"/>
  <c r="U18" i="8"/>
  <c r="W23" i="16"/>
  <c r="X26" i="16"/>
  <c r="Y18" i="8"/>
  <c r="AA23" i="16"/>
  <c r="AB26" i="16"/>
  <c r="AC18" i="8"/>
  <c r="AE23" i="16"/>
  <c r="AF26" i="16"/>
  <c r="AG18" i="8"/>
  <c r="AI23" i="16"/>
  <c r="AJ26" i="16"/>
  <c r="AK18" i="8"/>
  <c r="AM23" i="16"/>
  <c r="AN26" i="16"/>
  <c r="AO18" i="8"/>
  <c r="AQ23" i="16"/>
  <c r="AR26" i="16"/>
  <c r="AS18" i="8"/>
  <c r="AF18" i="8"/>
  <c r="AH23" i="16"/>
  <c r="AI26" i="16"/>
  <c r="AJ18" i="8"/>
  <c r="AL23" i="16"/>
  <c r="AM26" i="16"/>
  <c r="AN18" i="8"/>
  <c r="AP23" i="16"/>
  <c r="AQ26" i="16"/>
  <c r="AR18" i="8"/>
  <c r="AT23" i="16"/>
  <c r="AP74" i="16"/>
  <c r="O111" i="14"/>
  <c r="AG108" i="14"/>
  <c r="AG111" i="14" s="1"/>
  <c r="O86" i="16"/>
  <c r="AB86" i="16"/>
  <c r="M71" i="10" s="1"/>
  <c r="T86" i="16"/>
  <c r="E147" i="17" s="1"/>
  <c r="W86" i="16"/>
  <c r="Q86" i="16"/>
  <c r="R86" i="16"/>
  <c r="D39" i="15"/>
  <c r="D39" i="36" s="1"/>
  <c r="R20" i="14"/>
  <c r="S20" i="14"/>
  <c r="G20" i="14"/>
  <c r="F37" i="15" s="1"/>
  <c r="W20" i="14"/>
  <c r="AC20" i="14"/>
  <c r="AA20" i="14"/>
  <c r="C20" i="14"/>
  <c r="B37" i="15" s="1"/>
  <c r="B37" i="36" s="1"/>
  <c r="J20" i="14"/>
  <c r="I37" i="15" s="1"/>
  <c r="I37" i="36" s="1"/>
  <c r="J37" i="50" s="1"/>
  <c r="J54" i="50" s="1"/>
  <c r="M20" i="14"/>
  <c r="L37" i="15" s="1"/>
  <c r="L37" i="36" s="1"/>
  <c r="N20" i="14"/>
  <c r="O20" i="14"/>
  <c r="Y20" i="14"/>
  <c r="Z20" i="14"/>
  <c r="AE20" i="14"/>
  <c r="H20" i="14"/>
  <c r="I20" i="14"/>
  <c r="P20" i="14"/>
  <c r="O37" i="15" s="1"/>
  <c r="O37" i="36" s="1"/>
  <c r="P37" i="50" s="1"/>
  <c r="P54" i="50" s="1"/>
  <c r="Q20" i="14"/>
  <c r="P37" i="15" s="1"/>
  <c r="P37" i="36" s="1"/>
  <c r="Q37" i="50" s="1"/>
  <c r="Q54" i="50" s="1"/>
  <c r="T20" i="14"/>
  <c r="U20" i="14"/>
  <c r="V20" i="14"/>
  <c r="X20" i="14"/>
  <c r="F20" i="14"/>
  <c r="E37" i="15" s="1"/>
  <c r="E37" i="36" s="1"/>
  <c r="F37" i="50" s="1"/>
  <c r="D20" i="14"/>
  <c r="C37" i="15" s="1"/>
  <c r="C37" i="36" s="1"/>
  <c r="D37" i="50" s="1"/>
  <c r="E20" i="14"/>
  <c r="D37" i="15" s="1"/>
  <c r="K20" i="14"/>
  <c r="L20" i="14"/>
  <c r="K37" i="15" s="1"/>
  <c r="K37" i="36" s="1"/>
  <c r="L37" i="50" s="1"/>
  <c r="L54" i="50" s="1"/>
  <c r="F85" i="17"/>
  <c r="Q87" i="17"/>
  <c r="Y87" i="17"/>
  <c r="K87" i="17"/>
  <c r="C87" i="17"/>
  <c r="O87" i="17"/>
  <c r="W87" i="17"/>
  <c r="AE87" i="17"/>
  <c r="G87" i="17"/>
  <c r="U87" i="17"/>
  <c r="AC87" i="17"/>
  <c r="F87" i="17"/>
  <c r="L87" i="17"/>
  <c r="S87" i="17"/>
  <c r="AA87" i="17"/>
  <c r="J87" i="17"/>
  <c r="D87" i="17"/>
  <c r="M87" i="17"/>
  <c r="I87" i="17"/>
  <c r="N87" i="17"/>
  <c r="P87" i="17"/>
  <c r="R87" i="17"/>
  <c r="T87" i="17"/>
  <c r="V87" i="17"/>
  <c r="X87" i="17"/>
  <c r="Z87" i="17"/>
  <c r="AB87" i="17"/>
  <c r="AD87" i="17"/>
  <c r="H87" i="17"/>
  <c r="B87" i="17"/>
  <c r="E87" i="17"/>
  <c r="P86" i="17"/>
  <c r="I86" i="17"/>
  <c r="M86" i="17"/>
  <c r="AA86" i="17"/>
  <c r="G86" i="17"/>
  <c r="F86" i="17"/>
  <c r="W86" i="17"/>
  <c r="K86" i="17"/>
  <c r="T86" i="17"/>
  <c r="AE86" i="17"/>
  <c r="J86" i="17"/>
  <c r="H86" i="17"/>
  <c r="E86" i="17"/>
  <c r="L86" i="17"/>
  <c r="N86" i="17"/>
  <c r="R86" i="17"/>
  <c r="Y86" i="17"/>
  <c r="AC86" i="17"/>
  <c r="B86" i="17"/>
  <c r="D86" i="17"/>
  <c r="Q86" i="17"/>
  <c r="U86" i="17"/>
  <c r="X86" i="17"/>
  <c r="AB86" i="17"/>
  <c r="AF86" i="17"/>
  <c r="C86" i="17"/>
  <c r="O86" i="17"/>
  <c r="S86" i="17"/>
  <c r="V86" i="17"/>
  <c r="Z86" i="17"/>
  <c r="H85" i="17"/>
  <c r="D85" i="17"/>
  <c r="E85" i="17"/>
  <c r="G85" i="17"/>
  <c r="J85" i="17"/>
  <c r="K85" i="17"/>
  <c r="L85" i="17"/>
  <c r="AF85" i="17"/>
  <c r="C85" i="17"/>
  <c r="N85" i="17"/>
  <c r="B85" i="17"/>
  <c r="I85" i="17"/>
  <c r="M85" i="17"/>
  <c r="M88" i="17" s="1"/>
  <c r="V85" i="17"/>
  <c r="W85" i="17"/>
  <c r="X85" i="17"/>
  <c r="Y85" i="17"/>
  <c r="Z85" i="17"/>
  <c r="AA85" i="17"/>
  <c r="AB85" i="17"/>
  <c r="AC85" i="17"/>
  <c r="AD85" i="17"/>
  <c r="AE85" i="17"/>
  <c r="O85" i="17"/>
  <c r="P85" i="17"/>
  <c r="Q85" i="17"/>
  <c r="R85" i="17"/>
  <c r="S85" i="17"/>
  <c r="T85" i="17"/>
  <c r="L102" i="14"/>
  <c r="K102" i="14"/>
  <c r="E102" i="14"/>
  <c r="H102" i="14"/>
  <c r="D102" i="14"/>
  <c r="F101" i="14"/>
  <c r="L101" i="14"/>
  <c r="C101" i="14"/>
  <c r="B163" i="17" s="1"/>
  <c r="E101" i="14"/>
  <c r="AE57" i="18"/>
  <c r="P46" i="11"/>
  <c r="V60" i="11"/>
  <c r="G55" i="18"/>
  <c r="U60" i="11"/>
  <c r="AG60" i="11"/>
  <c r="E59" i="18"/>
  <c r="F60" i="11"/>
  <c r="H46" i="11"/>
  <c r="G46" i="11"/>
  <c r="B53" i="8"/>
  <c r="B52" i="8"/>
  <c r="AK36" i="11"/>
  <c r="G8" i="11"/>
  <c r="G14" i="16"/>
  <c r="L34" i="11"/>
  <c r="L49" i="16"/>
  <c r="E21" i="11"/>
  <c r="E27" i="16"/>
  <c r="P21" i="11"/>
  <c r="P27" i="16"/>
  <c r="I40" i="11"/>
  <c r="I41" i="11" s="1"/>
  <c r="I40" i="16"/>
  <c r="C53" i="18"/>
  <c r="R60" i="11"/>
  <c r="N60" i="11"/>
  <c r="AL36" i="11"/>
  <c r="AO36" i="11"/>
  <c r="AT36" i="11"/>
  <c r="M69" i="16"/>
  <c r="F64" i="17"/>
  <c r="F48" i="18" s="1"/>
  <c r="U48" i="11"/>
  <c r="H12" i="17"/>
  <c r="H12" i="18" s="1"/>
  <c r="W12" i="11"/>
  <c r="J35" i="17"/>
  <c r="J25" i="18" s="1"/>
  <c r="R76" i="17"/>
  <c r="R70" i="18" s="1"/>
  <c r="AG70" i="11"/>
  <c r="R20" i="11"/>
  <c r="C46" i="11"/>
  <c r="G65" i="11"/>
  <c r="G64" i="16"/>
  <c r="D65" i="11"/>
  <c r="D64" i="16"/>
  <c r="B67" i="11"/>
  <c r="B64" i="16"/>
  <c r="C19" i="11"/>
  <c r="C27" i="16"/>
  <c r="H8" i="11"/>
  <c r="H14" i="16"/>
  <c r="B10" i="11"/>
  <c r="B14" i="16"/>
  <c r="D20" i="11"/>
  <c r="D27" i="16"/>
  <c r="I34" i="11"/>
  <c r="I49" i="16"/>
  <c r="I19" i="11"/>
  <c r="I27" i="16"/>
  <c r="M34" i="11"/>
  <c r="M49" i="16"/>
  <c r="N18" i="11"/>
  <c r="N27" i="16"/>
  <c r="O40" i="11"/>
  <c r="O41" i="11" s="1"/>
  <c r="O40" i="16"/>
  <c r="I23" i="11"/>
  <c r="I25" i="11"/>
  <c r="B64" i="17"/>
  <c r="B48" i="18" s="1"/>
  <c r="Q48" i="11"/>
  <c r="C63" i="17"/>
  <c r="C47" i="18" s="1"/>
  <c r="R47" i="11"/>
  <c r="AB63" i="17"/>
  <c r="AB47" i="18" s="1"/>
  <c r="AQ47" i="11"/>
  <c r="M46" i="11"/>
  <c r="Z60" i="11"/>
  <c r="T60" i="11"/>
  <c r="F72" i="11"/>
  <c r="F64" i="16"/>
  <c r="AA60" i="11"/>
  <c r="L56" i="18"/>
  <c r="G32" i="11"/>
  <c r="G49" i="16"/>
  <c r="D34" i="11"/>
  <c r="D49" i="16"/>
  <c r="O21" i="11"/>
  <c r="O27" i="16"/>
  <c r="K21" i="11"/>
  <c r="K27" i="16"/>
  <c r="M18" i="11"/>
  <c r="M27" i="16"/>
  <c r="P36" i="11"/>
  <c r="N38" i="11"/>
  <c r="N41" i="11" s="1"/>
  <c r="N40" i="16"/>
  <c r="C25" i="11"/>
  <c r="C23" i="11"/>
  <c r="O46" i="11"/>
  <c r="I69" i="16"/>
  <c r="D12" i="17"/>
  <c r="D12" i="18" s="1"/>
  <c r="F35" i="17"/>
  <c r="F25" i="18" s="1"/>
  <c r="D65" i="51"/>
  <c r="H65" i="50"/>
  <c r="Q33" i="11"/>
  <c r="C7" i="51"/>
  <c r="B8" i="38"/>
  <c r="C7" i="50"/>
  <c r="C58" i="17"/>
  <c r="R42" i="11"/>
  <c r="J10" i="11"/>
  <c r="J14" i="16"/>
  <c r="B20" i="11"/>
  <c r="B27" i="16"/>
  <c r="K36" i="11"/>
  <c r="K49" i="16"/>
  <c r="H18" i="11"/>
  <c r="H27" i="16"/>
  <c r="J25" i="11"/>
  <c r="J23" i="11"/>
  <c r="G18" i="11"/>
  <c r="G27" i="16"/>
  <c r="AC60" i="11"/>
  <c r="N46" i="11"/>
  <c r="E40" i="16"/>
  <c r="H23" i="11"/>
  <c r="H25" i="11"/>
  <c r="AQ36" i="11"/>
  <c r="AL60" i="11"/>
  <c r="T40" i="11"/>
  <c r="T41" i="11" s="1"/>
  <c r="F66" i="50" s="1"/>
  <c r="T40" i="16"/>
  <c r="E30" i="38" s="1"/>
  <c r="F9" i="38"/>
  <c r="H76" i="17"/>
  <c r="H70" i="18" s="1"/>
  <c r="W70" i="11"/>
  <c r="X41" i="11"/>
  <c r="J66" i="50" s="1"/>
  <c r="M12" i="17"/>
  <c r="M12" i="18" s="1"/>
  <c r="AB12" i="11"/>
  <c r="S12" i="17"/>
  <c r="S12" i="18" s="1"/>
  <c r="AH12" i="11"/>
  <c r="AC64" i="17"/>
  <c r="AC48" i="18" s="1"/>
  <c r="AR48" i="11"/>
  <c r="AD76" i="17"/>
  <c r="AD70" i="18" s="1"/>
  <c r="AS70" i="11"/>
  <c r="AF64" i="17"/>
  <c r="AU48" i="11"/>
  <c r="Q47" i="11"/>
  <c r="U47" i="11"/>
  <c r="I76" i="17"/>
  <c r="I70" i="18" s="1"/>
  <c r="X70" i="11"/>
  <c r="V63" i="17"/>
  <c r="V47" i="18" s="1"/>
  <c r="AK47" i="11"/>
  <c r="Z63" i="17"/>
  <c r="Z47" i="18" s="1"/>
  <c r="AO47" i="11"/>
  <c r="J63" i="17"/>
  <c r="J47" i="18" s="1"/>
  <c r="Y47" i="11"/>
  <c r="L76" i="17"/>
  <c r="L70" i="18" s="1"/>
  <c r="AA70" i="11"/>
  <c r="N63" i="17"/>
  <c r="N47" i="18" s="1"/>
  <c r="AC47" i="11"/>
  <c r="O64" i="17"/>
  <c r="O48" i="18" s="1"/>
  <c r="AD48" i="11"/>
  <c r="P76" i="17"/>
  <c r="P70" i="18" s="1"/>
  <c r="AE70" i="11"/>
  <c r="Q64" i="17"/>
  <c r="Q48" i="18" s="1"/>
  <c r="AF48" i="11"/>
  <c r="T63" i="17"/>
  <c r="T47" i="18" s="1"/>
  <c r="AI47" i="11"/>
  <c r="U64" i="17"/>
  <c r="U48" i="18" s="1"/>
  <c r="AJ48" i="11"/>
  <c r="W64" i="17"/>
  <c r="W48" i="18" s="1"/>
  <c r="AL48" i="11"/>
  <c r="X76" i="17"/>
  <c r="X70" i="18" s="1"/>
  <c r="AM70" i="11"/>
  <c r="Y12" i="17"/>
  <c r="Y12" i="18" s="1"/>
  <c r="AN12" i="11"/>
  <c r="AA12" i="17"/>
  <c r="AA12" i="18" s="1"/>
  <c r="AP12" i="11"/>
  <c r="AE12" i="17"/>
  <c r="AE12" i="18" s="1"/>
  <c r="AT12" i="11"/>
  <c r="AS48" i="11"/>
  <c r="U39" i="15"/>
  <c r="AG20" i="14"/>
  <c r="AF20" i="14"/>
  <c r="AD20" i="14"/>
  <c r="Q46" i="14"/>
  <c r="Q66" i="14" s="1"/>
  <c r="AF8" i="14"/>
  <c r="AF19" i="14" s="1"/>
  <c r="AF40" i="14"/>
  <c r="AF60" i="14" s="1"/>
  <c r="AF32" i="14"/>
  <c r="AF52" i="14" s="1"/>
  <c r="AF46" i="14"/>
  <c r="AF66" i="14" s="1"/>
  <c r="AF47" i="14"/>
  <c r="AF67" i="14" s="1"/>
  <c r="AF33" i="14"/>
  <c r="AF53" i="14" s="1"/>
  <c r="AF36" i="14"/>
  <c r="AF56" i="14" s="1"/>
  <c r="AF37" i="14"/>
  <c r="AF57" i="14" s="1"/>
  <c r="AF38" i="14"/>
  <c r="AF58" i="14" s="1"/>
  <c r="AF34" i="14"/>
  <c r="AF54" i="14" s="1"/>
  <c r="AG100" i="14"/>
  <c r="AE100" i="14"/>
  <c r="AF100" i="14"/>
  <c r="AD100" i="14"/>
  <c r="AB100" i="14"/>
  <c r="AC100" i="14"/>
  <c r="Y100" i="14"/>
  <c r="W100" i="14"/>
  <c r="U100" i="14"/>
  <c r="Z100" i="14"/>
  <c r="X100" i="14"/>
  <c r="V100" i="14"/>
  <c r="Q100" i="14"/>
  <c r="O100" i="14"/>
  <c r="T100" i="14"/>
  <c r="R100" i="14"/>
  <c r="P100" i="14"/>
  <c r="AA100" i="14"/>
  <c r="S100" i="14"/>
  <c r="M100" i="14"/>
  <c r="J100" i="14"/>
  <c r="G100" i="14"/>
  <c r="K100" i="14"/>
  <c r="H100" i="14"/>
  <c r="L100" i="14"/>
  <c r="N100" i="14"/>
  <c r="I100" i="14"/>
  <c r="C100" i="14"/>
  <c r="B161" i="17" s="1"/>
  <c r="E100" i="14"/>
  <c r="F100" i="14"/>
  <c r="T102" i="14"/>
  <c r="AE101" i="14"/>
  <c r="AF101" i="14"/>
  <c r="AD101" i="14"/>
  <c r="AB101" i="14"/>
  <c r="AG101" i="14"/>
  <c r="AA101" i="14"/>
  <c r="V101" i="14"/>
  <c r="AC101" i="14"/>
  <c r="Y101" i="14"/>
  <c r="W101" i="14"/>
  <c r="S101" i="14"/>
  <c r="X101" i="14"/>
  <c r="Q101" i="14"/>
  <c r="O101" i="14"/>
  <c r="Z101" i="14"/>
  <c r="U101" i="14"/>
  <c r="T101" i="14"/>
  <c r="R101" i="14"/>
  <c r="I101" i="14"/>
  <c r="P101" i="14"/>
  <c r="N101" i="14"/>
  <c r="M101" i="14"/>
  <c r="J101" i="14"/>
  <c r="G101" i="14"/>
  <c r="K101" i="14"/>
  <c r="H101" i="14"/>
  <c r="C102" i="14"/>
  <c r="B164" i="17" s="1"/>
  <c r="AF102" i="14"/>
  <c r="AE102" i="14"/>
  <c r="AC102" i="14"/>
  <c r="AB102" i="14"/>
  <c r="AD102" i="14"/>
  <c r="Z102" i="14"/>
  <c r="X102" i="14"/>
  <c r="AA102" i="14"/>
  <c r="V102" i="14"/>
  <c r="Y102" i="14"/>
  <c r="W102" i="14"/>
  <c r="R102" i="14"/>
  <c r="P102" i="14"/>
  <c r="S102" i="14"/>
  <c r="N102" i="14"/>
  <c r="U102" i="14"/>
  <c r="Q102" i="14"/>
  <c r="O102" i="14"/>
  <c r="I102" i="14"/>
  <c r="M102" i="14"/>
  <c r="J102" i="14"/>
  <c r="G102" i="14"/>
  <c r="AS86" i="16"/>
  <c r="AU86" i="16"/>
  <c r="AT86" i="16"/>
  <c r="AR86" i="16"/>
  <c r="AP86" i="16"/>
  <c r="AQ86" i="16"/>
  <c r="AM86" i="16"/>
  <c r="AK86" i="16"/>
  <c r="AI86" i="16"/>
  <c r="AN86" i="16"/>
  <c r="AL86" i="16"/>
  <c r="AE86" i="16"/>
  <c r="AC86" i="16"/>
  <c r="AH86" i="16"/>
  <c r="AO86" i="16"/>
  <c r="AF86" i="16"/>
  <c r="AD86" i="16"/>
  <c r="AA86" i="16"/>
  <c r="X86" i="16"/>
  <c r="U86" i="16"/>
  <c r="AJ86" i="16"/>
  <c r="Y86" i="16"/>
  <c r="V86" i="16"/>
  <c r="Z86" i="16"/>
  <c r="D7" i="14"/>
  <c r="F7" i="14"/>
  <c r="H7" i="14"/>
  <c r="J7" i="14"/>
  <c r="L7" i="14"/>
  <c r="N7" i="14"/>
  <c r="P7" i="14"/>
  <c r="R7" i="14"/>
  <c r="T7" i="14"/>
  <c r="V7" i="14"/>
  <c r="X7" i="14"/>
  <c r="Z7" i="14"/>
  <c r="AB7" i="14"/>
  <c r="AD7" i="14"/>
  <c r="D101" i="14"/>
  <c r="F102" i="14"/>
  <c r="AG86" i="16"/>
  <c r="AG102" i="14"/>
  <c r="AT18" i="8"/>
  <c r="AU26" i="16"/>
  <c r="AU18" i="8"/>
  <c r="C24" i="1"/>
  <c r="G96" i="11" s="1"/>
  <c r="O48" i="16"/>
  <c r="P48" i="16"/>
  <c r="Q48" i="16"/>
  <c r="N48" i="16"/>
  <c r="N49" i="16" s="1"/>
  <c r="H8" i="38" l="1"/>
  <c r="K44" i="38"/>
  <c r="L40" i="38"/>
  <c r="W18" i="11"/>
  <c r="I61" i="50" s="1"/>
  <c r="Z21" i="11"/>
  <c r="L62" i="50" s="1"/>
  <c r="V40" i="16"/>
  <c r="G30" i="38" s="1"/>
  <c r="O28" i="38"/>
  <c r="AD24" i="11"/>
  <c r="L17" i="38"/>
  <c r="N37" i="15"/>
  <c r="N37" i="36" s="1"/>
  <c r="O37" i="50" s="1"/>
  <c r="O54" i="50" s="1"/>
  <c r="K73" i="18"/>
  <c r="M9" i="38"/>
  <c r="I40" i="38"/>
  <c r="I27" i="38"/>
  <c r="H39" i="38"/>
  <c r="P42" i="38"/>
  <c r="G39" i="38"/>
  <c r="K40" i="38"/>
  <c r="H37" i="15"/>
  <c r="Y40" i="16"/>
  <c r="J30" i="38" s="1"/>
  <c r="M11" i="50"/>
  <c r="K58" i="17"/>
  <c r="K42" i="18" s="1"/>
  <c r="N42" i="38"/>
  <c r="J25" i="38"/>
  <c r="Y45" i="11"/>
  <c r="K29" i="38"/>
  <c r="I8" i="38"/>
  <c r="Z73" i="11"/>
  <c r="U10" i="38"/>
  <c r="H9" i="38"/>
  <c r="X49" i="16"/>
  <c r="N73" i="18"/>
  <c r="G26" i="38"/>
  <c r="M17" i="15"/>
  <c r="AC73" i="11"/>
  <c r="L44" i="38"/>
  <c r="O58" i="17"/>
  <c r="O42" i="18" s="1"/>
  <c r="Q25" i="15"/>
  <c r="Q25" i="36" s="1"/>
  <c r="R34" i="50" s="1"/>
  <c r="R51" i="50" s="1"/>
  <c r="P9" i="38"/>
  <c r="I45" i="38"/>
  <c r="H27" i="38"/>
  <c r="X40" i="16"/>
  <c r="I30" i="38" s="1"/>
  <c r="G28" i="38"/>
  <c r="R61" i="50"/>
  <c r="Q16" i="38"/>
  <c r="AB73" i="11"/>
  <c r="O17" i="38"/>
  <c r="L27" i="38"/>
  <c r="M16" i="50"/>
  <c r="G37" i="15"/>
  <c r="G37" i="36" s="1"/>
  <c r="J17" i="38"/>
  <c r="G42" i="38"/>
  <c r="F10" i="51"/>
  <c r="G31" i="38"/>
  <c r="L45" i="38"/>
  <c r="Z24" i="11"/>
  <c r="K16" i="38"/>
  <c r="W79" i="17"/>
  <c r="V34" i="17"/>
  <c r="V24" i="18" s="1"/>
  <c r="I7" i="50"/>
  <c r="G9" i="38"/>
  <c r="AA40" i="16"/>
  <c r="L30" i="38" s="1"/>
  <c r="AD45" i="11"/>
  <c r="AD46" i="11" s="1"/>
  <c r="N8" i="38"/>
  <c r="K30" i="38"/>
  <c r="G29" i="38"/>
  <c r="G34" i="38"/>
  <c r="G35" i="38" s="1"/>
  <c r="AA44" i="11"/>
  <c r="S34" i="38"/>
  <c r="AC41" i="11"/>
  <c r="O66" i="50" s="1"/>
  <c r="N58" i="17"/>
  <c r="N42" i="18" s="1"/>
  <c r="N17" i="15"/>
  <c r="N17" i="36" s="1"/>
  <c r="K8" i="38"/>
  <c r="J37" i="15"/>
  <c r="J37" i="36" s="1"/>
  <c r="K37" i="50" s="1"/>
  <c r="K54" i="50" s="1"/>
  <c r="R37" i="15"/>
  <c r="R37" i="36" s="1"/>
  <c r="S37" i="50" s="1"/>
  <c r="G25" i="15"/>
  <c r="G25" i="36" s="1"/>
  <c r="D34" i="51" s="1"/>
  <c r="G18" i="38"/>
  <c r="H20" i="50"/>
  <c r="J45" i="38"/>
  <c r="W24" i="11"/>
  <c r="I42" i="38"/>
  <c r="W40" i="16"/>
  <c r="H30" i="38" s="1"/>
  <c r="J42" i="38"/>
  <c r="J16" i="38"/>
  <c r="M62" i="50"/>
  <c r="AG45" i="11"/>
  <c r="M65" i="50"/>
  <c r="O16" i="38"/>
  <c r="AA41" i="11"/>
  <c r="X44" i="11"/>
  <c r="K18" i="38"/>
  <c r="X24" i="11"/>
  <c r="AB14" i="50"/>
  <c r="Y49" i="16"/>
  <c r="H25" i="15"/>
  <c r="H25" i="36" s="1"/>
  <c r="I34" i="50" s="1"/>
  <c r="I51" i="50" s="1"/>
  <c r="Q39" i="15"/>
  <c r="Q39" i="36" s="1"/>
  <c r="E17" i="14"/>
  <c r="J39" i="15"/>
  <c r="J39" i="36" s="1"/>
  <c r="J17" i="15"/>
  <c r="J17" i="36" s="1"/>
  <c r="B25" i="15"/>
  <c r="B39" i="15"/>
  <c r="B39" i="36" s="1"/>
  <c r="D25" i="15"/>
  <c r="D25" i="36" s="1"/>
  <c r="E34" i="50" s="1"/>
  <c r="E51" i="50" s="1"/>
  <c r="Q17" i="15"/>
  <c r="Q17" i="36" s="1"/>
  <c r="Q40" i="38"/>
  <c r="R25" i="15"/>
  <c r="R25" i="36" s="1"/>
  <c r="S34" i="50" s="1"/>
  <c r="S51" i="50" s="1"/>
  <c r="R34" i="38"/>
  <c r="S39" i="15"/>
  <c r="S39" i="36" s="1"/>
  <c r="R58" i="50"/>
  <c r="Q27" i="38"/>
  <c r="U39" i="38"/>
  <c r="T58" i="17"/>
  <c r="T42" i="18" s="1"/>
  <c r="AH45" i="11"/>
  <c r="R65" i="50"/>
  <c r="R29" i="38"/>
  <c r="X9" i="38"/>
  <c r="T29" i="38"/>
  <c r="S58" i="17"/>
  <c r="S42" i="18" s="1"/>
  <c r="T39" i="15"/>
  <c r="T39" i="36" s="1"/>
  <c r="S29" i="38"/>
  <c r="AH24" i="11"/>
  <c r="G58" i="51"/>
  <c r="T27" i="38"/>
  <c r="AI24" i="11"/>
  <c r="Y73" i="18"/>
  <c r="AN73" i="11"/>
  <c r="B48" i="2"/>
  <c r="B61" i="2" s="1"/>
  <c r="J164" i="17" s="1"/>
  <c r="U25" i="38"/>
  <c r="W31" i="38"/>
  <c r="AN24" i="11"/>
  <c r="AG57" i="18"/>
  <c r="AG56" i="18"/>
  <c r="AF70" i="18"/>
  <c r="AG70" i="18" s="1"/>
  <c r="AG76" i="17"/>
  <c r="AG54" i="18"/>
  <c r="AF48" i="18"/>
  <c r="AG64" i="17"/>
  <c r="AF12" i="18"/>
  <c r="AG12" i="17"/>
  <c r="AF62" i="10"/>
  <c r="AG79" i="17"/>
  <c r="AG58" i="18"/>
  <c r="AG59" i="18"/>
  <c r="AG53" i="18"/>
  <c r="AF47" i="18"/>
  <c r="AG63" i="17"/>
  <c r="AG55" i="18"/>
  <c r="F17" i="15"/>
  <c r="F17" i="36" s="1"/>
  <c r="U17" i="15"/>
  <c r="U17" i="36" s="1"/>
  <c r="N39" i="15"/>
  <c r="N39" i="36" s="1"/>
  <c r="I25" i="15"/>
  <c r="I25" i="36" s="1"/>
  <c r="J34" i="50" s="1"/>
  <c r="J51" i="50" s="1"/>
  <c r="L39" i="15"/>
  <c r="L39" i="36" s="1"/>
  <c r="T25" i="15"/>
  <c r="T25" i="36" s="1"/>
  <c r="U34" i="50" s="1"/>
  <c r="U51" i="50" s="1"/>
  <c r="F39" i="15"/>
  <c r="F39" i="36" s="1"/>
  <c r="I17" i="15"/>
  <c r="I17" i="36" s="1"/>
  <c r="L17" i="15"/>
  <c r="L17" i="36" s="1"/>
  <c r="AM91" i="11"/>
  <c r="Y119" i="17"/>
  <c r="O17" i="15"/>
  <c r="O17" i="36" s="1"/>
  <c r="AE39" i="15"/>
  <c r="AE39" i="36" s="1"/>
  <c r="AC45" i="14"/>
  <c r="AC65" i="14" s="1"/>
  <c r="AC41" i="14"/>
  <c r="AC61" i="14" s="1"/>
  <c r="Q52" i="8"/>
  <c r="E164" i="17"/>
  <c r="F164" i="17"/>
  <c r="C164" i="17"/>
  <c r="M37" i="15"/>
  <c r="M37" i="36" s="1"/>
  <c r="N37" i="50" s="1"/>
  <c r="N54" i="50" s="1"/>
  <c r="K119" i="17"/>
  <c r="G164" i="17"/>
  <c r="D164" i="17"/>
  <c r="O42" i="38"/>
  <c r="M39" i="15"/>
  <c r="M39" i="36" s="1"/>
  <c r="E39" i="15"/>
  <c r="E39" i="36" s="1"/>
  <c r="Q37" i="15"/>
  <c r="Q37" i="36" s="1"/>
  <c r="F37" i="51" s="1"/>
  <c r="H17" i="15"/>
  <c r="H17" i="36" s="1"/>
  <c r="H39" i="15"/>
  <c r="H39" i="36" s="1"/>
  <c r="K39" i="15"/>
  <c r="K39" i="36" s="1"/>
  <c r="AQ24" i="11"/>
  <c r="X39" i="15"/>
  <c r="X39" i="36" s="1"/>
  <c r="V39" i="15"/>
  <c r="V39" i="36" s="1"/>
  <c r="X17" i="15"/>
  <c r="X17" i="36" s="1"/>
  <c r="U39" i="14"/>
  <c r="U59" i="14" s="1"/>
  <c r="C39" i="15"/>
  <c r="C39" i="36" s="1"/>
  <c r="AB40" i="16"/>
  <c r="M30" i="38" s="1"/>
  <c r="AC34" i="38"/>
  <c r="W11" i="38"/>
  <c r="Z119" i="17"/>
  <c r="E25" i="15"/>
  <c r="E25" i="36" s="1"/>
  <c r="F34" i="50" s="1"/>
  <c r="F51" i="50" s="1"/>
  <c r="U79" i="17"/>
  <c r="U62" i="10" s="1"/>
  <c r="N34" i="17"/>
  <c r="N24" i="18" s="1"/>
  <c r="AN45" i="11"/>
  <c r="C18" i="50"/>
  <c r="X25" i="15"/>
  <c r="X25" i="36" s="1"/>
  <c r="Y34" i="50" s="1"/>
  <c r="V17" i="15"/>
  <c r="V17" i="36" s="1"/>
  <c r="S62" i="15"/>
  <c r="K25" i="15"/>
  <c r="K25" i="36" s="1"/>
  <c r="L34" i="50" s="1"/>
  <c r="L51" i="50" s="1"/>
  <c r="C25" i="15"/>
  <c r="C25" i="36" s="1"/>
  <c r="D34" i="50" s="1"/>
  <c r="D51" i="50" s="1"/>
  <c r="T28" i="38"/>
  <c r="Z40" i="38"/>
  <c r="S25" i="15"/>
  <c r="S25" i="36" s="1"/>
  <c r="T34" i="50" s="1"/>
  <c r="T51" i="50" s="1"/>
  <c r="AQ91" i="11"/>
  <c r="O79" i="17"/>
  <c r="O62" i="10" s="1"/>
  <c r="Q34" i="38"/>
  <c r="Z39" i="15"/>
  <c r="Z39" i="36" s="1"/>
  <c r="W39" i="15"/>
  <c r="W39" i="36" s="1"/>
  <c r="V119" i="17"/>
  <c r="AH93" i="11"/>
  <c r="Q33" i="14"/>
  <c r="Q53" i="14" s="1"/>
  <c r="Q32" i="14"/>
  <c r="Q52" i="14" s="1"/>
  <c r="Q8" i="14"/>
  <c r="Q19" i="14" s="1"/>
  <c r="P50" i="15" s="1"/>
  <c r="I33" i="14"/>
  <c r="I53" i="14" s="1"/>
  <c r="AT91" i="11"/>
  <c r="W25" i="15"/>
  <c r="W25" i="36" s="1"/>
  <c r="X34" i="50" s="1"/>
  <c r="S17" i="15"/>
  <c r="S17" i="36" s="1"/>
  <c r="Q47" i="14"/>
  <c r="Q67" i="14" s="1"/>
  <c r="I8" i="14"/>
  <c r="I19" i="14" s="1"/>
  <c r="H9" i="15" s="1"/>
  <c r="AR91" i="11"/>
  <c r="G119" i="17"/>
  <c r="W17" i="15"/>
  <c r="W17" i="36" s="1"/>
  <c r="Y32" i="14"/>
  <c r="Y52" i="14" s="1"/>
  <c r="Y39" i="14"/>
  <c r="Y59" i="14" s="1"/>
  <c r="AT73" i="11"/>
  <c r="AG39" i="14"/>
  <c r="AG59" i="14" s="1"/>
  <c r="Y8" i="14"/>
  <c r="Y18" i="14" s="1"/>
  <c r="X38" i="15" s="1"/>
  <c r="AC33" i="14"/>
  <c r="AC53" i="14" s="1"/>
  <c r="AC47" i="14"/>
  <c r="AC67" i="14" s="1"/>
  <c r="AF25" i="15"/>
  <c r="AF25" i="36" s="1"/>
  <c r="Q73" i="1" s="1"/>
  <c r="E39" i="14"/>
  <c r="E59" i="14" s="1"/>
  <c r="AC43" i="14"/>
  <c r="AC63" i="14" s="1"/>
  <c r="AC8" i="14"/>
  <c r="AC19" i="14" s="1"/>
  <c r="AB16" i="15" s="1"/>
  <c r="AC32" i="14"/>
  <c r="AC52" i="14" s="1"/>
  <c r="AC40" i="14"/>
  <c r="AC60" i="14" s="1"/>
  <c r="AC42" i="14"/>
  <c r="AC62" i="14" s="1"/>
  <c r="AC46" i="14"/>
  <c r="AC66" i="14" s="1"/>
  <c r="R14" i="50"/>
  <c r="P58" i="17"/>
  <c r="P42" i="18" s="1"/>
  <c r="E40" i="14"/>
  <c r="E60" i="14" s="1"/>
  <c r="W37" i="15"/>
  <c r="W37" i="36" s="1"/>
  <c r="X37" i="50" s="1"/>
  <c r="X54" i="50" s="1"/>
  <c r="Z37" i="15"/>
  <c r="Z37" i="36" s="1"/>
  <c r="AA37" i="50" s="1"/>
  <c r="AA54" i="50" s="1"/>
  <c r="G20" i="51"/>
  <c r="R62" i="50"/>
  <c r="AB61" i="50"/>
  <c r="V42" i="38"/>
  <c r="U47" i="14"/>
  <c r="U67" i="14" s="1"/>
  <c r="AU93" i="11"/>
  <c r="U31" i="14"/>
  <c r="U51" i="14" s="1"/>
  <c r="N41" i="1"/>
  <c r="O41" i="1" s="1"/>
  <c r="AJ91" i="11"/>
  <c r="AI91" i="11"/>
  <c r="AU91" i="11"/>
  <c r="G47" i="14"/>
  <c r="G67" i="14" s="1"/>
  <c r="AE18" i="38"/>
  <c r="U33" i="14"/>
  <c r="U53" i="14" s="1"/>
  <c r="AK91" i="11"/>
  <c r="AO91" i="11"/>
  <c r="AS91" i="11"/>
  <c r="S93" i="11"/>
  <c r="X93" i="11"/>
  <c r="G8" i="14"/>
  <c r="G22" i="14" s="1"/>
  <c r="F35" i="15" s="1"/>
  <c r="F35" i="36" s="1"/>
  <c r="N16" i="38"/>
  <c r="AA17" i="15"/>
  <c r="AA17" i="36" s="1"/>
  <c r="AI93" i="11"/>
  <c r="U40" i="14"/>
  <c r="U60" i="14" s="1"/>
  <c r="AN91" i="11"/>
  <c r="AL91" i="11"/>
  <c r="AP91" i="11"/>
  <c r="AH91" i="11"/>
  <c r="P60" i="17"/>
  <c r="P44" i="18" s="1"/>
  <c r="M29" i="38"/>
  <c r="AA39" i="15"/>
  <c r="AA39" i="36" s="1"/>
  <c r="AP93" i="11"/>
  <c r="AT93" i="11"/>
  <c r="AR93" i="11"/>
  <c r="M40" i="14"/>
  <c r="M60" i="14" s="1"/>
  <c r="AG40" i="14"/>
  <c r="AG60" i="14" s="1"/>
  <c r="Y45" i="14"/>
  <c r="Y65" i="14" s="1"/>
  <c r="Y33" i="14"/>
  <c r="Y53" i="14" s="1"/>
  <c r="AO93" i="11"/>
  <c r="AJ93" i="11"/>
  <c r="F92" i="17"/>
  <c r="Q58" i="17"/>
  <c r="Q42" i="18" s="1"/>
  <c r="AQ93" i="11"/>
  <c r="AS93" i="11"/>
  <c r="AL93" i="11"/>
  <c r="M46" i="14"/>
  <c r="M66" i="14" s="1"/>
  <c r="AG42" i="14"/>
  <c r="AG62" i="14" s="1"/>
  <c r="AG41" i="14"/>
  <c r="AG61" i="14" s="1"/>
  <c r="Y31" i="14"/>
  <c r="Y51" i="14" s="1"/>
  <c r="Y46" i="14"/>
  <c r="Y66" i="14" s="1"/>
  <c r="AF93" i="11"/>
  <c r="AK93" i="11"/>
  <c r="W31" i="14"/>
  <c r="W51" i="14" s="1"/>
  <c r="X25" i="38"/>
  <c r="J119" i="17"/>
  <c r="AM93" i="11"/>
  <c r="AN93" i="11"/>
  <c r="AG93" i="11"/>
  <c r="AG37" i="14"/>
  <c r="AG57" i="14" s="1"/>
  <c r="AF32" i="17" s="1"/>
  <c r="AF18" i="35" s="1"/>
  <c r="AG47" i="14"/>
  <c r="AG67" i="14" s="1"/>
  <c r="Y40" i="14"/>
  <c r="Y60" i="14" s="1"/>
  <c r="Y47" i="14"/>
  <c r="Y67" i="14" s="1"/>
  <c r="S41" i="1"/>
  <c r="T41" i="1" s="1"/>
  <c r="M37" i="14"/>
  <c r="M57" i="14" s="1"/>
  <c r="P73" i="1"/>
  <c r="AG14" i="50"/>
  <c r="Y40" i="38"/>
  <c r="Z29" i="38"/>
  <c r="AA58" i="17"/>
  <c r="AA42" i="18" s="1"/>
  <c r="I119" i="17"/>
  <c r="U32" i="14"/>
  <c r="U52" i="14" s="1"/>
  <c r="U8" i="14"/>
  <c r="U19" i="14" s="1"/>
  <c r="T9" i="15" s="1"/>
  <c r="U45" i="14"/>
  <c r="U65" i="14" s="1"/>
  <c r="M35" i="14"/>
  <c r="M55" i="14" s="1"/>
  <c r="L73" i="17" s="1"/>
  <c r="L56" i="10" s="1"/>
  <c r="AD93" i="11"/>
  <c r="AB93" i="11"/>
  <c r="X90" i="11"/>
  <c r="AE90" i="11"/>
  <c r="Z93" i="11"/>
  <c r="AB90" i="11"/>
  <c r="AO90" i="11"/>
  <c r="AG90" i="11"/>
  <c r="AD90" i="11"/>
  <c r="U93" i="11"/>
  <c r="AE93" i="11"/>
  <c r="AC90" i="11"/>
  <c r="Z90" i="11"/>
  <c r="Q93" i="11"/>
  <c r="AA93" i="11"/>
  <c r="Y93" i="11"/>
  <c r="AC93" i="11"/>
  <c r="V93" i="11"/>
  <c r="R93" i="11"/>
  <c r="T93" i="11"/>
  <c r="W93" i="11"/>
  <c r="AH90" i="11"/>
  <c r="U90" i="11"/>
  <c r="N45" i="38"/>
  <c r="M39" i="38"/>
  <c r="AF73" i="11"/>
  <c r="AD40" i="38"/>
  <c r="E136" i="17"/>
  <c r="M61" i="17"/>
  <c r="M45" i="18" s="1"/>
  <c r="AN44" i="11"/>
  <c r="N61" i="17"/>
  <c r="N45" i="18" s="1"/>
  <c r="Z31" i="38"/>
  <c r="AK45" i="11"/>
  <c r="AK46" i="11" s="1"/>
  <c r="E53" i="15"/>
  <c r="AF44" i="11"/>
  <c r="O39" i="38"/>
  <c r="Q8" i="38"/>
  <c r="Q28" i="38"/>
  <c r="N17" i="38"/>
  <c r="U27" i="38"/>
  <c r="N44" i="38"/>
  <c r="O29" i="38"/>
  <c r="AP24" i="11"/>
  <c r="M17" i="38"/>
  <c r="M8" i="38"/>
  <c r="R7" i="50"/>
  <c r="AE41" i="11"/>
  <c r="Q66" i="50" s="1"/>
  <c r="AI41" i="11"/>
  <c r="U66" i="50" s="1"/>
  <c r="AG41" i="11"/>
  <c r="S66" i="50" s="1"/>
  <c r="R89" i="16"/>
  <c r="I39" i="14"/>
  <c r="I59" i="14" s="1"/>
  <c r="M38" i="14"/>
  <c r="M58" i="14" s="1"/>
  <c r="Q51" i="8"/>
  <c r="R51" i="8"/>
  <c r="R53" i="8"/>
  <c r="S91" i="16"/>
  <c r="T91" i="16" s="1"/>
  <c r="T54" i="8" s="1"/>
  <c r="W32" i="14"/>
  <c r="W52" i="14" s="1"/>
  <c r="M36" i="14"/>
  <c r="M56" i="14" s="1"/>
  <c r="AE39" i="14"/>
  <c r="AE59" i="14" s="1"/>
  <c r="M33" i="14"/>
  <c r="M53" i="14" s="1"/>
  <c r="M47" i="14"/>
  <c r="M67" i="14" s="1"/>
  <c r="AG36" i="14"/>
  <c r="AG56" i="14" s="1"/>
  <c r="AG46" i="14"/>
  <c r="AG66" i="14" s="1"/>
  <c r="E31" i="14"/>
  <c r="E51" i="14" s="1"/>
  <c r="E41" i="14"/>
  <c r="E61" i="14" s="1"/>
  <c r="E47" i="14"/>
  <c r="E67" i="14" s="1"/>
  <c r="I40" i="14"/>
  <c r="I60" i="14" s="1"/>
  <c r="I46" i="14"/>
  <c r="I66" i="14" s="1"/>
  <c r="W39" i="14"/>
  <c r="W59" i="14" s="1"/>
  <c r="W40" i="14"/>
  <c r="W60" i="14" s="1"/>
  <c r="W46" i="14"/>
  <c r="W66" i="14" s="1"/>
  <c r="M43" i="14"/>
  <c r="M63" i="14" s="1"/>
  <c r="L51" i="17" s="1"/>
  <c r="L35" i="18" s="1"/>
  <c r="M31" i="14"/>
  <c r="M51" i="14" s="1"/>
  <c r="M42" i="14"/>
  <c r="M62" i="14" s="1"/>
  <c r="Z123" i="14"/>
  <c r="E46" i="14"/>
  <c r="E66" i="14" s="1"/>
  <c r="I31" i="14"/>
  <c r="I51" i="14" s="1"/>
  <c r="M45" i="14"/>
  <c r="M65" i="14" s="1"/>
  <c r="M32" i="14"/>
  <c r="M52" i="14" s="1"/>
  <c r="M8" i="14"/>
  <c r="M17" i="14" s="1"/>
  <c r="L43" i="10" s="1"/>
  <c r="AG45" i="14"/>
  <c r="AG65" i="14" s="1"/>
  <c r="AG33" i="14"/>
  <c r="AG53" i="14" s="1"/>
  <c r="E33" i="14"/>
  <c r="E53" i="14" s="1"/>
  <c r="I41" i="14"/>
  <c r="I61" i="14" s="1"/>
  <c r="W33" i="14"/>
  <c r="W53" i="14" s="1"/>
  <c r="W47" i="14"/>
  <c r="W67" i="14" s="1"/>
  <c r="M34" i="14"/>
  <c r="M54" i="14" s="1"/>
  <c r="L75" i="17" s="1"/>
  <c r="M39" i="14"/>
  <c r="M59" i="14" s="1"/>
  <c r="S90" i="16"/>
  <c r="S53" i="8"/>
  <c r="S89" i="16"/>
  <c r="S51" i="8" s="1"/>
  <c r="AA124" i="14"/>
  <c r="AB124" i="14" s="1"/>
  <c r="R92" i="16"/>
  <c r="AD60" i="18"/>
  <c r="AD102" i="18" s="1"/>
  <c r="AF90" i="11"/>
  <c r="AQ90" i="11"/>
  <c r="AK90" i="11"/>
  <c r="V90" i="11"/>
  <c r="AN90" i="11"/>
  <c r="AT90" i="11"/>
  <c r="G103" i="17"/>
  <c r="F104" i="17"/>
  <c r="F109" i="17" s="1"/>
  <c r="AL90" i="11"/>
  <c r="S90" i="11"/>
  <c r="AS90" i="11"/>
  <c r="R90" i="11"/>
  <c r="T90" i="11"/>
  <c r="AU90" i="11"/>
  <c r="AI90" i="11"/>
  <c r="AM90" i="11"/>
  <c r="W90" i="11"/>
  <c r="AR90" i="11"/>
  <c r="AJ90" i="11"/>
  <c r="AP90" i="11"/>
  <c r="AA90" i="11"/>
  <c r="I41" i="1"/>
  <c r="J41" i="1" s="1"/>
  <c r="M42" i="38"/>
  <c r="W10" i="50"/>
  <c r="S28" i="38"/>
  <c r="P44" i="38"/>
  <c r="AP44" i="11"/>
  <c r="AH73" i="11"/>
  <c r="W43" i="38"/>
  <c r="AE40" i="16"/>
  <c r="P30" i="38" s="1"/>
  <c r="M40" i="38"/>
  <c r="AC40" i="16"/>
  <c r="N30" i="38" s="1"/>
  <c r="AB24" i="11"/>
  <c r="N26" i="38"/>
  <c r="AA40" i="38"/>
  <c r="H43" i="38"/>
  <c r="S27" i="38"/>
  <c r="P8" i="38"/>
  <c r="AB41" i="11"/>
  <c r="N66" i="50" s="1"/>
  <c r="O45" i="38"/>
  <c r="AF42" i="11"/>
  <c r="N29" i="38"/>
  <c r="AF89" i="17"/>
  <c r="AF90" i="17" s="1"/>
  <c r="O31" i="38"/>
  <c r="N40" i="38"/>
  <c r="M25" i="15"/>
  <c r="M25" i="36" s="1"/>
  <c r="N34" i="50" s="1"/>
  <c r="N51" i="50" s="1"/>
  <c r="AB61" i="17"/>
  <c r="AB45" i="18" s="1"/>
  <c r="F20" i="51"/>
  <c r="N25" i="38"/>
  <c r="O8" i="38"/>
  <c r="P25" i="38"/>
  <c r="R16" i="50"/>
  <c r="N28" i="38"/>
  <c r="C132" i="17"/>
  <c r="M72" i="1"/>
  <c r="Y25" i="15"/>
  <c r="Y25" i="36" s="1"/>
  <c r="Z34" i="50" s="1"/>
  <c r="Z51" i="50" s="1"/>
  <c r="R17" i="38"/>
  <c r="O17" i="50"/>
  <c r="U61" i="17"/>
  <c r="U45" i="18" s="1"/>
  <c r="M28" i="38"/>
  <c r="M76" i="1"/>
  <c r="M16" i="38"/>
  <c r="AD41" i="11"/>
  <c r="P66" i="50" s="1"/>
  <c r="O44" i="38"/>
  <c r="M27" i="38"/>
  <c r="P39" i="38"/>
  <c r="AI44" i="11"/>
  <c r="AI46" i="11" s="1"/>
  <c r="AG44" i="11"/>
  <c r="AG46" i="11" s="1"/>
  <c r="AE73" i="11"/>
  <c r="X37" i="15"/>
  <c r="X37" i="36" s="1"/>
  <c r="Y37" i="50" s="1"/>
  <c r="Y54" i="50" s="1"/>
  <c r="V37" i="15"/>
  <c r="V37" i="36" s="1"/>
  <c r="G37" i="51" s="1"/>
  <c r="M58" i="17"/>
  <c r="M42" i="18" s="1"/>
  <c r="AC17" i="15"/>
  <c r="AC17" i="36" s="1"/>
  <c r="N25" i="15"/>
  <c r="N25" i="36" s="1"/>
  <c r="O34" i="50" s="1"/>
  <c r="O51" i="50" s="1"/>
  <c r="O39" i="15"/>
  <c r="O39" i="36" s="1"/>
  <c r="X58" i="17"/>
  <c r="X42" i="18" s="1"/>
  <c r="T40" i="38"/>
  <c r="O18" i="38"/>
  <c r="AB44" i="11"/>
  <c r="AB46" i="11" s="1"/>
  <c r="N27" i="38"/>
  <c r="U42" i="38"/>
  <c r="I65" i="15"/>
  <c r="O25" i="38"/>
  <c r="N18" i="38"/>
  <c r="N31" i="38"/>
  <c r="R69" i="50"/>
  <c r="O34" i="38"/>
  <c r="AV32" i="11"/>
  <c r="AD40" i="16"/>
  <c r="O30" i="38" s="1"/>
  <c r="O26" i="38"/>
  <c r="N65" i="15"/>
  <c r="AH44" i="11"/>
  <c r="AH41" i="11"/>
  <c r="T66" i="50" s="1"/>
  <c r="R18" i="38"/>
  <c r="R44" i="38"/>
  <c r="P43" i="38"/>
  <c r="R40" i="38"/>
  <c r="AE61" i="17"/>
  <c r="AE45" i="18" s="1"/>
  <c r="M34" i="38"/>
  <c r="J34" i="38"/>
  <c r="P45" i="38"/>
  <c r="R27" i="38"/>
  <c r="R11" i="50"/>
  <c r="B25" i="38"/>
  <c r="AF45" i="11"/>
  <c r="AG17" i="50"/>
  <c r="AD60" i="17"/>
  <c r="AD44" i="18" s="1"/>
  <c r="F9" i="51"/>
  <c r="N58" i="15"/>
  <c r="G64" i="15"/>
  <c r="Q17" i="38"/>
  <c r="R16" i="38"/>
  <c r="AB62" i="15"/>
  <c r="AC45" i="38"/>
  <c r="I58" i="15"/>
  <c r="AD39" i="15"/>
  <c r="AD39" i="36" s="1"/>
  <c r="P25" i="15"/>
  <c r="P25" i="36" s="1"/>
  <c r="Q34" i="50" s="1"/>
  <c r="Q51" i="50" s="1"/>
  <c r="K61" i="15"/>
  <c r="R39" i="38"/>
  <c r="Q11" i="38"/>
  <c r="Z9" i="38"/>
  <c r="AA9" i="38"/>
  <c r="AE25" i="15"/>
  <c r="AE25" i="36" s="1"/>
  <c r="AF34" i="50" s="1"/>
  <c r="AF51" i="50" s="1"/>
  <c r="S16" i="38"/>
  <c r="P28" i="38"/>
  <c r="X18" i="38"/>
  <c r="T16" i="38"/>
  <c r="T31" i="38"/>
  <c r="S31" i="38"/>
  <c r="R31" i="38"/>
  <c r="Q92" i="17"/>
  <c r="H58" i="51"/>
  <c r="I70" i="51"/>
  <c r="D55" i="15"/>
  <c r="J55" i="15"/>
  <c r="H130" i="17"/>
  <c r="AB25" i="15"/>
  <c r="AB25" i="36" s="1"/>
  <c r="AC34" i="50" s="1"/>
  <c r="P41" i="38"/>
  <c r="AA39" i="38"/>
  <c r="S17" i="38"/>
  <c r="J62" i="15"/>
  <c r="M62" i="15"/>
  <c r="D20" i="38"/>
  <c r="B26" i="38"/>
  <c r="R92" i="17"/>
  <c r="W25" i="38"/>
  <c r="J59" i="15"/>
  <c r="H138" i="17"/>
  <c r="S52" i="8"/>
  <c r="AV21" i="11"/>
  <c r="J142" i="17"/>
  <c r="J184" i="17" s="1"/>
  <c r="J87" i="15" s="1"/>
  <c r="G138" i="17"/>
  <c r="J74" i="1"/>
  <c r="AF24" i="11"/>
  <c r="Y9" i="38"/>
  <c r="D140" i="17"/>
  <c r="D182" i="17" s="1"/>
  <c r="D85" i="15" s="1"/>
  <c r="F58" i="15"/>
  <c r="D62" i="15"/>
  <c r="J53" i="15"/>
  <c r="L130" i="17"/>
  <c r="R56" i="15"/>
  <c r="H137" i="17"/>
  <c r="H179" i="17" s="1"/>
  <c r="H82" i="15" s="1"/>
  <c r="G16" i="51"/>
  <c r="AF29" i="38"/>
  <c r="J18" i="50"/>
  <c r="F34" i="38"/>
  <c r="P26" i="38"/>
  <c r="S40" i="38"/>
  <c r="G130" i="17"/>
  <c r="AC27" i="38"/>
  <c r="AD16" i="38"/>
  <c r="D19" i="51"/>
  <c r="H59" i="50"/>
  <c r="T17" i="38"/>
  <c r="F46" i="38"/>
  <c r="AC44" i="38"/>
  <c r="AE31" i="38"/>
  <c r="AE25" i="38"/>
  <c r="R10" i="38"/>
  <c r="C11" i="38"/>
  <c r="W49" i="16"/>
  <c r="P92" i="17"/>
  <c r="V45" i="38"/>
  <c r="S54" i="15"/>
  <c r="V62" i="15"/>
  <c r="I56" i="15"/>
  <c r="H69" i="50"/>
  <c r="P17" i="15"/>
  <c r="P17" i="36" s="1"/>
  <c r="C131" i="17"/>
  <c r="W58" i="17"/>
  <c r="W42" i="18" s="1"/>
  <c r="C34" i="38"/>
  <c r="P139" i="17"/>
  <c r="E142" i="17"/>
  <c r="E184" i="17" s="1"/>
  <c r="E87" i="15" s="1"/>
  <c r="V60" i="17"/>
  <c r="V44" i="18" s="1"/>
  <c r="AD29" i="38"/>
  <c r="U138" i="17"/>
  <c r="E56" i="15"/>
  <c r="G65" i="15"/>
  <c r="AB69" i="50"/>
  <c r="AB46" i="38"/>
  <c r="C92" i="17"/>
  <c r="D58" i="15"/>
  <c r="R39" i="15"/>
  <c r="R39" i="36" s="1"/>
  <c r="W17" i="50"/>
  <c r="R45" i="38"/>
  <c r="AE24" i="11"/>
  <c r="T18" i="38"/>
  <c r="AA25" i="15"/>
  <c r="AA25" i="36" s="1"/>
  <c r="H34" i="51" s="1"/>
  <c r="H51" i="51" s="1"/>
  <c r="AB17" i="50"/>
  <c r="R28" i="38"/>
  <c r="X62" i="10"/>
  <c r="AP45" i="11"/>
  <c r="V25" i="15"/>
  <c r="V25" i="36" s="1"/>
  <c r="G34" i="51" s="1"/>
  <c r="G51" i="51" s="1"/>
  <c r="AC133" i="17"/>
  <c r="G55" i="15"/>
  <c r="B58" i="15"/>
  <c r="Z53" i="15"/>
  <c r="Q45" i="38"/>
  <c r="W119" i="17"/>
  <c r="AI40" i="16"/>
  <c r="T30" i="38" s="1"/>
  <c r="AI73" i="11"/>
  <c r="T73" i="18"/>
  <c r="Q63" i="15"/>
  <c r="N140" i="17"/>
  <c r="N182" i="17" s="1"/>
  <c r="N85" i="15" s="1"/>
  <c r="S136" i="17"/>
  <c r="AD64" i="15"/>
  <c r="L59" i="15"/>
  <c r="AA62" i="15"/>
  <c r="R130" i="17"/>
  <c r="AB134" i="17"/>
  <c r="AB176" i="17" s="1"/>
  <c r="AB79" i="15" s="1"/>
  <c r="AN41" i="11"/>
  <c r="Z66" i="50" s="1"/>
  <c r="B11" i="38"/>
  <c r="N141" i="17"/>
  <c r="N183" i="17" s="1"/>
  <c r="N86" i="15" s="1"/>
  <c r="H141" i="17"/>
  <c r="H183" i="17" s="1"/>
  <c r="H86" i="15" s="1"/>
  <c r="C60" i="15"/>
  <c r="X119" i="17"/>
  <c r="AC49" i="16"/>
  <c r="I41" i="38"/>
  <c r="W18" i="50"/>
  <c r="X31" i="38"/>
  <c r="I62" i="51"/>
  <c r="C133" i="17"/>
  <c r="Q9" i="38"/>
  <c r="W70" i="50"/>
  <c r="J56" i="15"/>
  <c r="U54" i="15"/>
  <c r="B61" i="15"/>
  <c r="M9" i="50"/>
  <c r="S11" i="38"/>
  <c r="AB40" i="38"/>
  <c r="AC31" i="38"/>
  <c r="AE37" i="15"/>
  <c r="AE37" i="36" s="1"/>
  <c r="AF37" i="50" s="1"/>
  <c r="AF54" i="50" s="1"/>
  <c r="N54" i="15"/>
  <c r="M133" i="17"/>
  <c r="M69" i="50"/>
  <c r="X34" i="17"/>
  <c r="X24" i="18" s="1"/>
  <c r="AE46" i="38"/>
  <c r="AE26" i="38"/>
  <c r="AG7" i="50"/>
  <c r="P58" i="15"/>
  <c r="AC39" i="38"/>
  <c r="K11" i="38"/>
  <c r="C10" i="38"/>
  <c r="AD25" i="38"/>
  <c r="S25" i="38"/>
  <c r="R25" i="38"/>
  <c r="O59" i="15"/>
  <c r="Y37" i="15"/>
  <c r="Y37" i="36" s="1"/>
  <c r="Z37" i="50" s="1"/>
  <c r="Z54" i="50" s="1"/>
  <c r="T25" i="38"/>
  <c r="S44" i="38"/>
  <c r="R17" i="15"/>
  <c r="R17" i="36" s="1"/>
  <c r="AB58" i="15"/>
  <c r="C19" i="50"/>
  <c r="U44" i="38"/>
  <c r="P40" i="38"/>
  <c r="AM44" i="11"/>
  <c r="AB17" i="38"/>
  <c r="M71" i="1"/>
  <c r="AG40" i="16"/>
  <c r="R30" i="38" s="1"/>
  <c r="AF31" i="38"/>
  <c r="J10" i="38"/>
  <c r="N10" i="38"/>
  <c r="AM73" i="11"/>
  <c r="Y25" i="38"/>
  <c r="V9" i="38"/>
  <c r="G136" i="17"/>
  <c r="F57" i="15"/>
  <c r="U28" i="38"/>
  <c r="R15" i="50"/>
  <c r="U29" i="38"/>
  <c r="AC28" i="38"/>
  <c r="D131" i="17"/>
  <c r="I141" i="17"/>
  <c r="I183" i="17" s="1"/>
  <c r="I86" i="15" s="1"/>
  <c r="I59" i="15"/>
  <c r="U25" i="15"/>
  <c r="U25" i="36" s="1"/>
  <c r="V34" i="50" s="1"/>
  <c r="V51" i="50" s="1"/>
  <c r="AE119" i="17"/>
  <c r="N132" i="17"/>
  <c r="AH49" i="16"/>
  <c r="AG58" i="50"/>
  <c r="AJ41" i="11"/>
  <c r="V66" i="50" s="1"/>
  <c r="I62" i="15"/>
  <c r="L56" i="15"/>
  <c r="W34" i="17"/>
  <c r="W24" i="18" s="1"/>
  <c r="I19" i="51"/>
  <c r="B92" i="17"/>
  <c r="AC16" i="38"/>
  <c r="T44" i="38"/>
  <c r="AU73" i="11"/>
  <c r="W45" i="38"/>
  <c r="R41" i="38"/>
  <c r="K10" i="38"/>
  <c r="O10" i="38"/>
  <c r="L61" i="15"/>
  <c r="AF73" i="18"/>
  <c r="P34" i="38"/>
  <c r="AD63" i="15"/>
  <c r="AV33" i="11"/>
  <c r="W20" i="38"/>
  <c r="H65" i="15"/>
  <c r="AE57" i="15"/>
  <c r="AE140" i="17"/>
  <c r="AE182" i="17" s="1"/>
  <c r="AE85" i="15" s="1"/>
  <c r="AD133" i="17"/>
  <c r="R52" i="8"/>
  <c r="O119" i="17"/>
  <c r="AD39" i="38"/>
  <c r="U133" i="17"/>
  <c r="U167" i="17" s="1"/>
  <c r="B46" i="38"/>
  <c r="AA46" i="11"/>
  <c r="S41" i="38"/>
  <c r="X60" i="15"/>
  <c r="AA45" i="38"/>
  <c r="W14" i="16"/>
  <c r="AC10" i="38"/>
  <c r="T14" i="16"/>
  <c r="Z16" i="38"/>
  <c r="K26" i="38"/>
  <c r="K35" i="38" s="1"/>
  <c r="AT44" i="11"/>
  <c r="AT46" i="11" s="1"/>
  <c r="R65" i="15"/>
  <c r="F137" i="17"/>
  <c r="F179" i="17" s="1"/>
  <c r="F82" i="15" s="1"/>
  <c r="X28" i="38"/>
  <c r="AB7" i="50"/>
  <c r="V16" i="38"/>
  <c r="S26" i="38"/>
  <c r="J63" i="15"/>
  <c r="J60" i="15"/>
  <c r="AC119" i="17"/>
  <c r="AR44" i="11"/>
  <c r="AR46" i="11" s="1"/>
  <c r="J131" i="17"/>
  <c r="J167" i="17" s="1"/>
  <c r="C63" i="15"/>
  <c r="AF25" i="11"/>
  <c r="E137" i="17"/>
  <c r="E179" i="17" s="1"/>
  <c r="E82" i="15" s="1"/>
  <c r="H57" i="15"/>
  <c r="AF43" i="38"/>
  <c r="AJ42" i="11"/>
  <c r="U17" i="38"/>
  <c r="G139" i="17"/>
  <c r="Y59" i="15"/>
  <c r="W62" i="50"/>
  <c r="Z18" i="38"/>
  <c r="AA63" i="15"/>
  <c r="AA134" i="17"/>
  <c r="AA176" i="17" s="1"/>
  <c r="AA79" i="15" s="1"/>
  <c r="N56" i="15"/>
  <c r="D59" i="15"/>
  <c r="V131" i="17"/>
  <c r="J57" i="15"/>
  <c r="Z58" i="15"/>
  <c r="Y58" i="17"/>
  <c r="Y42" i="18" s="1"/>
  <c r="Y42" i="38"/>
  <c r="P75" i="1"/>
  <c r="AA8" i="38"/>
  <c r="C19" i="51"/>
  <c r="Y61" i="15"/>
  <c r="F140" i="17"/>
  <c r="F182" i="17" s="1"/>
  <c r="F85" i="15" s="1"/>
  <c r="AV34" i="11"/>
  <c r="D60" i="15"/>
  <c r="E58" i="15"/>
  <c r="AV8" i="11"/>
  <c r="Q65" i="15"/>
  <c r="H58" i="15"/>
  <c r="AF119" i="17"/>
  <c r="AT24" i="11"/>
  <c r="G57" i="15"/>
  <c r="AH40" i="16"/>
  <c r="S30" i="38" s="1"/>
  <c r="U45" i="38"/>
  <c r="K62" i="15"/>
  <c r="W17" i="38"/>
  <c r="S18" i="38"/>
  <c r="Q53" i="15"/>
  <c r="AB65" i="50"/>
  <c r="G58" i="15"/>
  <c r="AB8" i="38"/>
  <c r="AU44" i="11"/>
  <c r="AP73" i="11"/>
  <c r="Q18" i="38"/>
  <c r="T26" i="38"/>
  <c r="K46" i="38"/>
  <c r="M46" i="38"/>
  <c r="Y34" i="38"/>
  <c r="AD62" i="15"/>
  <c r="AD59" i="15"/>
  <c r="Z25" i="15"/>
  <c r="Z25" i="36" s="1"/>
  <c r="AA34" i="50" s="1"/>
  <c r="V19" i="38"/>
  <c r="H59" i="15"/>
  <c r="X16" i="38"/>
  <c r="R140" i="17"/>
  <c r="R182" i="17" s="1"/>
  <c r="R85" i="15" s="1"/>
  <c r="I65" i="51"/>
  <c r="M119" i="17"/>
  <c r="D61" i="15"/>
  <c r="S45" i="38"/>
  <c r="B60" i="15"/>
  <c r="X39" i="38"/>
  <c r="AF8" i="38"/>
  <c r="T45" i="38"/>
  <c r="D18" i="51"/>
  <c r="T18" i="50"/>
  <c r="V136" i="17"/>
  <c r="F141" i="17"/>
  <c r="F183" i="17" s="1"/>
  <c r="F86" i="15" s="1"/>
  <c r="AB37" i="15"/>
  <c r="AB37" i="36" s="1"/>
  <c r="AC37" i="50" s="1"/>
  <c r="AC54" i="50" s="1"/>
  <c r="G9" i="51"/>
  <c r="K53" i="15"/>
  <c r="F19" i="38"/>
  <c r="S56" i="15"/>
  <c r="W140" i="17"/>
  <c r="W182" i="17" s="1"/>
  <c r="W85" i="15" s="1"/>
  <c r="W139" i="17"/>
  <c r="Q55" i="15"/>
  <c r="Y137" i="17"/>
  <c r="Y179" i="17" s="1"/>
  <c r="Y82" i="15" s="1"/>
  <c r="AD11" i="38"/>
  <c r="AB42" i="38"/>
  <c r="AE34" i="38"/>
  <c r="Q31" i="38"/>
  <c r="U46" i="38"/>
  <c r="G10" i="38"/>
  <c r="S10" i="38"/>
  <c r="V14" i="16"/>
  <c r="U37" i="15"/>
  <c r="U37" i="36" s="1"/>
  <c r="V37" i="50" s="1"/>
  <c r="U140" i="17"/>
  <c r="U182" i="17" s="1"/>
  <c r="U85" i="15" s="1"/>
  <c r="Z58" i="17"/>
  <c r="Z42" i="18" s="1"/>
  <c r="F53" i="15"/>
  <c r="U136" i="17"/>
  <c r="G15" i="51"/>
  <c r="H13" i="50"/>
  <c r="U119" i="17"/>
  <c r="X58" i="15"/>
  <c r="AC69" i="16"/>
  <c r="P119" i="17"/>
  <c r="H140" i="17"/>
  <c r="H182" i="17" s="1"/>
  <c r="H85" i="15" s="1"/>
  <c r="AJ24" i="11"/>
  <c r="R14" i="16"/>
  <c r="I57" i="15"/>
  <c r="AF18" i="38"/>
  <c r="X11" i="38"/>
  <c r="Y11" i="38"/>
  <c r="AG11" i="50"/>
  <c r="V31" i="38"/>
  <c r="D11" i="38"/>
  <c r="AF58" i="15"/>
  <c r="Z141" i="17"/>
  <c r="Z183" i="17" s="1"/>
  <c r="Z86" i="15" s="1"/>
  <c r="AD60" i="15"/>
  <c r="AB27" i="38"/>
  <c r="U43" i="38"/>
  <c r="X65" i="15"/>
  <c r="Y44" i="38"/>
  <c r="AB9" i="38"/>
  <c r="Z54" i="15"/>
  <c r="X43" i="38"/>
  <c r="AD31" i="38"/>
  <c r="AB39" i="38"/>
  <c r="C43" i="38"/>
  <c r="Q14" i="16"/>
  <c r="G46" i="38"/>
  <c r="AE49" i="16"/>
  <c r="M43" i="38"/>
  <c r="AF9" i="38"/>
  <c r="O65" i="15"/>
  <c r="AG49" i="16"/>
  <c r="W27" i="38"/>
  <c r="AC17" i="38"/>
  <c r="AB71" i="50"/>
  <c r="Z26" i="38"/>
  <c r="Q46" i="11"/>
  <c r="AA28" i="38"/>
  <c r="D92" i="17"/>
  <c r="AC25" i="38"/>
  <c r="AD58" i="15"/>
  <c r="B63" i="15"/>
  <c r="AE17" i="15"/>
  <c r="AE17" i="36" s="1"/>
  <c r="D98" i="16"/>
  <c r="D82" i="11" s="1"/>
  <c r="T54" i="15"/>
  <c r="Q19" i="38"/>
  <c r="S43" i="38"/>
  <c r="O41" i="38"/>
  <c r="D41" i="38"/>
  <c r="U141" i="17"/>
  <c r="U183" i="17" s="1"/>
  <c r="U86" i="15" s="1"/>
  <c r="C138" i="17"/>
  <c r="K43" i="38"/>
  <c r="I55" i="15"/>
  <c r="O11" i="38"/>
  <c r="V65" i="15"/>
  <c r="AC65" i="15"/>
  <c r="G7" i="51"/>
  <c r="R135" i="17"/>
  <c r="W64" i="15"/>
  <c r="AF34" i="38"/>
  <c r="V49" i="16"/>
  <c r="F65" i="15"/>
  <c r="O63" i="15"/>
  <c r="V64" i="15"/>
  <c r="F59" i="15"/>
  <c r="AF37" i="15"/>
  <c r="AF37" i="36" s="1"/>
  <c r="Q76" i="1" s="1"/>
  <c r="F131" i="17"/>
  <c r="F41" i="38"/>
  <c r="R8" i="38"/>
  <c r="AB44" i="38"/>
  <c r="AB10" i="38"/>
  <c r="N57" i="15"/>
  <c r="S61" i="15"/>
  <c r="AU24" i="11"/>
  <c r="AQ40" i="16"/>
  <c r="AB30" i="38" s="1"/>
  <c r="Y28" i="38"/>
  <c r="AQ41" i="11"/>
  <c r="AC66" i="50" s="1"/>
  <c r="AC9" i="38"/>
  <c r="AF46" i="38"/>
  <c r="L11" i="38"/>
  <c r="AF25" i="38"/>
  <c r="Y45" i="38"/>
  <c r="F11" i="38"/>
  <c r="S63" i="15"/>
  <c r="U53" i="15"/>
  <c r="S64" i="15"/>
  <c r="G63" i="15"/>
  <c r="AD119" i="17"/>
  <c r="I63" i="15"/>
  <c r="D64" i="15"/>
  <c r="B57" i="15"/>
  <c r="AQ49" i="16"/>
  <c r="AC58" i="15"/>
  <c r="Z61" i="15"/>
  <c r="AD61" i="15"/>
  <c r="U62" i="15"/>
  <c r="F119" i="17"/>
  <c r="Q64" i="16"/>
  <c r="V41" i="38"/>
  <c r="B43" i="38"/>
  <c r="V8" i="38"/>
  <c r="W14" i="50"/>
  <c r="Z55" i="15"/>
  <c r="T61" i="15"/>
  <c r="F61" i="15"/>
  <c r="X10" i="38"/>
  <c r="AV68" i="11"/>
  <c r="B139" i="17"/>
  <c r="Q61" i="15"/>
  <c r="Y56" i="15"/>
  <c r="AD42" i="38"/>
  <c r="E63" i="15"/>
  <c r="D134" i="17"/>
  <c r="D176" i="17" s="1"/>
  <c r="D79" i="15" s="1"/>
  <c r="W8" i="38"/>
  <c r="H15" i="51"/>
  <c r="AB26" i="38"/>
  <c r="D43" i="38"/>
  <c r="D34" i="38"/>
  <c r="D35" i="38" s="1"/>
  <c r="H18" i="50"/>
  <c r="AF40" i="38"/>
  <c r="AB54" i="15"/>
  <c r="V60" i="15"/>
  <c r="Q62" i="15"/>
  <c r="N60" i="15"/>
  <c r="G54" i="15"/>
  <c r="S119" i="17"/>
  <c r="D119" i="17"/>
  <c r="AC54" i="15"/>
  <c r="Q137" i="17"/>
  <c r="Q179" i="17" s="1"/>
  <c r="Q82" i="15" s="1"/>
  <c r="B119" i="17"/>
  <c r="B123" i="17" s="1"/>
  <c r="O56" i="15"/>
  <c r="B141" i="17"/>
  <c r="B183" i="17" s="1"/>
  <c r="B86" i="15" s="1"/>
  <c r="AL45" i="11"/>
  <c r="AV71" i="11"/>
  <c r="V43" i="38"/>
  <c r="R26" i="38"/>
  <c r="F26" i="38"/>
  <c r="H131" i="17"/>
  <c r="AA119" i="17"/>
  <c r="P10" i="38"/>
  <c r="AD57" i="15"/>
  <c r="M58" i="15"/>
  <c r="K58" i="15"/>
  <c r="T57" i="15"/>
  <c r="G92" i="17"/>
  <c r="AS45" i="11"/>
  <c r="AS46" i="11" s="1"/>
  <c r="Z49" i="16"/>
  <c r="S64" i="16"/>
  <c r="AB41" i="38"/>
  <c r="AC40" i="38"/>
  <c r="Y18" i="38"/>
  <c r="Q25" i="38"/>
  <c r="C70" i="50"/>
  <c r="AE14" i="16"/>
  <c r="W28" i="38"/>
  <c r="Z27" i="38"/>
  <c r="S14" i="16"/>
  <c r="O43" i="38"/>
  <c r="AC53" i="15"/>
  <c r="G69" i="51"/>
  <c r="AD37" i="15"/>
  <c r="X20" i="38"/>
  <c r="L131" i="17"/>
  <c r="Q119" i="17"/>
  <c r="S18" i="50"/>
  <c r="W19" i="50"/>
  <c r="Y16" i="38"/>
  <c r="S8" i="38"/>
  <c r="V28" i="38"/>
  <c r="W54" i="15"/>
  <c r="R61" i="15"/>
  <c r="T10" i="38"/>
  <c r="Q58" i="15"/>
  <c r="C57" i="15"/>
  <c r="J61" i="15"/>
  <c r="V69" i="16"/>
  <c r="H133" i="17"/>
  <c r="E55" i="15"/>
  <c r="E138" i="17"/>
  <c r="U64" i="16"/>
  <c r="AD79" i="17"/>
  <c r="AD73" i="18" s="1"/>
  <c r="X44" i="38"/>
  <c r="R59" i="50"/>
  <c r="R69" i="16"/>
  <c r="R95" i="16" s="1"/>
  <c r="R79" i="11" s="1"/>
  <c r="AE28" i="38"/>
  <c r="AA41" i="38"/>
  <c r="R70" i="50"/>
  <c r="F101" i="16"/>
  <c r="AE132" i="17"/>
  <c r="M134" i="17"/>
  <c r="M176" i="17" s="1"/>
  <c r="M79" i="15" s="1"/>
  <c r="V34" i="38"/>
  <c r="I92" i="17"/>
  <c r="AA92" i="17"/>
  <c r="D95" i="16"/>
  <c r="D79" i="11" s="1"/>
  <c r="AF63" i="15"/>
  <c r="U27" i="16"/>
  <c r="W61" i="50"/>
  <c r="AP69" i="16"/>
  <c r="AA146" i="17" s="1"/>
  <c r="C46" i="38"/>
  <c r="U46" i="11"/>
  <c r="H97" i="16"/>
  <c r="H81" i="11" s="1"/>
  <c r="AA10" i="38"/>
  <c r="W10" i="38"/>
  <c r="AU41" i="11"/>
  <c r="I66" i="51" s="1"/>
  <c r="AB14" i="16"/>
  <c r="P46" i="38"/>
  <c r="AS41" i="11"/>
  <c r="AE66" i="50" s="1"/>
  <c r="AL40" i="16"/>
  <c r="W30" i="38" s="1"/>
  <c r="AA58" i="15"/>
  <c r="I60" i="15"/>
  <c r="T37" i="15"/>
  <c r="T37" i="36" s="1"/>
  <c r="U37" i="50" s="1"/>
  <c r="T69" i="16"/>
  <c r="T98" i="16" s="1"/>
  <c r="T82" i="11" s="1"/>
  <c r="K60" i="15"/>
  <c r="R119" i="17"/>
  <c r="P132" i="17"/>
  <c r="E141" i="17"/>
  <c r="E183" i="17" s="1"/>
  <c r="E86" i="15" s="1"/>
  <c r="AB49" i="16"/>
  <c r="C13" i="50"/>
  <c r="AA42" i="38"/>
  <c r="AB13" i="50"/>
  <c r="G11" i="51"/>
  <c r="H9" i="51"/>
  <c r="AB119" i="17"/>
  <c r="P54" i="15"/>
  <c r="L10" i="38"/>
  <c r="W44" i="38"/>
  <c r="K59" i="15"/>
  <c r="M60" i="15"/>
  <c r="AA29" i="38"/>
  <c r="R60" i="15"/>
  <c r="AL38" i="11"/>
  <c r="AL41" i="11" s="1"/>
  <c r="X66" i="50" s="1"/>
  <c r="AS40" i="16"/>
  <c r="AD30" i="38" s="1"/>
  <c r="Z44" i="38"/>
  <c r="AB45" i="38"/>
  <c r="AB34" i="38"/>
  <c r="G43" i="38"/>
  <c r="X42" i="38"/>
  <c r="AK73" i="11"/>
  <c r="AD44" i="38"/>
  <c r="N11" i="38"/>
  <c r="V11" i="38"/>
  <c r="X46" i="38"/>
  <c r="S37" i="15"/>
  <c r="S37" i="36" s="1"/>
  <c r="T37" i="50" s="1"/>
  <c r="Q57" i="15"/>
  <c r="Y63" i="15"/>
  <c r="AB63" i="15"/>
  <c r="X139" i="17"/>
  <c r="H62" i="15"/>
  <c r="X55" i="15"/>
  <c r="Y65" i="15"/>
  <c r="T63" i="15"/>
  <c r="D65" i="15"/>
  <c r="S46" i="11"/>
  <c r="AB64" i="16"/>
  <c r="AM40" i="16"/>
  <c r="X30" i="38" s="1"/>
  <c r="U16" i="38"/>
  <c r="Y41" i="38"/>
  <c r="V20" i="50"/>
  <c r="AC41" i="38"/>
  <c r="AA11" i="38"/>
  <c r="Z8" i="38"/>
  <c r="R42" i="38"/>
  <c r="AE56" i="15"/>
  <c r="P17" i="38"/>
  <c r="Y26" i="38"/>
  <c r="W55" i="15"/>
  <c r="K133" i="17"/>
  <c r="J20" i="38"/>
  <c r="T46" i="11"/>
  <c r="Z64" i="16"/>
  <c r="J135" i="17"/>
  <c r="E134" i="17"/>
  <c r="E176" i="17" s="1"/>
  <c r="E79" i="15" s="1"/>
  <c r="Q19" i="50"/>
  <c r="AV18" i="11"/>
  <c r="AR42" i="11"/>
  <c r="AE11" i="38"/>
  <c r="AC18" i="38"/>
  <c r="AS64" i="16"/>
  <c r="AJ40" i="16"/>
  <c r="U30" i="38" s="1"/>
  <c r="AB62" i="50"/>
  <c r="V39" i="38"/>
  <c r="AA14" i="16"/>
  <c r="AB18" i="38"/>
  <c r="AJ14" i="16"/>
  <c r="AD9" i="38"/>
  <c r="AA27" i="38"/>
  <c r="Z25" i="38"/>
  <c r="V40" i="38"/>
  <c r="AA60" i="15"/>
  <c r="O58" i="15"/>
  <c r="AE69" i="16"/>
  <c r="S60" i="15"/>
  <c r="C62" i="15"/>
  <c r="N62" i="15"/>
  <c r="P51" i="50"/>
  <c r="X138" i="17"/>
  <c r="D133" i="17"/>
  <c r="AM41" i="11"/>
  <c r="Y66" i="50" s="1"/>
  <c r="AB43" i="38"/>
  <c r="AF16" i="38"/>
  <c r="Z17" i="38"/>
  <c r="Q54" i="15"/>
  <c r="F132" i="17"/>
  <c r="AF62" i="15"/>
  <c r="AV66" i="11"/>
  <c r="Q59" i="15"/>
  <c r="I34" i="38"/>
  <c r="I35" i="38" s="1"/>
  <c r="I10" i="51"/>
  <c r="Z45" i="38"/>
  <c r="M63" i="15"/>
  <c r="K41" i="38"/>
  <c r="AE40" i="38"/>
  <c r="AE17" i="38"/>
  <c r="AU40" i="16"/>
  <c r="AF30" i="38" s="1"/>
  <c r="X40" i="38"/>
  <c r="AE10" i="38"/>
  <c r="K104" i="16"/>
  <c r="K95" i="16"/>
  <c r="K79" i="11" s="1"/>
  <c r="AC59" i="15"/>
  <c r="AC136" i="17"/>
  <c r="Z60" i="15"/>
  <c r="Z137" i="17"/>
  <c r="Z179" i="17" s="1"/>
  <c r="Z82" i="15" s="1"/>
  <c r="X134" i="17"/>
  <c r="X176" i="17" s="1"/>
  <c r="X79" i="15" s="1"/>
  <c r="X57" i="15"/>
  <c r="Z62" i="15"/>
  <c r="AA138" i="17"/>
  <c r="AA61" i="15"/>
  <c r="W133" i="17"/>
  <c r="W56" i="15"/>
  <c r="J60" i="18"/>
  <c r="J102" i="18" s="1"/>
  <c r="AD54" i="15"/>
  <c r="AB130" i="17"/>
  <c r="AA46" i="38"/>
  <c r="AN43" i="11"/>
  <c r="Y31" i="38"/>
  <c r="H20" i="51"/>
  <c r="AA37" i="15"/>
  <c r="AA37" i="36" s="1"/>
  <c r="AB37" i="50" s="1"/>
  <c r="AC34" i="17"/>
  <c r="AC24" i="18" s="1"/>
  <c r="AR24" i="11"/>
  <c r="AT67" i="11"/>
  <c r="AF71" i="50" s="1"/>
  <c r="AE42" i="38"/>
  <c r="AT34" i="11"/>
  <c r="AF65" i="50" s="1"/>
  <c r="AT49" i="16"/>
  <c r="P72" i="1"/>
  <c r="AG16" i="50"/>
  <c r="I16" i="51"/>
  <c r="R64" i="16"/>
  <c r="C119" i="17"/>
  <c r="R68" i="11"/>
  <c r="D70" i="50" s="1"/>
  <c r="AN68" i="11"/>
  <c r="Z70" i="50" s="1"/>
  <c r="Y43" i="38"/>
  <c r="J9" i="50"/>
  <c r="I11" i="38"/>
  <c r="Q11" i="11"/>
  <c r="B10" i="38"/>
  <c r="AP22" i="11"/>
  <c r="AA18" i="38"/>
  <c r="AR37" i="11"/>
  <c r="AC29" i="38"/>
  <c r="C41" i="38"/>
  <c r="C26" i="38"/>
  <c r="D18" i="50"/>
  <c r="G19" i="50"/>
  <c r="F43" i="38"/>
  <c r="F133" i="17"/>
  <c r="F56" i="15"/>
  <c r="R59" i="15"/>
  <c r="R136" i="17"/>
  <c r="C135" i="17"/>
  <c r="C58" i="15"/>
  <c r="L137" i="17"/>
  <c r="L179" i="17" s="1"/>
  <c r="L82" i="15" s="1"/>
  <c r="L60" i="15"/>
  <c r="P134" i="17"/>
  <c r="P176" i="17" s="1"/>
  <c r="P79" i="15" s="1"/>
  <c r="P57" i="15"/>
  <c r="AU11" i="11"/>
  <c r="AF10" i="38"/>
  <c r="B59" i="15"/>
  <c r="B136" i="17"/>
  <c r="Y130" i="17"/>
  <c r="Y167" i="17" s="1"/>
  <c r="Y53" i="15"/>
  <c r="J141" i="17"/>
  <c r="J183" i="17" s="1"/>
  <c r="J86" i="15" s="1"/>
  <c r="J64" i="15"/>
  <c r="Z11" i="11"/>
  <c r="L59" i="50" s="1"/>
  <c r="Z14" i="16"/>
  <c r="AO68" i="11"/>
  <c r="AA70" i="50" s="1"/>
  <c r="Z43" i="38"/>
  <c r="Y68" i="11"/>
  <c r="K70" i="50" s="1"/>
  <c r="J43" i="38"/>
  <c r="AT69" i="11"/>
  <c r="AF68" i="50" s="1"/>
  <c r="AE44" i="38"/>
  <c r="Z7" i="50"/>
  <c r="Y8" i="38"/>
  <c r="AK19" i="11"/>
  <c r="V26" i="38"/>
  <c r="V16" i="50"/>
  <c r="U34" i="38"/>
  <c r="U60" i="17"/>
  <c r="U44" i="18" s="1"/>
  <c r="AJ44" i="11"/>
  <c r="AJ46" i="11" s="1"/>
  <c r="AI8" i="11"/>
  <c r="U58" i="50" s="1"/>
  <c r="T8" i="38"/>
  <c r="AF64" i="11"/>
  <c r="Q39" i="38"/>
  <c r="AE34" i="11"/>
  <c r="Q65" i="50" s="1"/>
  <c r="P27" i="38"/>
  <c r="C65" i="15"/>
  <c r="C142" i="17"/>
  <c r="C184" i="17" s="1"/>
  <c r="C87" i="15" s="1"/>
  <c r="E62" i="15"/>
  <c r="E139" i="17"/>
  <c r="AR38" i="11"/>
  <c r="AR41" i="11" s="1"/>
  <c r="AD66" i="50" s="1"/>
  <c r="AR40" i="16"/>
  <c r="AC30" i="38" s="1"/>
  <c r="H11" i="51"/>
  <c r="AB11" i="50"/>
  <c r="AL33" i="11"/>
  <c r="AL49" i="16"/>
  <c r="J92" i="17"/>
  <c r="X27" i="38"/>
  <c r="U11" i="11"/>
  <c r="G59" i="50" s="1"/>
  <c r="F10" i="38"/>
  <c r="K98" i="16"/>
  <c r="K82" i="11" s="1"/>
  <c r="Y57" i="15"/>
  <c r="AB65" i="15"/>
  <c r="K142" i="17"/>
  <c r="K184" i="17" s="1"/>
  <c r="K87" i="15" s="1"/>
  <c r="K65" i="15"/>
  <c r="L58" i="15"/>
  <c r="L135" i="17"/>
  <c r="Y92" i="17"/>
  <c r="M142" i="17"/>
  <c r="M184" i="17" s="1"/>
  <c r="M87" i="15" s="1"/>
  <c r="M65" i="15"/>
  <c r="Y141" i="17"/>
  <c r="Y183" i="17" s="1"/>
  <c r="Y86" i="15" s="1"/>
  <c r="Y64" i="15"/>
  <c r="AB20" i="50"/>
  <c r="X17" i="50"/>
  <c r="W29" i="38"/>
  <c r="AJ69" i="16"/>
  <c r="AJ102" i="16" s="1"/>
  <c r="J19" i="38"/>
  <c r="O19" i="38"/>
  <c r="AC11" i="38"/>
  <c r="AD64" i="16"/>
  <c r="AA31" i="38"/>
  <c r="U14" i="16"/>
  <c r="M41" i="38"/>
  <c r="E10" i="38"/>
  <c r="I10" i="38"/>
  <c r="M10" i="38"/>
  <c r="Q10" i="38"/>
  <c r="J46" i="38"/>
  <c r="Y10" i="38"/>
  <c r="AD18" i="38"/>
  <c r="X34" i="38"/>
  <c r="AH64" i="16"/>
  <c r="V20" i="38"/>
  <c r="AF17" i="38"/>
  <c r="AD45" i="38"/>
  <c r="O46" i="38"/>
  <c r="T11" i="38"/>
  <c r="N46" i="38"/>
  <c r="AF27" i="38"/>
  <c r="H46" i="38"/>
  <c r="AC8" i="38"/>
  <c r="W34" i="38"/>
  <c r="AN40" i="16"/>
  <c r="Y30" i="38" s="1"/>
  <c r="W40" i="38"/>
  <c r="AD11" i="11"/>
  <c r="P59" i="50" s="1"/>
  <c r="AD14" i="16"/>
  <c r="M18" i="50"/>
  <c r="L41" i="38"/>
  <c r="E18" i="51"/>
  <c r="AA142" i="17"/>
  <c r="AA184" i="17" s="1"/>
  <c r="AA87" i="15" s="1"/>
  <c r="N59" i="15"/>
  <c r="G60" i="18"/>
  <c r="G102" i="18" s="1"/>
  <c r="AC134" i="17"/>
  <c r="AC176" i="17" s="1"/>
  <c r="AC79" i="15" s="1"/>
  <c r="AC57" i="15"/>
  <c r="X61" i="17"/>
  <c r="X45" i="18" s="1"/>
  <c r="AM45" i="11"/>
  <c r="J26" i="38"/>
  <c r="J41" i="38"/>
  <c r="AF14" i="50"/>
  <c r="AE39" i="38"/>
  <c r="AU64" i="11"/>
  <c r="AV64" i="11" s="1"/>
  <c r="AU64" i="16"/>
  <c r="Y46" i="38"/>
  <c r="E41" i="38"/>
  <c r="AL18" i="11"/>
  <c r="X61" i="50" s="1"/>
  <c r="W16" i="38"/>
  <c r="AG10" i="11"/>
  <c r="AG14" i="16"/>
  <c r="M138" i="17"/>
  <c r="M61" i="15"/>
  <c r="AE66" i="11"/>
  <c r="Q69" i="50" s="1"/>
  <c r="AE64" i="16"/>
  <c r="AE7" i="50"/>
  <c r="AD8" i="38"/>
  <c r="AO66" i="11"/>
  <c r="AA69" i="50" s="1"/>
  <c r="Z41" i="38"/>
  <c r="AQ18" i="11"/>
  <c r="AC61" i="50" s="1"/>
  <c r="AB16" i="38"/>
  <c r="AL10" i="11"/>
  <c r="W9" i="38"/>
  <c r="M130" i="17"/>
  <c r="C136" i="17"/>
  <c r="X140" i="17"/>
  <c r="X182" i="17" s="1"/>
  <c r="X85" i="15" s="1"/>
  <c r="P65" i="15"/>
  <c r="B45" i="2"/>
  <c r="B58" i="2" s="1"/>
  <c r="C161" i="17" s="1"/>
  <c r="B130" i="17"/>
  <c r="V46" i="38"/>
  <c r="AE18" i="50"/>
  <c r="AD26" i="38"/>
  <c r="X11" i="11"/>
  <c r="J59" i="50" s="1"/>
  <c r="X14" i="16"/>
  <c r="AA68" i="11"/>
  <c r="AA64" i="16"/>
  <c r="G137" i="17"/>
  <c r="G179" i="17" s="1"/>
  <c r="G82" i="15" s="1"/>
  <c r="G60" i="15"/>
  <c r="F9" i="50"/>
  <c r="E11" i="38"/>
  <c r="K140" i="17"/>
  <c r="K182" i="17" s="1"/>
  <c r="K85" i="15" s="1"/>
  <c r="K63" i="15"/>
  <c r="AE19" i="50"/>
  <c r="AD43" i="38"/>
  <c r="AO64" i="11"/>
  <c r="Z39" i="38"/>
  <c r="V7" i="50"/>
  <c r="U8" i="38"/>
  <c r="AI10" i="11"/>
  <c r="AI14" i="16"/>
  <c r="AF37" i="11"/>
  <c r="AF49" i="16"/>
  <c r="AE11" i="50"/>
  <c r="AD17" i="38"/>
  <c r="H26" i="38"/>
  <c r="H35" i="38" s="1"/>
  <c r="H41" i="38"/>
  <c r="AD27" i="38"/>
  <c r="AP40" i="11"/>
  <c r="AP41" i="11" s="1"/>
  <c r="H66" i="51" s="1"/>
  <c r="AP40" i="16"/>
  <c r="AA30" i="38" s="1"/>
  <c r="Y7" i="50"/>
  <c r="X8" i="38"/>
  <c r="AK34" i="11"/>
  <c r="V27" i="38"/>
  <c r="AK69" i="11"/>
  <c r="V44" i="38"/>
  <c r="O62" i="15"/>
  <c r="AC37" i="15"/>
  <c r="AC37" i="36" s="1"/>
  <c r="AD37" i="50" s="1"/>
  <c r="N92" i="17"/>
  <c r="C141" i="17"/>
  <c r="C183" i="17" s="1"/>
  <c r="C86" i="15" s="1"/>
  <c r="AK49" i="16"/>
  <c r="AB17" i="15"/>
  <c r="AB17" i="36" s="1"/>
  <c r="S53" i="15"/>
  <c r="X69" i="16"/>
  <c r="U57" i="15"/>
  <c r="X64" i="15"/>
  <c r="O64" i="15"/>
  <c r="W136" i="17"/>
  <c r="I138" i="17"/>
  <c r="T119" i="17"/>
  <c r="V132" i="17"/>
  <c r="Q56" i="15"/>
  <c r="F62" i="15"/>
  <c r="T58" i="15"/>
  <c r="D53" i="15"/>
  <c r="L57" i="15"/>
  <c r="AN64" i="16"/>
  <c r="X17" i="38"/>
  <c r="M70" i="1"/>
  <c r="Q42" i="38"/>
  <c r="AA17" i="38"/>
  <c r="K18" i="50"/>
  <c r="C20" i="38"/>
  <c r="AF28" i="38"/>
  <c r="Y29" i="38"/>
  <c r="V17" i="38"/>
  <c r="E18" i="50"/>
  <c r="P29" i="38"/>
  <c r="L119" i="17"/>
  <c r="U58" i="15"/>
  <c r="P137" i="17"/>
  <c r="P179" i="17" s="1"/>
  <c r="P82" i="15" s="1"/>
  <c r="L140" i="17"/>
  <c r="L182" i="17" s="1"/>
  <c r="L85" i="15" s="1"/>
  <c r="E54" i="15"/>
  <c r="N119" i="17"/>
  <c r="Z42" i="38"/>
  <c r="V25" i="38"/>
  <c r="AC26" i="38"/>
  <c r="AN49" i="16"/>
  <c r="Z10" i="38"/>
  <c r="V10" i="38"/>
  <c r="W18" i="38"/>
  <c r="V58" i="17"/>
  <c r="V42" i="18" s="1"/>
  <c r="I69" i="51"/>
  <c r="I68" i="51"/>
  <c r="AC61" i="15"/>
  <c r="P63" i="15"/>
  <c r="B53" i="15"/>
  <c r="P20" i="38"/>
  <c r="R43" i="38"/>
  <c r="O57" i="15"/>
  <c r="M132" i="17"/>
  <c r="Y64" i="16"/>
  <c r="AJ49" i="16"/>
  <c r="X45" i="38"/>
  <c r="Z69" i="16"/>
  <c r="I131" i="17"/>
  <c r="M54" i="15"/>
  <c r="E34" i="38"/>
  <c r="E35" i="38" s="1"/>
  <c r="G133" i="17"/>
  <c r="I18" i="50"/>
  <c r="AC43" i="38"/>
  <c r="AE41" i="38"/>
  <c r="F18" i="50"/>
  <c r="L26" i="38"/>
  <c r="AD132" i="17"/>
  <c r="AD55" i="15"/>
  <c r="W39" i="38"/>
  <c r="O19" i="50"/>
  <c r="AC61" i="17"/>
  <c r="AC45" i="18" s="1"/>
  <c r="U18" i="38"/>
  <c r="AU45" i="11"/>
  <c r="AD142" i="17"/>
  <c r="AD184" i="17" s="1"/>
  <c r="AD87" i="15" s="1"/>
  <c r="AD65" i="15"/>
  <c r="T43" i="38"/>
  <c r="W59" i="50"/>
  <c r="AF45" i="38"/>
  <c r="Q41" i="38"/>
  <c r="T136" i="17"/>
  <c r="T59" i="15"/>
  <c r="AH14" i="16"/>
  <c r="AK38" i="11"/>
  <c r="AK41" i="11" s="1"/>
  <c r="W66" i="50" s="1"/>
  <c r="AK40" i="16"/>
  <c r="V30" i="38" s="1"/>
  <c r="Y17" i="50"/>
  <c r="X29" i="38"/>
  <c r="Z79" i="17"/>
  <c r="Z62" i="10" s="1"/>
  <c r="AO73" i="11"/>
  <c r="AO40" i="11"/>
  <c r="AO41" i="11" s="1"/>
  <c r="AA66" i="50" s="1"/>
  <c r="AO40" i="16"/>
  <c r="Z30" i="38" s="1"/>
  <c r="AB60" i="17"/>
  <c r="AB44" i="18" s="1"/>
  <c r="AQ44" i="11"/>
  <c r="AQ46" i="11" s="1"/>
  <c r="AT37" i="11"/>
  <c r="AE29" i="38"/>
  <c r="O18" i="50"/>
  <c r="N41" i="38"/>
  <c r="AG18" i="50"/>
  <c r="I18" i="51"/>
  <c r="AF41" i="38"/>
  <c r="Q43" i="38"/>
  <c r="R19" i="50"/>
  <c r="AC66" i="11"/>
  <c r="O69" i="50" s="1"/>
  <c r="AC64" i="16"/>
  <c r="AP32" i="11"/>
  <c r="AA25" i="38"/>
  <c r="AE8" i="38"/>
  <c r="AT8" i="11"/>
  <c r="AF58" i="50" s="1"/>
  <c r="H119" i="17"/>
  <c r="W64" i="16"/>
  <c r="H9" i="50"/>
  <c r="G11" i="38"/>
  <c r="D46" i="38"/>
  <c r="E92" i="17"/>
  <c r="O130" i="17"/>
  <c r="O53" i="15"/>
  <c r="H59" i="51"/>
  <c r="AB59" i="50"/>
  <c r="H11" i="38"/>
  <c r="AI66" i="11"/>
  <c r="U69" i="50" s="1"/>
  <c r="T41" i="38"/>
  <c r="I61" i="51"/>
  <c r="AG61" i="50"/>
  <c r="AB58" i="17"/>
  <c r="AB42" i="18" s="1"/>
  <c r="AQ42" i="11"/>
  <c r="AN64" i="11"/>
  <c r="Y39" i="38"/>
  <c r="U20" i="50"/>
  <c r="T42" i="38"/>
  <c r="S42" i="38"/>
  <c r="T20" i="50"/>
  <c r="AF39" i="11"/>
  <c r="AF41" i="11" s="1"/>
  <c r="F66" i="51" s="1"/>
  <c r="AF40" i="16"/>
  <c r="Q30" i="38" s="1"/>
  <c r="AF69" i="11"/>
  <c r="Q44" i="38"/>
  <c r="L34" i="38"/>
  <c r="AA49" i="16"/>
  <c r="Z60" i="17"/>
  <c r="Z44" i="18" s="1"/>
  <c r="AO44" i="11"/>
  <c r="AN21" i="11"/>
  <c r="Z62" i="50" s="1"/>
  <c r="Y17" i="38"/>
  <c r="AJ10" i="11"/>
  <c r="U9" i="38"/>
  <c r="P76" i="1"/>
  <c r="AG20" i="50"/>
  <c r="I20" i="51"/>
  <c r="W60" i="17"/>
  <c r="W44" i="18" s="1"/>
  <c r="AL44" i="11"/>
  <c r="L141" i="17"/>
  <c r="L183" i="17" s="1"/>
  <c r="L86" i="15" s="1"/>
  <c r="AM49" i="16"/>
  <c r="V18" i="38"/>
  <c r="AV69" i="11"/>
  <c r="S65" i="15"/>
  <c r="AM64" i="16"/>
  <c r="W58" i="15"/>
  <c r="AD20" i="50"/>
  <c r="AC42" i="38"/>
  <c r="AS35" i="11"/>
  <c r="AD28" i="38"/>
  <c r="Z61" i="17"/>
  <c r="Z45" i="18" s="1"/>
  <c r="AO45" i="11"/>
  <c r="V68" i="11"/>
  <c r="D70" i="51" s="1"/>
  <c r="V64" i="16"/>
  <c r="X68" i="11"/>
  <c r="J70" i="50" s="1"/>
  <c r="X64" i="16"/>
  <c r="V18" i="50"/>
  <c r="U26" i="38"/>
  <c r="AL67" i="11"/>
  <c r="X71" i="50" s="1"/>
  <c r="W42" i="38"/>
  <c r="AJ65" i="11"/>
  <c r="U40" i="38"/>
  <c r="U14" i="50"/>
  <c r="T39" i="38"/>
  <c r="Q10" i="50"/>
  <c r="P16" i="38"/>
  <c r="AB19" i="50"/>
  <c r="AA43" i="38"/>
  <c r="AF44" i="38"/>
  <c r="AT39" i="11"/>
  <c r="AT41" i="11" s="1"/>
  <c r="AF66" i="50" s="1"/>
  <c r="AT40" i="16"/>
  <c r="AE30" i="38" s="1"/>
  <c r="AF132" i="17"/>
  <c r="AA136" i="17"/>
  <c r="S57" i="15"/>
  <c r="U69" i="16"/>
  <c r="M92" i="17"/>
  <c r="E119" i="17"/>
  <c r="Y27" i="16"/>
  <c r="D71" i="10"/>
  <c r="D72" i="10" s="1"/>
  <c r="M20" i="38"/>
  <c r="T60" i="15"/>
  <c r="H92" i="17"/>
  <c r="X136" i="17"/>
  <c r="V35" i="15"/>
  <c r="AE58" i="17"/>
  <c r="AE42" i="18" s="1"/>
  <c r="AD49" i="16"/>
  <c r="P11" i="38"/>
  <c r="AB10" i="50"/>
  <c r="V29" i="38"/>
  <c r="R13" i="50"/>
  <c r="AA16" i="38"/>
  <c r="I43" i="38"/>
  <c r="AB25" i="38"/>
  <c r="AE60" i="15"/>
  <c r="T55" i="15"/>
  <c r="P141" i="17"/>
  <c r="P183" i="17" s="1"/>
  <c r="P86" i="15" s="1"/>
  <c r="Y27" i="38"/>
  <c r="H132" i="17"/>
  <c r="AD10" i="38"/>
  <c r="H10" i="38"/>
  <c r="D10" i="38"/>
  <c r="T9" i="38"/>
  <c r="R62" i="15"/>
  <c r="Z65" i="15"/>
  <c r="O61" i="15"/>
  <c r="AA53" i="15"/>
  <c r="AF11" i="38"/>
  <c r="M141" i="17"/>
  <c r="M183" i="17" s="1"/>
  <c r="M86" i="15" s="1"/>
  <c r="AK64" i="16"/>
  <c r="AC60" i="15"/>
  <c r="S39" i="38"/>
  <c r="B65" i="15"/>
  <c r="H20" i="38"/>
  <c r="Y25" i="11"/>
  <c r="Y23" i="11"/>
  <c r="K63" i="50" s="1"/>
  <c r="AE16" i="38"/>
  <c r="AF39" i="38"/>
  <c r="B41" i="38"/>
  <c r="AE45" i="38"/>
  <c r="AJ64" i="16"/>
  <c r="T64" i="16"/>
  <c r="AE136" i="17"/>
  <c r="AE59" i="15"/>
  <c r="P74" i="1"/>
  <c r="AP42" i="11"/>
  <c r="AB31" i="38"/>
  <c r="AA44" i="38"/>
  <c r="W68" i="11"/>
  <c r="I70" i="50" s="1"/>
  <c r="AD46" i="38"/>
  <c r="AF64" i="16"/>
  <c r="O60" i="15"/>
  <c r="Z46" i="11"/>
  <c r="O20" i="38"/>
  <c r="Z11" i="38"/>
  <c r="I46" i="38"/>
  <c r="X26" i="38"/>
  <c r="AD20" i="38"/>
  <c r="AH69" i="16"/>
  <c r="F20" i="38"/>
  <c r="AB11" i="38"/>
  <c r="AG64" i="16"/>
  <c r="AA131" i="17"/>
  <c r="AF14" i="16"/>
  <c r="AB16" i="50"/>
  <c r="P62" i="10"/>
  <c r="W61" i="15"/>
  <c r="AQ64" i="16"/>
  <c r="AB92" i="17"/>
  <c r="AA34" i="38"/>
  <c r="AE27" i="38"/>
  <c r="AE43" i="38"/>
  <c r="AF19" i="50"/>
  <c r="H68" i="51"/>
  <c r="AB68" i="50"/>
  <c r="AC79" i="17"/>
  <c r="AR73" i="11"/>
  <c r="AT10" i="11"/>
  <c r="AE9" i="38"/>
  <c r="N18" i="50"/>
  <c r="M26" i="38"/>
  <c r="P70" i="1"/>
  <c r="AG9" i="50"/>
  <c r="U11" i="38"/>
  <c r="V9" i="50"/>
  <c r="U41" i="38"/>
  <c r="AH10" i="11"/>
  <c r="S9" i="38"/>
  <c r="F71" i="51"/>
  <c r="R71" i="50"/>
  <c r="P71" i="1"/>
  <c r="AG15" i="50"/>
  <c r="F19" i="51"/>
  <c r="M75" i="1"/>
  <c r="C130" i="17"/>
  <c r="C53" i="15"/>
  <c r="AA17" i="50"/>
  <c r="Z28" i="38"/>
  <c r="AB79" i="17"/>
  <c r="AQ73" i="11"/>
  <c r="AD34" i="17"/>
  <c r="AD24" i="18" s="1"/>
  <c r="AS24" i="11"/>
  <c r="C69" i="50"/>
  <c r="C69" i="51"/>
  <c r="X41" i="38"/>
  <c r="M74" i="1"/>
  <c r="R18" i="50"/>
  <c r="Q26" i="38"/>
  <c r="P61" i="17"/>
  <c r="P45" i="18" s="1"/>
  <c r="AE45" i="11"/>
  <c r="AF26" i="38"/>
  <c r="W41" i="38"/>
  <c r="X18" i="50"/>
  <c r="W26" i="38"/>
  <c r="AF58" i="17"/>
  <c r="AF42" i="18" s="1"/>
  <c r="AU42" i="11"/>
  <c r="H70" i="51"/>
  <c r="AB70" i="50"/>
  <c r="N9" i="50"/>
  <c r="M11" i="38"/>
  <c r="G41" i="38"/>
  <c r="AE46" i="11"/>
  <c r="T56" i="15"/>
  <c r="E43" i="38"/>
  <c r="AD41" i="38"/>
  <c r="AC17" i="50"/>
  <c r="AB28" i="38"/>
  <c r="H18" i="51"/>
  <c r="AA26" i="38"/>
  <c r="E19" i="51"/>
  <c r="L43" i="38"/>
  <c r="Z34" i="17"/>
  <c r="Z24" i="18" s="1"/>
  <c r="AO24" i="11"/>
  <c r="AU67" i="11"/>
  <c r="AF42" i="38"/>
  <c r="C9" i="50"/>
  <c r="J70" i="1"/>
  <c r="C9" i="51"/>
  <c r="R11" i="38"/>
  <c r="S9" i="50"/>
  <c r="I130" i="17"/>
  <c r="I53" i="15"/>
  <c r="R9" i="38"/>
  <c r="AD58" i="17"/>
  <c r="AD42" i="18" s="1"/>
  <c r="AS42" i="11"/>
  <c r="R79" i="17"/>
  <c r="AG73" i="11"/>
  <c r="F95" i="16"/>
  <c r="F79" i="11" s="1"/>
  <c r="E19" i="38"/>
  <c r="J95" i="16"/>
  <c r="J79" i="11" s="1"/>
  <c r="J97" i="16"/>
  <c r="J81" i="11" s="1"/>
  <c r="F97" i="16"/>
  <c r="F81" i="11" s="1"/>
  <c r="AS27" i="16"/>
  <c r="M19" i="38"/>
  <c r="F104" i="16"/>
  <c r="G20" i="38"/>
  <c r="AP64" i="16"/>
  <c r="R46" i="38"/>
  <c r="S92" i="17"/>
  <c r="T130" i="17"/>
  <c r="T167" i="17" s="1"/>
  <c r="T53" i="15"/>
  <c r="AD53" i="15"/>
  <c r="D60" i="18"/>
  <c r="D102" i="18" s="1"/>
  <c r="Y55" i="15"/>
  <c r="U137" i="17"/>
  <c r="U179" i="17" s="1"/>
  <c r="U82" i="15" s="1"/>
  <c r="AA20" i="38"/>
  <c r="AK27" i="16"/>
  <c r="Y54" i="15"/>
  <c r="S46" i="38"/>
  <c r="K55" i="15"/>
  <c r="X92" i="17"/>
  <c r="H103" i="16"/>
  <c r="AT69" i="16"/>
  <c r="AT101" i="16" s="1"/>
  <c r="AP49" i="16"/>
  <c r="K92" i="17"/>
  <c r="R57" i="15"/>
  <c r="AA54" i="15"/>
  <c r="L92" i="17"/>
  <c r="V53" i="15"/>
  <c r="V61" i="15"/>
  <c r="AC27" i="16"/>
  <c r="AF133" i="17"/>
  <c r="AF56" i="15"/>
  <c r="P61" i="15"/>
  <c r="P138" i="17"/>
  <c r="Q141" i="17"/>
  <c r="Q183" i="17" s="1"/>
  <c r="Q86" i="15" s="1"/>
  <c r="Q64" i="15"/>
  <c r="R132" i="17"/>
  <c r="R55" i="15"/>
  <c r="T142" i="17"/>
  <c r="T184" i="17" s="1"/>
  <c r="T87" i="15" s="1"/>
  <c r="T65" i="15"/>
  <c r="W53" i="15"/>
  <c r="W130" i="17"/>
  <c r="Y14" i="16"/>
  <c r="J11" i="38"/>
  <c r="N130" i="17"/>
  <c r="N53" i="15"/>
  <c r="T141" i="17"/>
  <c r="T183" i="17" s="1"/>
  <c r="T86" i="15" s="1"/>
  <c r="T64" i="15"/>
  <c r="W142" i="17"/>
  <c r="W184" i="17" s="1"/>
  <c r="W87" i="15" s="1"/>
  <c r="W65" i="15"/>
  <c r="Y139" i="17"/>
  <c r="Y62" i="15"/>
  <c r="V133" i="17"/>
  <c r="V56" i="15"/>
  <c r="V57" i="15"/>
  <c r="AE139" i="17"/>
  <c r="U92" i="17"/>
  <c r="X56" i="15"/>
  <c r="Z63" i="15"/>
  <c r="K134" i="17"/>
  <c r="K176" i="17" s="1"/>
  <c r="K79" i="15" s="1"/>
  <c r="G51" i="50"/>
  <c r="L55" i="15"/>
  <c r="X46" i="11"/>
  <c r="Z134" i="17"/>
  <c r="Z176" i="17" s="1"/>
  <c r="Z79" i="15" s="1"/>
  <c r="Z57" i="15"/>
  <c r="B97" i="16"/>
  <c r="B81" i="11" s="1"/>
  <c r="B98" i="16"/>
  <c r="B82" i="11" s="1"/>
  <c r="G102" i="16"/>
  <c r="G97" i="16"/>
  <c r="G81" i="11" s="1"/>
  <c r="G104" i="16"/>
  <c r="G98" i="16"/>
  <c r="G82" i="11" s="1"/>
  <c r="G101" i="16"/>
  <c r="M136" i="17"/>
  <c r="M59" i="15"/>
  <c r="O132" i="17"/>
  <c r="O55" i="15"/>
  <c r="AI64" i="16"/>
  <c r="T46" i="38"/>
  <c r="T92" i="17"/>
  <c r="K131" i="17"/>
  <c r="K54" i="15"/>
  <c r="P136" i="17"/>
  <c r="P59" i="15"/>
  <c r="T34" i="38"/>
  <c r="AI49" i="16"/>
  <c r="AL64" i="16"/>
  <c r="W92" i="17"/>
  <c r="W46" i="38"/>
  <c r="G103" i="16"/>
  <c r="Y69" i="16"/>
  <c r="AL69" i="16"/>
  <c r="AL101" i="16" s="1"/>
  <c r="N20" i="38"/>
  <c r="AF134" i="17"/>
  <c r="AF176" i="17" s="1"/>
  <c r="AF79" i="15" s="1"/>
  <c r="AF57" i="15"/>
  <c r="V46" i="11"/>
  <c r="S135" i="17"/>
  <c r="R54" i="15"/>
  <c r="E95" i="16"/>
  <c r="E79" i="11" s="1"/>
  <c r="E104" i="16"/>
  <c r="E97" i="16"/>
  <c r="E81" i="11" s="1"/>
  <c r="U55" i="15"/>
  <c r="M13" i="50"/>
  <c r="E66" i="51"/>
  <c r="M66" i="50"/>
  <c r="AC14" i="16"/>
  <c r="AE131" i="17"/>
  <c r="AE54" i="15"/>
  <c r="AE138" i="17"/>
  <c r="AE61" i="15"/>
  <c r="AC140" i="17"/>
  <c r="AC182" i="17" s="1"/>
  <c r="AC85" i="15" s="1"/>
  <c r="AC63" i="15"/>
  <c r="AB136" i="17"/>
  <c r="AB59" i="15"/>
  <c r="AC139" i="17"/>
  <c r="AC62" i="15"/>
  <c r="AB133" i="17"/>
  <c r="AB56" i="15"/>
  <c r="AD34" i="38"/>
  <c r="AS49" i="16"/>
  <c r="AC46" i="38"/>
  <c r="AC92" i="17"/>
  <c r="AD92" i="17"/>
  <c r="AR64" i="16"/>
  <c r="AB132" i="17"/>
  <c r="AB55" i="15"/>
  <c r="AA133" i="17"/>
  <c r="AA56" i="15"/>
  <c r="Z46" i="38"/>
  <c r="Z92" i="17"/>
  <c r="AO64" i="16"/>
  <c r="AB141" i="17"/>
  <c r="AB183" i="17" s="1"/>
  <c r="AB86" i="15" s="1"/>
  <c r="AB64" i="15"/>
  <c r="V63" i="15"/>
  <c r="AA64" i="15"/>
  <c r="S55" i="15"/>
  <c r="V58" i="15"/>
  <c r="N61" i="15"/>
  <c r="P56" i="15"/>
  <c r="AO49" i="16"/>
  <c r="N19" i="38"/>
  <c r="Z136" i="17"/>
  <c r="X131" i="17"/>
  <c r="U142" i="17"/>
  <c r="U184" i="17" s="1"/>
  <c r="U87" i="15" s="1"/>
  <c r="R60" i="18"/>
  <c r="R102" i="18" s="1"/>
  <c r="AF54" i="15"/>
  <c r="Y58" i="15"/>
  <c r="K64" i="15"/>
  <c r="Z133" i="17"/>
  <c r="AK69" i="16"/>
  <c r="AK102" i="16" s="1"/>
  <c r="O92" i="17"/>
  <c r="R46" i="11"/>
  <c r="AC141" i="17"/>
  <c r="AC183" i="17" s="1"/>
  <c r="AC86" i="15" s="1"/>
  <c r="R141" i="17"/>
  <c r="R183" i="17" s="1"/>
  <c r="R86" i="15" s="1"/>
  <c r="W57" i="15"/>
  <c r="AG69" i="16"/>
  <c r="AG102" i="16" s="1"/>
  <c r="AB61" i="15"/>
  <c r="V92" i="17"/>
  <c r="L46" i="38"/>
  <c r="P130" i="17"/>
  <c r="P53" i="15"/>
  <c r="G13" i="51"/>
  <c r="W13" i="50"/>
  <c r="L20" i="38"/>
  <c r="AF130" i="17"/>
  <c r="AR69" i="16"/>
  <c r="AR104" i="16" s="1"/>
  <c r="AE64" i="15"/>
  <c r="D51" i="51"/>
  <c r="L142" i="17"/>
  <c r="L184" i="17" s="1"/>
  <c r="L87" i="15" s="1"/>
  <c r="AF61" i="15"/>
  <c r="AB60" i="15"/>
  <c r="O54" i="15"/>
  <c r="AR49" i="16"/>
  <c r="AC132" i="17"/>
  <c r="W60" i="15"/>
  <c r="T62" i="15"/>
  <c r="Z20" i="38"/>
  <c r="Y46" i="11"/>
  <c r="L139" i="17"/>
  <c r="L62" i="15"/>
  <c r="X130" i="17"/>
  <c r="X53" i="15"/>
  <c r="AG27" i="16"/>
  <c r="R20" i="38"/>
  <c r="D54" i="50"/>
  <c r="R19" i="38"/>
  <c r="C97" i="16"/>
  <c r="C81" i="11" s="1"/>
  <c r="C96" i="16"/>
  <c r="C80" i="11" s="1"/>
  <c r="F60" i="18"/>
  <c r="F102" i="18" s="1"/>
  <c r="AC19" i="38"/>
  <c r="AB69" i="16"/>
  <c r="B19" i="38"/>
  <c r="Q27" i="16"/>
  <c r="G95" i="16"/>
  <c r="G79" i="11" s="1"/>
  <c r="B96" i="16"/>
  <c r="B80" i="11" s="1"/>
  <c r="M60" i="18"/>
  <c r="M102" i="18" s="1"/>
  <c r="AC46" i="11"/>
  <c r="W46" i="11"/>
  <c r="M51" i="50"/>
  <c r="AK23" i="11"/>
  <c r="AK25" i="11"/>
  <c r="V62" i="10"/>
  <c r="V73" i="18"/>
  <c r="Q167" i="17"/>
  <c r="M147" i="17"/>
  <c r="S20" i="38"/>
  <c r="C102" i="16"/>
  <c r="E96" i="16"/>
  <c r="E80" i="11" s="1"/>
  <c r="AO69" i="16"/>
  <c r="Z146" i="17" s="1"/>
  <c r="AD19" i="38"/>
  <c r="AC60" i="18"/>
  <c r="AC102" i="18" s="1"/>
  <c r="C95" i="16"/>
  <c r="C79" i="11" s="1"/>
  <c r="K97" i="16"/>
  <c r="K81" i="11" s="1"/>
  <c r="B56" i="15"/>
  <c r="O60" i="18"/>
  <c r="O102" i="18" s="1"/>
  <c r="C19" i="38"/>
  <c r="X60" i="18"/>
  <c r="X102" i="18" s="1"/>
  <c r="C61" i="50"/>
  <c r="K96" i="16"/>
  <c r="K80" i="11" s="1"/>
  <c r="H101" i="16"/>
  <c r="E102" i="16"/>
  <c r="U19" i="38"/>
  <c r="AA69" i="16"/>
  <c r="AS69" i="16"/>
  <c r="AD69" i="16"/>
  <c r="O146" i="17" s="1"/>
  <c r="AF64" i="15"/>
  <c r="B133" i="17"/>
  <c r="Z27" i="16"/>
  <c r="C60" i="18"/>
  <c r="C102" i="18" s="1"/>
  <c r="AB60" i="18"/>
  <c r="AB102" i="18" s="1"/>
  <c r="N60" i="18"/>
  <c r="N102" i="18" s="1"/>
  <c r="Q60" i="18"/>
  <c r="Q102" i="18" s="1"/>
  <c r="L60" i="18"/>
  <c r="L102" i="18" s="1"/>
  <c r="H60" i="18"/>
  <c r="H102" i="18" s="1"/>
  <c r="U60" i="18"/>
  <c r="U102" i="18" s="1"/>
  <c r="E59" i="51"/>
  <c r="M59" i="50"/>
  <c r="W69" i="16"/>
  <c r="H146" i="17" s="1"/>
  <c r="I73" i="18"/>
  <c r="C61" i="51"/>
  <c r="R27" i="16"/>
  <c r="C66" i="50"/>
  <c r="L98" i="16"/>
  <c r="L82" i="11" s="1"/>
  <c r="AN23" i="11"/>
  <c r="Z63" i="50" s="1"/>
  <c r="L97" i="16"/>
  <c r="L81" i="11" s="1"/>
  <c r="AM69" i="16"/>
  <c r="Y19" i="38"/>
  <c r="Z19" i="38"/>
  <c r="B20" i="38"/>
  <c r="S69" i="16"/>
  <c r="D146" i="17" s="1"/>
  <c r="D148" i="17" s="1"/>
  <c r="D149" i="17" s="1"/>
  <c r="AA62" i="10"/>
  <c r="AA73" i="18"/>
  <c r="E62" i="10"/>
  <c r="E73" i="18"/>
  <c r="F54" i="50"/>
  <c r="E34" i="51"/>
  <c r="E51" i="51" s="1"/>
  <c r="S19" i="38"/>
  <c r="S54" i="50"/>
  <c r="AE142" i="17"/>
  <c r="AE184" i="17" s="1"/>
  <c r="AE87" i="15" s="1"/>
  <c r="AE65" i="15"/>
  <c r="H95" i="16"/>
  <c r="H79" i="11" s="1"/>
  <c r="Z60" i="18"/>
  <c r="Z102" i="18" s="1"/>
  <c r="AE92" i="17"/>
  <c r="AT64" i="16"/>
  <c r="U25" i="11"/>
  <c r="U23" i="11"/>
  <c r="G63" i="50" s="1"/>
  <c r="AB25" i="11"/>
  <c r="AB23" i="11"/>
  <c r="N63" i="50" s="1"/>
  <c r="AF92" i="17"/>
  <c r="H98" i="16"/>
  <c r="H82" i="11" s="1"/>
  <c r="R25" i="11"/>
  <c r="R23" i="11"/>
  <c r="D63" i="50" s="1"/>
  <c r="AE135" i="17"/>
  <c r="AE58" i="15"/>
  <c r="AE130" i="17"/>
  <c r="AE53" i="15"/>
  <c r="AD25" i="11"/>
  <c r="AD23" i="11"/>
  <c r="P63" i="50" s="1"/>
  <c r="AD27" i="16"/>
  <c r="D58" i="51"/>
  <c r="H58" i="50"/>
  <c r="Q23" i="11"/>
  <c r="Q25" i="11"/>
  <c r="AS25" i="11"/>
  <c r="AS23" i="11"/>
  <c r="AE63" i="50" s="1"/>
  <c r="K20" i="38"/>
  <c r="B46" i="2"/>
  <c r="B131" i="17"/>
  <c r="B54" i="15"/>
  <c r="W62" i="10"/>
  <c r="W73" i="18"/>
  <c r="S62" i="10"/>
  <c r="S73" i="18"/>
  <c r="D19" i="38"/>
  <c r="AG13" i="50"/>
  <c r="I13" i="51"/>
  <c r="X25" i="11"/>
  <c r="X23" i="11"/>
  <c r="J63" i="50" s="1"/>
  <c r="I19" i="38"/>
  <c r="AO23" i="11"/>
  <c r="AA63" i="50" s="1"/>
  <c r="AO27" i="16"/>
  <c r="AO25" i="11"/>
  <c r="AF136" i="17"/>
  <c r="AF59" i="15"/>
  <c r="K19" i="38"/>
  <c r="V60" i="18"/>
  <c r="V102" i="18" s="1"/>
  <c r="S60" i="18"/>
  <c r="S102" i="18" s="1"/>
  <c r="AC23" i="11"/>
  <c r="O63" i="50" s="1"/>
  <c r="AC25" i="11"/>
  <c r="V23" i="11"/>
  <c r="V25" i="11"/>
  <c r="G19" i="38"/>
  <c r="V27" i="16"/>
  <c r="AF137" i="17"/>
  <c r="AF179" i="17" s="1"/>
  <c r="AF82" i="15" s="1"/>
  <c r="AF60" i="15"/>
  <c r="M62" i="10"/>
  <c r="M73" i="18"/>
  <c r="E98" i="16"/>
  <c r="E82" i="11" s="1"/>
  <c r="E103" i="16"/>
  <c r="E101" i="16"/>
  <c r="AU23" i="11"/>
  <c r="AU25" i="11"/>
  <c r="AJ25" i="11"/>
  <c r="AJ23" i="11"/>
  <c r="V63" i="50" s="1"/>
  <c r="AF142" i="17"/>
  <c r="AF184" i="17" s="1"/>
  <c r="AF87" i="15" s="1"/>
  <c r="AF65" i="15"/>
  <c r="AE20" i="38"/>
  <c r="T25" i="11"/>
  <c r="T23" i="11"/>
  <c r="F63" i="50" s="1"/>
  <c r="D96" i="16"/>
  <c r="D80" i="11" s="1"/>
  <c r="D102" i="16"/>
  <c r="D104" i="16"/>
  <c r="D101" i="16"/>
  <c r="AU49" i="16"/>
  <c r="I60" i="18"/>
  <c r="I102" i="18" s="1"/>
  <c r="AR23" i="11"/>
  <c r="AD63" i="50" s="1"/>
  <c r="AR25" i="11"/>
  <c r="Z23" i="11"/>
  <c r="L63" i="50" s="1"/>
  <c r="Z25" i="11"/>
  <c r="S25" i="11"/>
  <c r="S27" i="16"/>
  <c r="S23" i="11"/>
  <c r="E63" i="50" s="1"/>
  <c r="AG25" i="11"/>
  <c r="AG23" i="11"/>
  <c r="S63" i="50" s="1"/>
  <c r="B47" i="2"/>
  <c r="B132" i="17"/>
  <c r="B55" i="15"/>
  <c r="C104" i="16"/>
  <c r="C103" i="16"/>
  <c r="C101" i="16"/>
  <c r="K101" i="16"/>
  <c r="K103" i="16"/>
  <c r="K102" i="16"/>
  <c r="D103" i="16"/>
  <c r="Y60" i="18"/>
  <c r="Y102" i="18" s="1"/>
  <c r="W60" i="18"/>
  <c r="W102" i="18" s="1"/>
  <c r="K60" i="18"/>
  <c r="K102" i="18" s="1"/>
  <c r="B60" i="18"/>
  <c r="B102" i="18" s="1"/>
  <c r="T60" i="18"/>
  <c r="T102" i="18" s="1"/>
  <c r="AF60" i="18"/>
  <c r="AV60" i="11"/>
  <c r="E60" i="18"/>
  <c r="E102" i="18" s="1"/>
  <c r="P60" i="18"/>
  <c r="P102" i="18" s="1"/>
  <c r="AF16" i="14"/>
  <c r="AE48" i="15" s="1"/>
  <c r="H34" i="50"/>
  <c r="H51" i="50" s="1"/>
  <c r="S89" i="17"/>
  <c r="S90" i="17" s="1"/>
  <c r="O89" i="17"/>
  <c r="O90" i="17" s="1"/>
  <c r="U89" i="17"/>
  <c r="U90" i="17" s="1"/>
  <c r="Q89" i="17"/>
  <c r="Q90" i="17" s="1"/>
  <c r="AE89" i="17"/>
  <c r="AE90" i="17" s="1"/>
  <c r="D89" i="17"/>
  <c r="D90" i="17" s="1"/>
  <c r="L89" i="17"/>
  <c r="L90" i="17" s="1"/>
  <c r="J89" i="17"/>
  <c r="J90" i="17" s="1"/>
  <c r="U88" i="17"/>
  <c r="R88" i="17"/>
  <c r="W15" i="14"/>
  <c r="V36" i="15" s="1"/>
  <c r="V36" i="36" s="1"/>
  <c r="G35" i="51" s="1"/>
  <c r="G52" i="51" s="1"/>
  <c r="G40" i="14"/>
  <c r="G60" i="14" s="1"/>
  <c r="G39" i="14"/>
  <c r="G59" i="14" s="1"/>
  <c r="W43" i="14"/>
  <c r="W63" i="14" s="1"/>
  <c r="W38" i="14"/>
  <c r="W58" i="14" s="1"/>
  <c r="W41" i="14"/>
  <c r="W61" i="14" s="1"/>
  <c r="W42" i="14"/>
  <c r="W62" i="14" s="1"/>
  <c r="W37" i="14"/>
  <c r="W57" i="14" s="1"/>
  <c r="W45" i="14"/>
  <c r="W65" i="14" s="1"/>
  <c r="W36" i="14"/>
  <c r="W56" i="14" s="1"/>
  <c r="W35" i="14"/>
  <c r="W55" i="14" s="1"/>
  <c r="W34" i="14"/>
  <c r="W54" i="14" s="1"/>
  <c r="G31" i="14"/>
  <c r="G51" i="14" s="1"/>
  <c r="G35" i="14"/>
  <c r="G55" i="14" s="1"/>
  <c r="F73" i="17" s="1"/>
  <c r="G34" i="14"/>
  <c r="G54" i="14" s="1"/>
  <c r="G37" i="14"/>
  <c r="G57" i="14" s="1"/>
  <c r="G38" i="14"/>
  <c r="G58" i="14" s="1"/>
  <c r="G32" i="14"/>
  <c r="G52" i="14" s="1"/>
  <c r="G33" i="14"/>
  <c r="G53" i="14" s="1"/>
  <c r="G45" i="14"/>
  <c r="G65" i="14" s="1"/>
  <c r="G36" i="14"/>
  <c r="G56" i="14" s="1"/>
  <c r="G42" i="14"/>
  <c r="G62" i="14" s="1"/>
  <c r="G43" i="14"/>
  <c r="G63" i="14" s="1"/>
  <c r="F51" i="17" s="1"/>
  <c r="F35" i="18" s="1"/>
  <c r="G41" i="14"/>
  <c r="G61" i="14" s="1"/>
  <c r="AC39" i="14"/>
  <c r="AC59" i="14" s="1"/>
  <c r="AC38" i="14"/>
  <c r="AC58" i="14" s="1"/>
  <c r="AC37" i="14"/>
  <c r="AC57" i="14" s="1"/>
  <c r="AC35" i="14"/>
  <c r="AC55" i="14" s="1"/>
  <c r="AC34" i="14"/>
  <c r="AC54" i="14" s="1"/>
  <c r="AB75" i="17" s="1"/>
  <c r="AB44" i="35" s="1"/>
  <c r="AC36" i="14"/>
  <c r="AC56" i="14" s="1"/>
  <c r="AC25" i="15"/>
  <c r="AC25" i="36" s="1"/>
  <c r="AD34" i="50" s="1"/>
  <c r="AD51" i="50" s="1"/>
  <c r="AC39" i="15"/>
  <c r="AC39" i="36" s="1"/>
  <c r="W16" i="14"/>
  <c r="V48" i="15" s="1"/>
  <c r="W18" i="14"/>
  <c r="V38" i="15" s="1"/>
  <c r="V38" i="36" s="1"/>
  <c r="G36" i="51" s="1"/>
  <c r="G53" i="51" s="1"/>
  <c r="W19" i="14"/>
  <c r="V9" i="15" s="1"/>
  <c r="E16" i="14"/>
  <c r="D48" i="15" s="1"/>
  <c r="AD25" i="15"/>
  <c r="AD25" i="36" s="1"/>
  <c r="AE34" i="50" s="1"/>
  <c r="AE51" i="50" s="1"/>
  <c r="W17" i="14"/>
  <c r="V44" i="10" s="1"/>
  <c r="AD17" i="15"/>
  <c r="AD17" i="36" s="1"/>
  <c r="G3" i="51"/>
  <c r="S167" i="17"/>
  <c r="R89" i="17"/>
  <c r="R90" i="17" s="1"/>
  <c r="B51" i="2"/>
  <c r="AA132" i="17"/>
  <c r="AA55" i="15"/>
  <c r="AP25" i="11"/>
  <c r="AP23" i="11"/>
  <c r="AP27" i="16"/>
  <c r="AQ25" i="11"/>
  <c r="AQ23" i="11"/>
  <c r="AC63" i="50" s="1"/>
  <c r="AB19" i="38"/>
  <c r="AQ27" i="16"/>
  <c r="AF69" i="16"/>
  <c r="AF102" i="16" s="1"/>
  <c r="Q20" i="38"/>
  <c r="AF27" i="16"/>
  <c r="AA25" i="11"/>
  <c r="AA23" i="11"/>
  <c r="L19" i="38"/>
  <c r="AA27" i="16"/>
  <c r="AA8" i="14"/>
  <c r="AA39" i="14"/>
  <c r="AA59" i="14" s="1"/>
  <c r="AA46" i="14"/>
  <c r="AA66" i="14" s="1"/>
  <c r="AA47" i="14"/>
  <c r="AA67" i="14" s="1"/>
  <c r="AA32" i="14"/>
  <c r="AA52" i="14" s="1"/>
  <c r="AA33" i="14"/>
  <c r="AA53" i="14" s="1"/>
  <c r="AA40" i="14"/>
  <c r="AA60" i="14" s="1"/>
  <c r="AA42" i="14"/>
  <c r="AA62" i="14" s="1"/>
  <c r="AA36" i="14"/>
  <c r="AA56" i="14" s="1"/>
  <c r="AA35" i="14"/>
  <c r="AA55" i="14" s="1"/>
  <c r="AA34" i="14"/>
  <c r="AA54" i="14" s="1"/>
  <c r="AA45" i="14"/>
  <c r="AA65" i="14" s="1"/>
  <c r="AA31" i="14"/>
  <c r="AA51" i="14" s="1"/>
  <c r="AA37" i="14"/>
  <c r="AA57" i="14" s="1"/>
  <c r="Z32" i="17" s="1"/>
  <c r="Z18" i="35" s="1"/>
  <c r="AA38" i="14"/>
  <c r="AA58" i="14" s="1"/>
  <c r="AA41" i="14"/>
  <c r="AA61" i="14" s="1"/>
  <c r="AA43" i="14"/>
  <c r="AA63" i="14" s="1"/>
  <c r="U41" i="14"/>
  <c r="U61" i="14" s="1"/>
  <c r="U42" i="14"/>
  <c r="U62" i="14" s="1"/>
  <c r="U43" i="14"/>
  <c r="U63" i="14" s="1"/>
  <c r="U38" i="14"/>
  <c r="U58" i="14" s="1"/>
  <c r="U35" i="14"/>
  <c r="U55" i="14" s="1"/>
  <c r="U37" i="14"/>
  <c r="U57" i="14" s="1"/>
  <c r="T32" i="17" s="1"/>
  <c r="T22" i="18" s="1"/>
  <c r="U34" i="14"/>
  <c r="U54" i="14" s="1"/>
  <c r="U36" i="14"/>
  <c r="U56" i="14" s="1"/>
  <c r="C8" i="14"/>
  <c r="C15" i="14" s="1"/>
  <c r="C40" i="14"/>
  <c r="C60" i="14" s="1"/>
  <c r="C41" i="14"/>
  <c r="C61" i="14" s="1"/>
  <c r="C39" i="14"/>
  <c r="C59" i="14" s="1"/>
  <c r="C33" i="14"/>
  <c r="C53" i="14" s="1"/>
  <c r="C31" i="14"/>
  <c r="C51" i="14" s="1"/>
  <c r="C46" i="14"/>
  <c r="C66" i="14" s="1"/>
  <c r="C32" i="14"/>
  <c r="C52" i="14" s="1"/>
  <c r="C36" i="14"/>
  <c r="C56" i="14" s="1"/>
  <c r="C38" i="14"/>
  <c r="C58" i="14" s="1"/>
  <c r="C42" i="14"/>
  <c r="C62" i="14" s="1"/>
  <c r="C43" i="14"/>
  <c r="C63" i="14" s="1"/>
  <c r="B51" i="17" s="1"/>
  <c r="C47" i="14"/>
  <c r="C67" i="14" s="1"/>
  <c r="C45" i="14"/>
  <c r="C65" i="14" s="1"/>
  <c r="C35" i="14"/>
  <c r="C55" i="14" s="1"/>
  <c r="B73" i="17" s="1"/>
  <c r="B56" i="10" s="1"/>
  <c r="C34" i="14"/>
  <c r="C54" i="14" s="1"/>
  <c r="B75" i="17" s="1"/>
  <c r="B58" i="10" s="1"/>
  <c r="C37" i="14"/>
  <c r="C57" i="14" s="1"/>
  <c r="B32" i="17" s="1"/>
  <c r="B18" i="35" s="1"/>
  <c r="C62" i="10"/>
  <c r="C73" i="18"/>
  <c r="D62" i="10"/>
  <c r="D73" i="18"/>
  <c r="AF17" i="14"/>
  <c r="AE43" i="10" s="1"/>
  <c r="E89" i="17"/>
  <c r="E90" i="17" s="1"/>
  <c r="AT25" i="11"/>
  <c r="AT23" i="11"/>
  <c r="AF63" i="50" s="1"/>
  <c r="AT27" i="16"/>
  <c r="T20" i="38"/>
  <c r="U20" i="38"/>
  <c r="AJ27" i="16"/>
  <c r="AE23" i="11"/>
  <c r="Q63" i="50" s="1"/>
  <c r="AE25" i="11"/>
  <c r="AE27" i="16"/>
  <c r="P19" i="38"/>
  <c r="E20" i="38"/>
  <c r="T27" i="16"/>
  <c r="Q41" i="14"/>
  <c r="Q61" i="14" s="1"/>
  <c r="Q39" i="14"/>
  <c r="Q59" i="14" s="1"/>
  <c r="Q45" i="14"/>
  <c r="Q65" i="14" s="1"/>
  <c r="Q36" i="14"/>
  <c r="Q56" i="14" s="1"/>
  <c r="Q43" i="14"/>
  <c r="Q63" i="14" s="1"/>
  <c r="Q35" i="14"/>
  <c r="Q55" i="14" s="1"/>
  <c r="P73" i="17" s="1"/>
  <c r="P56" i="10" s="1"/>
  <c r="Q124" i="50" s="1"/>
  <c r="Q42" i="14"/>
  <c r="Q62" i="14" s="1"/>
  <c r="Q38" i="14"/>
  <c r="Q58" i="14" s="1"/>
  <c r="Q34" i="14"/>
  <c r="Q54" i="14" s="1"/>
  <c r="P75" i="17" s="1"/>
  <c r="P44" i="35" s="1"/>
  <c r="Q31" i="14"/>
  <c r="Q51" i="14" s="1"/>
  <c r="Q37" i="14"/>
  <c r="Q57" i="14" s="1"/>
  <c r="O8" i="14"/>
  <c r="O47" i="14"/>
  <c r="O67" i="14" s="1"/>
  <c r="O32" i="14"/>
  <c r="O52" i="14" s="1"/>
  <c r="O46" i="14"/>
  <c r="O66" i="14" s="1"/>
  <c r="O33" i="14"/>
  <c r="O53" i="14" s="1"/>
  <c r="O31" i="14"/>
  <c r="O51" i="14" s="1"/>
  <c r="O41" i="14"/>
  <c r="O61" i="14" s="1"/>
  <c r="O42" i="14"/>
  <c r="O62" i="14" s="1"/>
  <c r="O37" i="14"/>
  <c r="O57" i="14" s="1"/>
  <c r="N32" i="17" s="1"/>
  <c r="N22" i="18" s="1"/>
  <c r="O40" i="14"/>
  <c r="O60" i="14" s="1"/>
  <c r="O45" i="14"/>
  <c r="O65" i="14" s="1"/>
  <c r="O38" i="14"/>
  <c r="O58" i="14" s="1"/>
  <c r="O34" i="14"/>
  <c r="O54" i="14" s="1"/>
  <c r="O36" i="14"/>
  <c r="O56" i="14" s="1"/>
  <c r="O39" i="14"/>
  <c r="O59" i="14" s="1"/>
  <c r="O35" i="14"/>
  <c r="O55" i="14" s="1"/>
  <c r="N73" i="17" s="1"/>
  <c r="N56" i="10" s="1"/>
  <c r="O124" i="50" s="1"/>
  <c r="O43" i="14"/>
  <c r="O63" i="14" s="1"/>
  <c r="Y42" i="14"/>
  <c r="Y62" i="14" s="1"/>
  <c r="Y43" i="14"/>
  <c r="Y63" i="14" s="1"/>
  <c r="Y37" i="14"/>
  <c r="Y57" i="14" s="1"/>
  <c r="Y35" i="14"/>
  <c r="Y55" i="14" s="1"/>
  <c r="Y34" i="14"/>
  <c r="Y54" i="14" s="1"/>
  <c r="Y38" i="14"/>
  <c r="Y58" i="14" s="1"/>
  <c r="Y36" i="14"/>
  <c r="Y56" i="14" s="1"/>
  <c r="AI69" i="16"/>
  <c r="W23" i="14"/>
  <c r="W21" i="14"/>
  <c r="W3" i="50"/>
  <c r="AE62" i="10"/>
  <c r="AE73" i="18"/>
  <c r="J96" i="16"/>
  <c r="J80" i="11" s="1"/>
  <c r="J101" i="16"/>
  <c r="J102" i="16"/>
  <c r="J104" i="16"/>
  <c r="J103" i="16"/>
  <c r="AB27" i="16"/>
  <c r="AA19" i="38"/>
  <c r="AE60" i="18"/>
  <c r="AE102" i="18" s="1"/>
  <c r="AH25" i="11"/>
  <c r="AH23" i="11"/>
  <c r="T63" i="50" s="1"/>
  <c r="AH27" i="16"/>
  <c r="AN69" i="16"/>
  <c r="AN102" i="16" s="1"/>
  <c r="Y20" i="38"/>
  <c r="AI23" i="11"/>
  <c r="U63" i="50" s="1"/>
  <c r="AI25" i="11"/>
  <c r="T19" i="38"/>
  <c r="AI27" i="16"/>
  <c r="X27" i="16"/>
  <c r="I20" i="38"/>
  <c r="K8" i="14"/>
  <c r="K46" i="14"/>
  <c r="K66" i="14" s="1"/>
  <c r="K47" i="14"/>
  <c r="K67" i="14" s="1"/>
  <c r="K32" i="14"/>
  <c r="K52" i="14" s="1"/>
  <c r="K33" i="14"/>
  <c r="K53" i="14" s="1"/>
  <c r="K31" i="14"/>
  <c r="K51" i="14" s="1"/>
  <c r="K40" i="14"/>
  <c r="K60" i="14" s="1"/>
  <c r="K41" i="14"/>
  <c r="K61" i="14" s="1"/>
  <c r="K43" i="14"/>
  <c r="K63" i="14" s="1"/>
  <c r="J51" i="17" s="1"/>
  <c r="K35" i="14"/>
  <c r="K55" i="14" s="1"/>
  <c r="J73" i="17" s="1"/>
  <c r="K34" i="14"/>
  <c r="K54" i="14" s="1"/>
  <c r="J75" i="17" s="1"/>
  <c r="J58" i="10" s="1"/>
  <c r="K121" i="50" s="1"/>
  <c r="K39" i="14"/>
  <c r="K59" i="14" s="1"/>
  <c r="K42" i="14"/>
  <c r="K62" i="14" s="1"/>
  <c r="K36" i="14"/>
  <c r="K56" i="14" s="1"/>
  <c r="K38" i="14"/>
  <c r="K58" i="14" s="1"/>
  <c r="K45" i="14"/>
  <c r="K65" i="14" s="1"/>
  <c r="K37" i="14"/>
  <c r="K57" i="14" s="1"/>
  <c r="E32" i="14"/>
  <c r="E52" i="14" s="1"/>
  <c r="E42" i="14"/>
  <c r="E62" i="14" s="1"/>
  <c r="E43" i="14"/>
  <c r="E63" i="14" s="1"/>
  <c r="E45" i="14"/>
  <c r="E65" i="14" s="1"/>
  <c r="E35" i="14"/>
  <c r="E55" i="14" s="1"/>
  <c r="D73" i="17" s="1"/>
  <c r="E37" i="14"/>
  <c r="E57" i="14" s="1"/>
  <c r="D32" i="17" s="1"/>
  <c r="D22" i="18" s="1"/>
  <c r="E34" i="14"/>
  <c r="E54" i="14" s="1"/>
  <c r="D75" i="17" s="1"/>
  <c r="E38" i="14"/>
  <c r="E58" i="14" s="1"/>
  <c r="E36" i="14"/>
  <c r="E56" i="14" s="1"/>
  <c r="S8" i="14"/>
  <c r="S33" i="14"/>
  <c r="S53" i="14" s="1"/>
  <c r="S39" i="14"/>
  <c r="S59" i="14" s="1"/>
  <c r="S32" i="14"/>
  <c r="S52" i="14" s="1"/>
  <c r="S42" i="14"/>
  <c r="S62" i="14" s="1"/>
  <c r="S43" i="14"/>
  <c r="S63" i="14" s="1"/>
  <c r="S46" i="14"/>
  <c r="S66" i="14" s="1"/>
  <c r="S47" i="14"/>
  <c r="S67" i="14" s="1"/>
  <c r="S40" i="14"/>
  <c r="S60" i="14" s="1"/>
  <c r="S41" i="14"/>
  <c r="S61" i="14" s="1"/>
  <c r="S31" i="14"/>
  <c r="S51" i="14" s="1"/>
  <c r="S37" i="14"/>
  <c r="S57" i="14" s="1"/>
  <c r="S35" i="14"/>
  <c r="S55" i="14" s="1"/>
  <c r="R73" i="17" s="1"/>
  <c r="R42" i="35" s="1"/>
  <c r="S34" i="14"/>
  <c r="S54" i="14" s="1"/>
  <c r="S45" i="14"/>
  <c r="S65" i="14" s="1"/>
  <c r="S36" i="14"/>
  <c r="S56" i="14" s="1"/>
  <c r="S38" i="14"/>
  <c r="S58" i="14" s="1"/>
  <c r="L96" i="16"/>
  <c r="L80" i="11" s="1"/>
  <c r="L101" i="16"/>
  <c r="L104" i="16"/>
  <c r="L103" i="16"/>
  <c r="L102" i="16"/>
  <c r="H96" i="16"/>
  <c r="H80" i="11" s="1"/>
  <c r="H104" i="16"/>
  <c r="AA60" i="18"/>
  <c r="AA102" i="18" s="1"/>
  <c r="Q62" i="10"/>
  <c r="Q73" i="18"/>
  <c r="AQ69" i="16"/>
  <c r="AQ102" i="16" s="1"/>
  <c r="AB20" i="38"/>
  <c r="AL25" i="11"/>
  <c r="AL23" i="11"/>
  <c r="X63" i="50" s="1"/>
  <c r="W19" i="38"/>
  <c r="AL27" i="16"/>
  <c r="AR27" i="16"/>
  <c r="AC20" i="38"/>
  <c r="AM25" i="11"/>
  <c r="AM23" i="11"/>
  <c r="Y63" i="50" s="1"/>
  <c r="AM27" i="16"/>
  <c r="X19" i="38"/>
  <c r="W25" i="11"/>
  <c r="W23" i="11"/>
  <c r="I63" i="50" s="1"/>
  <c r="H19" i="38"/>
  <c r="W27" i="16"/>
  <c r="AG8" i="14"/>
  <c r="AG31" i="14"/>
  <c r="AG51" i="14" s="1"/>
  <c r="AG34" i="14"/>
  <c r="AG54" i="14" s="1"/>
  <c r="AF75" i="17" s="1"/>
  <c r="AG43" i="14"/>
  <c r="AG63" i="14" s="1"/>
  <c r="AG38" i="14"/>
  <c r="AG58" i="14" s="1"/>
  <c r="AG35" i="14"/>
  <c r="AG55" i="14" s="1"/>
  <c r="AE47" i="14"/>
  <c r="AE67" i="14" s="1"/>
  <c r="AE40" i="14"/>
  <c r="AE60" i="14" s="1"/>
  <c r="AE32" i="14"/>
  <c r="AE52" i="14" s="1"/>
  <c r="AE33" i="14"/>
  <c r="AE53" i="14" s="1"/>
  <c r="AE46" i="14"/>
  <c r="AE66" i="14" s="1"/>
  <c r="AE31" i="14"/>
  <c r="AE51" i="14" s="1"/>
  <c r="AE41" i="14"/>
  <c r="AE61" i="14" s="1"/>
  <c r="AE42" i="14"/>
  <c r="AE62" i="14" s="1"/>
  <c r="AE43" i="14"/>
  <c r="AE63" i="14" s="1"/>
  <c r="AE36" i="14"/>
  <c r="AE56" i="14" s="1"/>
  <c r="AE38" i="14"/>
  <c r="AE58" i="14" s="1"/>
  <c r="AE35" i="14"/>
  <c r="AE55" i="14" s="1"/>
  <c r="AE45" i="14"/>
  <c r="AE65" i="14" s="1"/>
  <c r="AE37" i="14"/>
  <c r="AE57" i="14" s="1"/>
  <c r="AE34" i="14"/>
  <c r="AE54" i="14" s="1"/>
  <c r="Y176" i="17"/>
  <c r="Y79" i="15" s="1"/>
  <c r="E167" i="17"/>
  <c r="I32" i="14"/>
  <c r="I52" i="14" s="1"/>
  <c r="I37" i="14"/>
  <c r="I57" i="14" s="1"/>
  <c r="I34" i="14"/>
  <c r="I54" i="14" s="1"/>
  <c r="I45" i="14"/>
  <c r="I65" i="14" s="1"/>
  <c r="I36" i="14"/>
  <c r="I56" i="14" s="1"/>
  <c r="I38" i="14"/>
  <c r="I58" i="14" s="1"/>
  <c r="I42" i="14"/>
  <c r="I62" i="14" s="1"/>
  <c r="I43" i="14"/>
  <c r="I63" i="14" s="1"/>
  <c r="I35" i="14"/>
  <c r="I55" i="14" s="1"/>
  <c r="H73" i="17" s="1"/>
  <c r="B104" i="16"/>
  <c r="B103" i="16"/>
  <c r="B102" i="16"/>
  <c r="B101" i="16"/>
  <c r="F96" i="16"/>
  <c r="F80" i="11" s="1"/>
  <c r="F103" i="16"/>
  <c r="F102" i="16"/>
  <c r="F63" i="51"/>
  <c r="R63" i="50"/>
  <c r="AN27" i="16"/>
  <c r="E19" i="14"/>
  <c r="D24" i="15" s="1"/>
  <c r="AE17" i="14"/>
  <c r="AD44" i="10" s="1"/>
  <c r="AE19" i="14"/>
  <c r="AD24" i="15" s="1"/>
  <c r="J88" i="17"/>
  <c r="N73" i="1"/>
  <c r="O73" i="1" s="1"/>
  <c r="F34" i="51"/>
  <c r="F51" i="51" s="1"/>
  <c r="E71" i="10"/>
  <c r="C147" i="17"/>
  <c r="C71" i="10"/>
  <c r="C72" i="10" s="1"/>
  <c r="B147" i="17"/>
  <c r="B71" i="10"/>
  <c r="B72" i="10" s="1"/>
  <c r="H147" i="17"/>
  <c r="H71" i="10"/>
  <c r="J25" i="36"/>
  <c r="F37" i="36"/>
  <c r="H37" i="36"/>
  <c r="D37" i="51"/>
  <c r="D54" i="51" s="1"/>
  <c r="H37" i="50"/>
  <c r="H54" i="50" s="1"/>
  <c r="E37" i="51"/>
  <c r="E54" i="51" s="1"/>
  <c r="M37" i="50"/>
  <c r="M54" i="50" s="1"/>
  <c r="C37" i="51"/>
  <c r="C54" i="51" s="1"/>
  <c r="C37" i="50"/>
  <c r="C54" i="50" s="1"/>
  <c r="K76" i="1"/>
  <c r="L76" i="1" s="1"/>
  <c r="P89" i="17"/>
  <c r="P90" i="17" s="1"/>
  <c r="K89" i="17"/>
  <c r="K90" i="17" s="1"/>
  <c r="D88" i="17"/>
  <c r="C89" i="17"/>
  <c r="C90" i="17" s="1"/>
  <c r="F89" i="17"/>
  <c r="F90" i="17" s="1"/>
  <c r="L88" i="17"/>
  <c r="F88" i="17"/>
  <c r="AA89" i="17"/>
  <c r="AA90" i="17" s="1"/>
  <c r="AB89" i="17"/>
  <c r="AB90" i="17" s="1"/>
  <c r="I89" i="17"/>
  <c r="I90" i="17" s="1"/>
  <c r="AC89" i="17"/>
  <c r="AC90" i="17" s="1"/>
  <c r="W89" i="17"/>
  <c r="W90" i="17" s="1"/>
  <c r="Y89" i="17"/>
  <c r="Y90" i="17" s="1"/>
  <c r="I88" i="17"/>
  <c r="AB88" i="17"/>
  <c r="AD89" i="17"/>
  <c r="AD90" i="17" s="1"/>
  <c r="V89" i="17"/>
  <c r="V90" i="17" s="1"/>
  <c r="AC88" i="17"/>
  <c r="Y88" i="17"/>
  <c r="T89" i="17"/>
  <c r="T90" i="17" s="1"/>
  <c r="AA88" i="17"/>
  <c r="W88" i="17"/>
  <c r="H88" i="17"/>
  <c r="P88" i="17"/>
  <c r="G89" i="17"/>
  <c r="G90" i="17" s="1"/>
  <c r="X89" i="17"/>
  <c r="X90" i="17" s="1"/>
  <c r="Z88" i="17"/>
  <c r="E88" i="17"/>
  <c r="Z89" i="17"/>
  <c r="Z90" i="17" s="1"/>
  <c r="N89" i="17"/>
  <c r="N90" i="17" s="1"/>
  <c r="H89" i="17"/>
  <c r="H90" i="17" s="1"/>
  <c r="K88" i="17"/>
  <c r="X88" i="17"/>
  <c r="Q88" i="17"/>
  <c r="AF88" i="17"/>
  <c r="S88" i="17"/>
  <c r="G88" i="17"/>
  <c r="C88" i="17"/>
  <c r="T88" i="17"/>
  <c r="V88" i="17"/>
  <c r="AD88" i="17"/>
  <c r="M89" i="17"/>
  <c r="M90" i="17" s="1"/>
  <c r="B89" i="17"/>
  <c r="B90" i="17" s="1"/>
  <c r="B88" i="17"/>
  <c r="N88" i="17"/>
  <c r="O88" i="17"/>
  <c r="AE88" i="17"/>
  <c r="B162" i="17"/>
  <c r="AD18" i="15"/>
  <c r="AD48" i="15"/>
  <c r="AD49" i="15"/>
  <c r="AD10" i="15"/>
  <c r="AD40" i="15"/>
  <c r="AD26" i="15"/>
  <c r="AD8" i="14"/>
  <c r="AD39" i="14"/>
  <c r="AD59" i="14" s="1"/>
  <c r="AD46" i="14"/>
  <c r="AD66" i="14" s="1"/>
  <c r="AD41" i="14"/>
  <c r="AD61" i="14" s="1"/>
  <c r="AD47" i="14"/>
  <c r="AD67" i="14" s="1"/>
  <c r="AD33" i="14"/>
  <c r="AD53" i="14" s="1"/>
  <c r="AD36" i="14"/>
  <c r="AD56" i="14" s="1"/>
  <c r="AD37" i="14"/>
  <c r="AD57" i="14" s="1"/>
  <c r="AD38" i="14"/>
  <c r="AD58" i="14" s="1"/>
  <c r="AD34" i="14"/>
  <c r="AD54" i="14" s="1"/>
  <c r="AD40" i="14"/>
  <c r="AD60" i="14" s="1"/>
  <c r="AD35" i="14"/>
  <c r="AD55" i="14" s="1"/>
  <c r="AD32" i="14"/>
  <c r="AD52" i="14" s="1"/>
  <c r="AD45" i="14"/>
  <c r="AD65" i="14" s="1"/>
  <c r="AD43" i="14"/>
  <c r="AD63" i="14" s="1"/>
  <c r="AD31" i="14"/>
  <c r="AD51" i="14" s="1"/>
  <c r="AD42" i="14"/>
  <c r="AD62" i="14" s="1"/>
  <c r="N8" i="14"/>
  <c r="N46" i="14"/>
  <c r="N66" i="14" s="1"/>
  <c r="N47" i="14"/>
  <c r="N67" i="14" s="1"/>
  <c r="N41" i="14"/>
  <c r="N61" i="14" s="1"/>
  <c r="N33" i="14"/>
  <c r="N53" i="14" s="1"/>
  <c r="N40" i="14"/>
  <c r="N60" i="14" s="1"/>
  <c r="N32" i="14"/>
  <c r="N52" i="14" s="1"/>
  <c r="N42" i="14"/>
  <c r="N62" i="14" s="1"/>
  <c r="N43" i="14"/>
  <c r="N63" i="14" s="1"/>
  <c r="N35" i="14"/>
  <c r="N55" i="14" s="1"/>
  <c r="N39" i="14"/>
  <c r="N59" i="14" s="1"/>
  <c r="N36" i="14"/>
  <c r="N56" i="14" s="1"/>
  <c r="N37" i="14"/>
  <c r="N57" i="14" s="1"/>
  <c r="M32" i="17" s="1"/>
  <c r="N38" i="14"/>
  <c r="N58" i="14" s="1"/>
  <c r="N34" i="14"/>
  <c r="N54" i="14" s="1"/>
  <c r="N31" i="14"/>
  <c r="N51" i="14" s="1"/>
  <c r="N45" i="14"/>
  <c r="N65" i="14" s="1"/>
  <c r="J147" i="17"/>
  <c r="J71" i="10"/>
  <c r="AB147" i="17"/>
  <c r="AB71" i="10"/>
  <c r="Y39" i="36"/>
  <c r="B42" i="18"/>
  <c r="M96" i="16"/>
  <c r="M80" i="11" s="1"/>
  <c r="M103" i="16"/>
  <c r="M101" i="16"/>
  <c r="M95" i="16"/>
  <c r="M79" i="11" s="1"/>
  <c r="M104" i="16"/>
  <c r="M102" i="16"/>
  <c r="M98" i="16"/>
  <c r="M82" i="11" s="1"/>
  <c r="M97" i="16"/>
  <c r="M81" i="11" s="1"/>
  <c r="O49" i="16"/>
  <c r="AE19" i="38"/>
  <c r="AB8" i="14"/>
  <c r="AB40" i="14"/>
  <c r="AB60" i="14" s="1"/>
  <c r="AB32" i="14"/>
  <c r="AB52" i="14" s="1"/>
  <c r="AB46" i="14"/>
  <c r="AB66" i="14" s="1"/>
  <c r="AB47" i="14"/>
  <c r="AB67" i="14" s="1"/>
  <c r="AB33" i="14"/>
  <c r="AB53" i="14" s="1"/>
  <c r="AB39" i="14"/>
  <c r="AB59" i="14" s="1"/>
  <c r="AB41" i="14"/>
  <c r="AB61" i="14" s="1"/>
  <c r="AB42" i="14"/>
  <c r="AB62" i="14" s="1"/>
  <c r="AB43" i="14"/>
  <c r="AB63" i="14" s="1"/>
  <c r="AB35" i="14"/>
  <c r="AB55" i="14" s="1"/>
  <c r="AB36" i="14"/>
  <c r="AB56" i="14" s="1"/>
  <c r="AB37" i="14"/>
  <c r="AB57" i="14" s="1"/>
  <c r="AB38" i="14"/>
  <c r="AB58" i="14" s="1"/>
  <c r="AB34" i="14"/>
  <c r="AB54" i="14" s="1"/>
  <c r="AB45" i="14"/>
  <c r="AB65" i="14" s="1"/>
  <c r="AB31" i="14"/>
  <c r="AB51" i="14" s="1"/>
  <c r="T8" i="14"/>
  <c r="T46" i="14"/>
  <c r="T66" i="14" s="1"/>
  <c r="T47" i="14"/>
  <c r="T67" i="14" s="1"/>
  <c r="T33" i="14"/>
  <c r="T53" i="14" s="1"/>
  <c r="T39" i="14"/>
  <c r="T59" i="14" s="1"/>
  <c r="T32" i="14"/>
  <c r="T52" i="14" s="1"/>
  <c r="T42" i="14"/>
  <c r="T62" i="14" s="1"/>
  <c r="T43" i="14"/>
  <c r="T63" i="14" s="1"/>
  <c r="T35" i="14"/>
  <c r="T55" i="14" s="1"/>
  <c r="T36" i="14"/>
  <c r="T56" i="14" s="1"/>
  <c r="T37" i="14"/>
  <c r="T57" i="14" s="1"/>
  <c r="T38" i="14"/>
  <c r="T58" i="14" s="1"/>
  <c r="T34" i="14"/>
  <c r="T54" i="14" s="1"/>
  <c r="T40" i="14"/>
  <c r="T60" i="14" s="1"/>
  <c r="T41" i="14"/>
  <c r="T61" i="14" s="1"/>
  <c r="T45" i="14"/>
  <c r="T65" i="14" s="1"/>
  <c r="T31" i="14"/>
  <c r="T51" i="14" s="1"/>
  <c r="L8" i="14"/>
  <c r="L46" i="14"/>
  <c r="L66" i="14" s="1"/>
  <c r="L47" i="14"/>
  <c r="L67" i="14" s="1"/>
  <c r="L33" i="14"/>
  <c r="L53" i="14" s="1"/>
  <c r="L39" i="14"/>
  <c r="L59" i="14" s="1"/>
  <c r="L40" i="14"/>
  <c r="L60" i="14" s="1"/>
  <c r="L42" i="14"/>
  <c r="L62" i="14" s="1"/>
  <c r="L35" i="14"/>
  <c r="L55" i="14" s="1"/>
  <c r="K73" i="17" s="1"/>
  <c r="L41" i="14"/>
  <c r="L61" i="14" s="1"/>
  <c r="L43" i="14"/>
  <c r="L63" i="14" s="1"/>
  <c r="L36" i="14"/>
  <c r="L56" i="14" s="1"/>
  <c r="L37" i="14"/>
  <c r="L57" i="14" s="1"/>
  <c r="K32" i="17" s="1"/>
  <c r="L38" i="14"/>
  <c r="L58" i="14" s="1"/>
  <c r="L34" i="14"/>
  <c r="L54" i="14" s="1"/>
  <c r="L32" i="14"/>
  <c r="L52" i="14" s="1"/>
  <c r="L45" i="14"/>
  <c r="L65" i="14" s="1"/>
  <c r="L31" i="14"/>
  <c r="L51" i="14" s="1"/>
  <c r="D8" i="14"/>
  <c r="D46" i="14"/>
  <c r="D66" i="14" s="1"/>
  <c r="D47" i="14"/>
  <c r="D67" i="14" s="1"/>
  <c r="D41" i="14"/>
  <c r="D61" i="14" s="1"/>
  <c r="D33" i="14"/>
  <c r="D53" i="14" s="1"/>
  <c r="D40" i="14"/>
  <c r="D60" i="14" s="1"/>
  <c r="D32" i="14"/>
  <c r="D52" i="14" s="1"/>
  <c r="D39" i="14"/>
  <c r="D59" i="14" s="1"/>
  <c r="D31" i="14"/>
  <c r="D51" i="14" s="1"/>
  <c r="D43" i="14"/>
  <c r="D63" i="14" s="1"/>
  <c r="D36" i="14"/>
  <c r="D56" i="14" s="1"/>
  <c r="D37" i="14"/>
  <c r="D57" i="14" s="1"/>
  <c r="C32" i="17" s="1"/>
  <c r="D38" i="14"/>
  <c r="D58" i="14" s="1"/>
  <c r="D34" i="14"/>
  <c r="D54" i="14" s="1"/>
  <c r="D45" i="14"/>
  <c r="D65" i="14" s="1"/>
  <c r="D42" i="14"/>
  <c r="D62" i="14" s="1"/>
  <c r="D35" i="14"/>
  <c r="D55" i="14" s="1"/>
  <c r="C73" i="17" s="1"/>
  <c r="U147" i="17"/>
  <c r="U71" i="10"/>
  <c r="O147" i="17"/>
  <c r="O71" i="10"/>
  <c r="N147" i="17"/>
  <c r="N71" i="10"/>
  <c r="T147" i="17"/>
  <c r="T71" i="10"/>
  <c r="AA147" i="17"/>
  <c r="AA71" i="10"/>
  <c r="AD147" i="17"/>
  <c r="AD71" i="10"/>
  <c r="D47" i="15"/>
  <c r="D28" i="15"/>
  <c r="D43" i="10"/>
  <c r="D24" i="10"/>
  <c r="D41" i="10"/>
  <c r="U39" i="36"/>
  <c r="M17" i="36"/>
  <c r="I42" i="18"/>
  <c r="B25" i="36"/>
  <c r="AF19" i="38"/>
  <c r="AU27" i="16"/>
  <c r="AF20" i="38"/>
  <c r="V8" i="14"/>
  <c r="V46" i="14"/>
  <c r="V66" i="14" s="1"/>
  <c r="V47" i="14"/>
  <c r="V67" i="14" s="1"/>
  <c r="V41" i="14"/>
  <c r="V61" i="14" s="1"/>
  <c r="V33" i="14"/>
  <c r="V53" i="14" s="1"/>
  <c r="V40" i="14"/>
  <c r="V60" i="14" s="1"/>
  <c r="V32" i="14"/>
  <c r="V52" i="14" s="1"/>
  <c r="V42" i="14"/>
  <c r="V62" i="14" s="1"/>
  <c r="V43" i="14"/>
  <c r="V63" i="14" s="1"/>
  <c r="V35" i="14"/>
  <c r="V55" i="14" s="1"/>
  <c r="V36" i="14"/>
  <c r="V56" i="14" s="1"/>
  <c r="V37" i="14"/>
  <c r="V57" i="14" s="1"/>
  <c r="V38" i="14"/>
  <c r="V58" i="14" s="1"/>
  <c r="V34" i="14"/>
  <c r="V54" i="14" s="1"/>
  <c r="U75" i="17" s="1"/>
  <c r="V39" i="14"/>
  <c r="V59" i="14" s="1"/>
  <c r="V31" i="14"/>
  <c r="V51" i="14" s="1"/>
  <c r="V45" i="14"/>
  <c r="V65" i="14" s="1"/>
  <c r="F8" i="14"/>
  <c r="F15" i="14" s="1"/>
  <c r="F46" i="14"/>
  <c r="F66" i="14" s="1"/>
  <c r="F47" i="14"/>
  <c r="F67" i="14" s="1"/>
  <c r="F33" i="14"/>
  <c r="F53" i="14" s="1"/>
  <c r="F39" i="14"/>
  <c r="F59" i="14" s="1"/>
  <c r="F32" i="14"/>
  <c r="F52" i="14" s="1"/>
  <c r="F41" i="14"/>
  <c r="F61" i="14" s="1"/>
  <c r="F31" i="14"/>
  <c r="F51" i="14" s="1"/>
  <c r="F40" i="14"/>
  <c r="F60" i="14" s="1"/>
  <c r="F43" i="14"/>
  <c r="F63" i="14" s="1"/>
  <c r="F36" i="14"/>
  <c r="F56" i="14" s="1"/>
  <c r="F37" i="14"/>
  <c r="F57" i="14" s="1"/>
  <c r="E32" i="17" s="1"/>
  <c r="F38" i="14"/>
  <c r="F58" i="14" s="1"/>
  <c r="F34" i="14"/>
  <c r="F54" i="14" s="1"/>
  <c r="F45" i="14"/>
  <c r="F65" i="14" s="1"/>
  <c r="F42" i="14"/>
  <c r="F62" i="14" s="1"/>
  <c r="F35" i="14"/>
  <c r="F55" i="14" s="1"/>
  <c r="E73" i="17" s="1"/>
  <c r="L147" i="17"/>
  <c r="L71" i="10"/>
  <c r="S147" i="17"/>
  <c r="S71" i="10"/>
  <c r="Y147" i="17"/>
  <c r="Y71" i="10"/>
  <c r="AF147" i="17"/>
  <c r="AF71" i="10"/>
  <c r="P69" i="16"/>
  <c r="N69" i="16"/>
  <c r="AU69" i="16"/>
  <c r="AU102" i="16" s="1"/>
  <c r="Z8" i="14"/>
  <c r="Z39" i="14"/>
  <c r="Z59" i="14" s="1"/>
  <c r="Z46" i="14"/>
  <c r="Z66" i="14" s="1"/>
  <c r="Z32" i="14"/>
  <c r="Z52" i="14" s="1"/>
  <c r="Z33" i="14"/>
  <c r="Z53" i="14" s="1"/>
  <c r="Z40" i="14"/>
  <c r="Z60" i="14" s="1"/>
  <c r="Z42" i="14"/>
  <c r="Z62" i="14" s="1"/>
  <c r="Z43" i="14"/>
  <c r="Z63" i="14" s="1"/>
  <c r="Z35" i="14"/>
  <c r="Z55" i="14" s="1"/>
  <c r="Z41" i="14"/>
  <c r="Z61" i="14" s="1"/>
  <c r="Z36" i="14"/>
  <c r="Z56" i="14" s="1"/>
  <c r="Z37" i="14"/>
  <c r="Z57" i="14" s="1"/>
  <c r="Y32" i="17" s="1"/>
  <c r="Z38" i="14"/>
  <c r="Z58" i="14" s="1"/>
  <c r="Z34" i="14"/>
  <c r="Z54" i="14" s="1"/>
  <c r="Y75" i="17" s="1"/>
  <c r="Z47" i="14"/>
  <c r="Z67" i="14" s="1"/>
  <c r="Z31" i="14"/>
  <c r="Z51" i="14" s="1"/>
  <c r="Z45" i="14"/>
  <c r="Z65" i="14" s="1"/>
  <c r="R8" i="14"/>
  <c r="R46" i="14"/>
  <c r="R66" i="14" s="1"/>
  <c r="R41" i="14"/>
  <c r="R61" i="14" s="1"/>
  <c r="R33" i="14"/>
  <c r="R53" i="14" s="1"/>
  <c r="R40" i="14"/>
  <c r="R60" i="14" s="1"/>
  <c r="R32" i="14"/>
  <c r="R52" i="14" s="1"/>
  <c r="R42" i="14"/>
  <c r="R62" i="14" s="1"/>
  <c r="R43" i="14"/>
  <c r="R63" i="14" s="1"/>
  <c r="Q51" i="17" s="1"/>
  <c r="R35" i="14"/>
  <c r="R55" i="14" s="1"/>
  <c r="R39" i="14"/>
  <c r="R59" i="14" s="1"/>
  <c r="R36" i="14"/>
  <c r="R56" i="14" s="1"/>
  <c r="R37" i="14"/>
  <c r="R57" i="14" s="1"/>
  <c r="R38" i="14"/>
  <c r="R58" i="14" s="1"/>
  <c r="R34" i="14"/>
  <c r="R54" i="14" s="1"/>
  <c r="Q75" i="17" s="1"/>
  <c r="R47" i="14"/>
  <c r="R67" i="14" s="1"/>
  <c r="R31" i="14"/>
  <c r="R51" i="14" s="1"/>
  <c r="R45" i="14"/>
  <c r="R65" i="14" s="1"/>
  <c r="J8" i="14"/>
  <c r="J46" i="14"/>
  <c r="J66" i="14" s="1"/>
  <c r="J33" i="14"/>
  <c r="J53" i="14" s="1"/>
  <c r="J39" i="14"/>
  <c r="J59" i="14" s="1"/>
  <c r="J47" i="14"/>
  <c r="J67" i="14" s="1"/>
  <c r="J40" i="14"/>
  <c r="J60" i="14" s="1"/>
  <c r="J41" i="14"/>
  <c r="J61" i="14" s="1"/>
  <c r="J43" i="14"/>
  <c r="J63" i="14" s="1"/>
  <c r="J31" i="14"/>
  <c r="J51" i="14" s="1"/>
  <c r="J32" i="14"/>
  <c r="J52" i="14" s="1"/>
  <c r="J42" i="14"/>
  <c r="J62" i="14" s="1"/>
  <c r="J36" i="14"/>
  <c r="J56" i="14" s="1"/>
  <c r="J37" i="14"/>
  <c r="J57" i="14" s="1"/>
  <c r="J38" i="14"/>
  <c r="J58" i="14" s="1"/>
  <c r="J34" i="14"/>
  <c r="J54" i="14" s="1"/>
  <c r="I75" i="17" s="1"/>
  <c r="J35" i="14"/>
  <c r="J55" i="14" s="1"/>
  <c r="I73" i="17" s="1"/>
  <c r="J45" i="14"/>
  <c r="J65" i="14" s="1"/>
  <c r="K147" i="17"/>
  <c r="K71" i="10"/>
  <c r="F147" i="17"/>
  <c r="F71" i="10"/>
  <c r="Q147" i="17"/>
  <c r="Q71" i="10"/>
  <c r="P147" i="17"/>
  <c r="P71" i="10"/>
  <c r="V147" i="17"/>
  <c r="V71" i="10"/>
  <c r="AC147" i="17"/>
  <c r="AC71" i="10"/>
  <c r="AE50" i="15"/>
  <c r="AE16" i="15"/>
  <c r="AE24" i="15"/>
  <c r="AE9" i="15"/>
  <c r="AF18" i="14"/>
  <c r="AE38" i="15" s="1"/>
  <c r="AF21" i="14"/>
  <c r="AF22" i="14"/>
  <c r="AE35" i="15" s="1"/>
  <c r="AF15" i="14"/>
  <c r="AE36" i="15" s="1"/>
  <c r="AF23" i="14"/>
  <c r="AF3" i="50"/>
  <c r="G42" i="18"/>
  <c r="D44" i="10"/>
  <c r="O69" i="16"/>
  <c r="O103" i="16" s="1"/>
  <c r="I96" i="16"/>
  <c r="I80" i="11" s="1"/>
  <c r="I101" i="16"/>
  <c r="I102" i="16"/>
  <c r="I95" i="16"/>
  <c r="I79" i="11" s="1"/>
  <c r="I98" i="16"/>
  <c r="I82" i="11" s="1"/>
  <c r="I97" i="16"/>
  <c r="I81" i="11" s="1"/>
  <c r="I104" i="16"/>
  <c r="I103" i="16"/>
  <c r="P49" i="16"/>
  <c r="Q69" i="16"/>
  <c r="Q103" i="16" s="1"/>
  <c r="B34" i="38"/>
  <c r="R147" i="17"/>
  <c r="R71" i="10"/>
  <c r="X8" i="14"/>
  <c r="X40" i="14"/>
  <c r="X60" i="14" s="1"/>
  <c r="X32" i="14"/>
  <c r="X52" i="14" s="1"/>
  <c r="X46" i="14"/>
  <c r="X66" i="14" s="1"/>
  <c r="X47" i="14"/>
  <c r="X67" i="14" s="1"/>
  <c r="X39" i="14"/>
  <c r="X59" i="14" s="1"/>
  <c r="X41" i="14"/>
  <c r="X61" i="14" s="1"/>
  <c r="X33" i="14"/>
  <c r="X53" i="14" s="1"/>
  <c r="X42" i="14"/>
  <c r="X62" i="14" s="1"/>
  <c r="X43" i="14"/>
  <c r="X63" i="14" s="1"/>
  <c r="X35" i="14"/>
  <c r="X55" i="14" s="1"/>
  <c r="X36" i="14"/>
  <c r="X56" i="14" s="1"/>
  <c r="X37" i="14"/>
  <c r="X57" i="14" s="1"/>
  <c r="X38" i="14"/>
  <c r="X58" i="14" s="1"/>
  <c r="X34" i="14"/>
  <c r="X54" i="14" s="1"/>
  <c r="X31" i="14"/>
  <c r="X51" i="14" s="1"/>
  <c r="X45" i="14"/>
  <c r="X65" i="14" s="1"/>
  <c r="P8" i="14"/>
  <c r="P46" i="14"/>
  <c r="P66" i="14" s="1"/>
  <c r="P47" i="14"/>
  <c r="P67" i="14" s="1"/>
  <c r="P33" i="14"/>
  <c r="P53" i="14" s="1"/>
  <c r="P39" i="14"/>
  <c r="P59" i="14" s="1"/>
  <c r="P40" i="14"/>
  <c r="P60" i="14" s="1"/>
  <c r="P41" i="14"/>
  <c r="P61" i="14" s="1"/>
  <c r="P42" i="14"/>
  <c r="P62" i="14" s="1"/>
  <c r="P43" i="14"/>
  <c r="P63" i="14" s="1"/>
  <c r="O51" i="17" s="1"/>
  <c r="P35" i="14"/>
  <c r="P55" i="14" s="1"/>
  <c r="O73" i="17" s="1"/>
  <c r="P36" i="14"/>
  <c r="P56" i="14" s="1"/>
  <c r="P37" i="14"/>
  <c r="P57" i="14" s="1"/>
  <c r="P38" i="14"/>
  <c r="P58" i="14" s="1"/>
  <c r="P34" i="14"/>
  <c r="P54" i="14" s="1"/>
  <c r="P32" i="14"/>
  <c r="P52" i="14" s="1"/>
  <c r="P45" i="14"/>
  <c r="P65" i="14" s="1"/>
  <c r="P31" i="14"/>
  <c r="P51" i="14" s="1"/>
  <c r="H8" i="14"/>
  <c r="H46" i="14"/>
  <c r="H66" i="14" s="1"/>
  <c r="H47" i="14"/>
  <c r="H67" i="14" s="1"/>
  <c r="H41" i="14"/>
  <c r="H61" i="14" s="1"/>
  <c r="H33" i="14"/>
  <c r="H53" i="14" s="1"/>
  <c r="H40" i="14"/>
  <c r="H60" i="14" s="1"/>
  <c r="H32" i="14"/>
  <c r="H52" i="14" s="1"/>
  <c r="H39" i="14"/>
  <c r="H59" i="14" s="1"/>
  <c r="H31" i="14"/>
  <c r="H51" i="14" s="1"/>
  <c r="H43" i="14"/>
  <c r="H63" i="14" s="1"/>
  <c r="G51" i="17" s="1"/>
  <c r="H36" i="14"/>
  <c r="H56" i="14" s="1"/>
  <c r="H37" i="14"/>
  <c r="H57" i="14" s="1"/>
  <c r="G32" i="17" s="1"/>
  <c r="H38" i="14"/>
  <c r="H58" i="14" s="1"/>
  <c r="H34" i="14"/>
  <c r="H54" i="14" s="1"/>
  <c r="G75" i="17" s="1"/>
  <c r="H45" i="14"/>
  <c r="H65" i="14" s="1"/>
  <c r="H42" i="14"/>
  <c r="H62" i="14" s="1"/>
  <c r="H35" i="14"/>
  <c r="H55" i="14" s="1"/>
  <c r="G73" i="17" s="1"/>
  <c r="G147" i="17"/>
  <c r="G71" i="10"/>
  <c r="I147" i="17"/>
  <c r="I71" i="10"/>
  <c r="Z147" i="17"/>
  <c r="Z71" i="10"/>
  <c r="W147" i="17"/>
  <c r="W71" i="10"/>
  <c r="X147" i="17"/>
  <c r="X71" i="10"/>
  <c r="AE147" i="17"/>
  <c r="AE71" i="10"/>
  <c r="AE18" i="14"/>
  <c r="AD38" i="15" s="1"/>
  <c r="AE23" i="14"/>
  <c r="AE22" i="14"/>
  <c r="AD35" i="15" s="1"/>
  <c r="AE21" i="14"/>
  <c r="AE15" i="14"/>
  <c r="AD36" i="15" s="1"/>
  <c r="AE3" i="50"/>
  <c r="E18" i="14"/>
  <c r="D38" i="15" s="1"/>
  <c r="E15" i="14"/>
  <c r="D36" i="15" s="1"/>
  <c r="E23" i="14"/>
  <c r="E21" i="14"/>
  <c r="E22" i="14"/>
  <c r="D35" i="15" s="1"/>
  <c r="E3" i="50"/>
  <c r="B176" i="17"/>
  <c r="B79" i="15" s="1"/>
  <c r="D37" i="36"/>
  <c r="D66" i="51"/>
  <c r="H66" i="50"/>
  <c r="C42" i="18"/>
  <c r="Q49" i="16"/>
  <c r="H51" i="17" l="1"/>
  <c r="H35" i="18" s="1"/>
  <c r="D51" i="17"/>
  <c r="D35" i="18" s="1"/>
  <c r="Q32" i="17"/>
  <c r="S75" i="17"/>
  <c r="J32" i="17"/>
  <c r="J22" i="18" s="1"/>
  <c r="P9" i="15"/>
  <c r="R51" i="17"/>
  <c r="R28" i="35" s="1"/>
  <c r="S32" i="17"/>
  <c r="N75" i="17"/>
  <c r="N69" i="18" s="1"/>
  <c r="O85" i="50" s="1"/>
  <c r="O102" i="50" s="1"/>
  <c r="T75" i="17"/>
  <c r="T44" i="35" s="1"/>
  <c r="AH46" i="11"/>
  <c r="N164" i="17"/>
  <c r="Q164" i="17"/>
  <c r="S164" i="17"/>
  <c r="V164" i="17"/>
  <c r="AD164" i="17"/>
  <c r="T164" i="17"/>
  <c r="AC164" i="17"/>
  <c r="AE164" i="17"/>
  <c r="Y164" i="17"/>
  <c r="M164" i="17"/>
  <c r="AA164" i="17"/>
  <c r="L164" i="17"/>
  <c r="O164" i="17"/>
  <c r="U164" i="17"/>
  <c r="K164" i="17"/>
  <c r="X164" i="17"/>
  <c r="AB164" i="17"/>
  <c r="H164" i="17"/>
  <c r="Z164" i="17"/>
  <c r="AF164" i="17"/>
  <c r="I164" i="17"/>
  <c r="P164" i="17"/>
  <c r="R164" i="17"/>
  <c r="W164" i="17"/>
  <c r="U32" i="17"/>
  <c r="U22" i="18" s="1"/>
  <c r="AG75" i="17"/>
  <c r="F32" i="17"/>
  <c r="F22" i="18" s="1"/>
  <c r="L32" i="17"/>
  <c r="L22" i="18" s="1"/>
  <c r="AE75" i="17"/>
  <c r="AE44" i="35" s="1"/>
  <c r="I32" i="17"/>
  <c r="I22" i="18" s="1"/>
  <c r="I51" i="17"/>
  <c r="I28" i="35" s="1"/>
  <c r="H32" i="17"/>
  <c r="H22" i="18" s="1"/>
  <c r="AF102" i="18"/>
  <c r="AG60" i="18"/>
  <c r="O32" i="17"/>
  <c r="O18" i="35" s="1"/>
  <c r="T51" i="17"/>
  <c r="T35" i="18" s="1"/>
  <c r="AC21" i="14"/>
  <c r="AB15" i="15" s="1"/>
  <c r="Q73" i="17"/>
  <c r="Q56" i="10" s="1"/>
  <c r="R37" i="50"/>
  <c r="R54" i="50" s="1"/>
  <c r="Q15" i="14"/>
  <c r="P36" i="15" s="1"/>
  <c r="P49" i="17" s="1"/>
  <c r="N76" i="1"/>
  <c r="O76" i="1" s="1"/>
  <c r="Q18" i="14"/>
  <c r="P38" i="15" s="1"/>
  <c r="P74" i="17" s="1"/>
  <c r="M73" i="17"/>
  <c r="M67" i="18" s="1"/>
  <c r="N88" i="50" s="1"/>
  <c r="N105" i="50" s="1"/>
  <c r="F75" i="17"/>
  <c r="F44" i="35" s="1"/>
  <c r="G66" i="15"/>
  <c r="O73" i="18"/>
  <c r="Y15" i="14"/>
  <c r="X36" i="15" s="1"/>
  <c r="X29" i="17" s="1"/>
  <c r="U18" i="14"/>
  <c r="T38" i="15" s="1"/>
  <c r="T74" i="17" s="1"/>
  <c r="M75" i="17"/>
  <c r="M44" i="35" s="1"/>
  <c r="I17" i="14"/>
  <c r="H47" i="15" s="1"/>
  <c r="H151" i="17" s="1"/>
  <c r="H50" i="15"/>
  <c r="H54" i="36" s="1"/>
  <c r="E51" i="17"/>
  <c r="E35" i="18" s="1"/>
  <c r="I3" i="50"/>
  <c r="I15" i="14"/>
  <c r="H36" i="15" s="1"/>
  <c r="H49" i="17" s="1"/>
  <c r="V71" i="17"/>
  <c r="V54" i="10" s="1"/>
  <c r="W51" i="17"/>
  <c r="W35" i="18" s="1"/>
  <c r="E75" i="17"/>
  <c r="E44" i="35" s="1"/>
  <c r="I16" i="14"/>
  <c r="H18" i="15" s="1"/>
  <c r="H18" i="36" s="1"/>
  <c r="Y17" i="14"/>
  <c r="X41" i="10" s="1"/>
  <c r="V75" i="17"/>
  <c r="V69" i="18" s="1"/>
  <c r="Y19" i="14"/>
  <c r="X24" i="15" s="1"/>
  <c r="X50" i="17" s="1"/>
  <c r="I22" i="14"/>
  <c r="H35" i="15" s="1"/>
  <c r="H35" i="36" s="1"/>
  <c r="Y22" i="14"/>
  <c r="X35" i="15" s="1"/>
  <c r="X71" i="17" s="1"/>
  <c r="H24" i="15"/>
  <c r="H24" i="36" s="1"/>
  <c r="I21" i="14"/>
  <c r="H15" i="15" s="1"/>
  <c r="Y3" i="50"/>
  <c r="Y21" i="14"/>
  <c r="X15" i="15" s="1"/>
  <c r="K51" i="17"/>
  <c r="K28" i="35" s="1"/>
  <c r="H75" i="17"/>
  <c r="H58" i="10" s="1"/>
  <c r="I121" i="50" s="1"/>
  <c r="Y16" i="14"/>
  <c r="X49" i="15" s="1"/>
  <c r="X153" i="17" s="1"/>
  <c r="X158" i="17" s="1"/>
  <c r="H16" i="15"/>
  <c r="H30" i="17" s="1"/>
  <c r="I18" i="14"/>
  <c r="H38" i="15" s="1"/>
  <c r="H74" i="17" s="1"/>
  <c r="S51" i="17"/>
  <c r="S35" i="18" s="1"/>
  <c r="I23" i="14"/>
  <c r="H34" i="10" s="1"/>
  <c r="Y23" i="14"/>
  <c r="Z75" i="17"/>
  <c r="Z44" i="35" s="1"/>
  <c r="X16" i="15"/>
  <c r="X31" i="17" s="1"/>
  <c r="X75" i="17"/>
  <c r="X58" i="10" s="1"/>
  <c r="Y121" i="50" s="1"/>
  <c r="W32" i="17"/>
  <c r="W18" i="35" s="1"/>
  <c r="C75" i="17"/>
  <c r="C44" i="35" s="1"/>
  <c r="U73" i="18"/>
  <c r="X32" i="17"/>
  <c r="X22" i="18" s="1"/>
  <c r="D21" i="38"/>
  <c r="C51" i="17"/>
  <c r="C35" i="18" s="1"/>
  <c r="X51" i="17"/>
  <c r="X35" i="18" s="1"/>
  <c r="X51" i="50"/>
  <c r="W75" i="17"/>
  <c r="W58" i="10" s="1"/>
  <c r="X121" i="50" s="1"/>
  <c r="K75" i="17"/>
  <c r="K58" i="10" s="1"/>
  <c r="L121" i="50" s="1"/>
  <c r="Y51" i="50"/>
  <c r="AC3" i="50"/>
  <c r="AC22" i="14"/>
  <c r="AB35" i="15" s="1"/>
  <c r="AB71" i="17" s="1"/>
  <c r="Q16" i="14"/>
  <c r="P48" i="15" s="1"/>
  <c r="Q23" i="14"/>
  <c r="P24" i="15"/>
  <c r="P50" i="17" s="1"/>
  <c r="AC17" i="14"/>
  <c r="AB47" i="15" s="1"/>
  <c r="AB151" i="17" s="1"/>
  <c r="V32" i="17"/>
  <c r="V22" i="18" s="1"/>
  <c r="AN46" i="11"/>
  <c r="P16" i="15"/>
  <c r="P16" i="36" s="1"/>
  <c r="F54" i="51"/>
  <c r="C35" i="38"/>
  <c r="AC23" i="14"/>
  <c r="AC18" i="14"/>
  <c r="AB38" i="15" s="1"/>
  <c r="AB74" i="17" s="1"/>
  <c r="Q17" i="14"/>
  <c r="P44" i="10" s="1"/>
  <c r="Q22" i="14"/>
  <c r="P35" i="15" s="1"/>
  <c r="P71" i="17" s="1"/>
  <c r="AC15" i="14"/>
  <c r="AB36" i="15" s="1"/>
  <c r="AB49" i="17" s="1"/>
  <c r="W73" i="17"/>
  <c r="W56" i="10" s="1"/>
  <c r="X124" i="50" s="1"/>
  <c r="Q3" i="50"/>
  <c r="Q21" i="14"/>
  <c r="P15" i="15" s="1"/>
  <c r="AA32" i="17"/>
  <c r="AA22" i="18" s="1"/>
  <c r="AC16" i="14"/>
  <c r="AB18" i="15" s="1"/>
  <c r="AB18" i="36" s="1"/>
  <c r="R73" i="1"/>
  <c r="AF51" i="17"/>
  <c r="AG51" i="17" s="1"/>
  <c r="AB9" i="15"/>
  <c r="AB9" i="36" s="1"/>
  <c r="AB50" i="15"/>
  <c r="AB54" i="36" s="1"/>
  <c r="AB24" i="15"/>
  <c r="AB50" i="17" s="1"/>
  <c r="AA75" i="17"/>
  <c r="AA69" i="18" s="1"/>
  <c r="AD153" i="17"/>
  <c r="AD158" i="17" s="1"/>
  <c r="Z73" i="17"/>
  <c r="Z67" i="18" s="1"/>
  <c r="AA88" i="50" s="1"/>
  <c r="AA105" i="50" s="1"/>
  <c r="T24" i="15"/>
  <c r="T24" i="36" s="1"/>
  <c r="E3" i="51"/>
  <c r="M19" i="14"/>
  <c r="L50" i="15" s="1"/>
  <c r="L53" i="36" s="1"/>
  <c r="G23" i="14"/>
  <c r="F34" i="10" s="1"/>
  <c r="U23" i="14"/>
  <c r="T22" i="10" s="1"/>
  <c r="M21" i="14"/>
  <c r="L8" i="15" s="1"/>
  <c r="G19" i="14"/>
  <c r="F24" i="15" s="1"/>
  <c r="F24" i="36" s="1"/>
  <c r="G54" i="51"/>
  <c r="T16" i="15"/>
  <c r="T30" i="17" s="1"/>
  <c r="U15" i="14"/>
  <c r="T36" i="15" s="1"/>
  <c r="T36" i="36" s="1"/>
  <c r="M15" i="14"/>
  <c r="L36" i="15" s="1"/>
  <c r="L29" i="17" s="1"/>
  <c r="M18" i="14"/>
  <c r="L38" i="15" s="1"/>
  <c r="L38" i="36" s="1"/>
  <c r="M16" i="14"/>
  <c r="L48" i="15" s="1"/>
  <c r="L152" i="17" s="1"/>
  <c r="L157" i="17" s="1"/>
  <c r="F71" i="17"/>
  <c r="F54" i="10" s="1"/>
  <c r="U22" i="14"/>
  <c r="T35" i="15" s="1"/>
  <c r="T71" i="17" s="1"/>
  <c r="M23" i="14"/>
  <c r="L34" i="10" s="1"/>
  <c r="U17" i="14"/>
  <c r="T41" i="10" s="1"/>
  <c r="G18" i="14"/>
  <c r="F38" i="15" s="1"/>
  <c r="F38" i="36" s="1"/>
  <c r="G15" i="14"/>
  <c r="F36" i="15" s="1"/>
  <c r="F36" i="36" s="1"/>
  <c r="G35" i="50" s="1"/>
  <c r="G52" i="50" s="1"/>
  <c r="T50" i="15"/>
  <c r="T53" i="36" s="1"/>
  <c r="U3" i="50"/>
  <c r="U21" i="14"/>
  <c r="T34" i="15" s="1"/>
  <c r="M3" i="50"/>
  <c r="M22" i="14"/>
  <c r="L35" i="15" s="1"/>
  <c r="L71" i="17" s="1"/>
  <c r="U16" i="14"/>
  <c r="T48" i="15" s="1"/>
  <c r="T152" i="17" s="1"/>
  <c r="T157" i="17" s="1"/>
  <c r="G16" i="14"/>
  <c r="F48" i="15" s="1"/>
  <c r="F152" i="17" s="1"/>
  <c r="F157" i="17" s="1"/>
  <c r="G21" i="14"/>
  <c r="F23" i="15" s="1"/>
  <c r="F23" i="36" s="1"/>
  <c r="G3" i="50"/>
  <c r="G17" i="14"/>
  <c r="F28" i="15" s="1"/>
  <c r="F59" i="17" s="1"/>
  <c r="L24" i="10"/>
  <c r="L28" i="15"/>
  <c r="L28" i="36" s="1"/>
  <c r="L44" i="10"/>
  <c r="L47" i="15"/>
  <c r="L151" i="17" s="1"/>
  <c r="L41" i="10"/>
  <c r="AF46" i="11"/>
  <c r="N21" i="38"/>
  <c r="O35" i="38"/>
  <c r="AP46" i="11"/>
  <c r="J12" i="38"/>
  <c r="X73" i="17"/>
  <c r="X56" i="10" s="1"/>
  <c r="Y124" i="50" s="1"/>
  <c r="N51" i="17"/>
  <c r="N35" i="18" s="1"/>
  <c r="F35" i="38"/>
  <c r="AA123" i="14"/>
  <c r="AB123" i="14" s="1"/>
  <c r="S92" i="16"/>
  <c r="S54" i="8"/>
  <c r="U91" i="16"/>
  <c r="V91" i="16" s="1"/>
  <c r="T90" i="16"/>
  <c r="AC124" i="14"/>
  <c r="T89" i="16"/>
  <c r="T51" i="8" s="1"/>
  <c r="AD75" i="17"/>
  <c r="AD44" i="35" s="1"/>
  <c r="AC51" i="50"/>
  <c r="AA51" i="17"/>
  <c r="AA28" i="35" s="1"/>
  <c r="O75" i="17"/>
  <c r="O58" i="10" s="1"/>
  <c r="P121" i="50" s="1"/>
  <c r="W37" i="50"/>
  <c r="W54" i="50" s="1"/>
  <c r="V73" i="17"/>
  <c r="V42" i="35" s="1"/>
  <c r="G104" i="17"/>
  <c r="G109" i="17" s="1"/>
  <c r="H103" i="17"/>
  <c r="AD73" i="17"/>
  <c r="AD67" i="18" s="1"/>
  <c r="AE88" i="50" s="1"/>
  <c r="AE105" i="50" s="1"/>
  <c r="M35" i="38"/>
  <c r="G167" i="17"/>
  <c r="J35" i="38"/>
  <c r="AC32" i="17"/>
  <c r="AC22" i="18" s="1"/>
  <c r="AB51" i="17"/>
  <c r="AB35" i="18" s="1"/>
  <c r="Y51" i="17"/>
  <c r="Y28" i="35" s="1"/>
  <c r="M51" i="17"/>
  <c r="M28" i="35" s="1"/>
  <c r="P32" i="17"/>
  <c r="P22" i="18" s="1"/>
  <c r="AJ101" i="16"/>
  <c r="N35" i="38"/>
  <c r="C146" i="17"/>
  <c r="C148" i="17" s="1"/>
  <c r="C149" i="17" s="1"/>
  <c r="P51" i="17"/>
  <c r="P35" i="18" s="1"/>
  <c r="AE51" i="17"/>
  <c r="AE35" i="18" s="1"/>
  <c r="R75" i="17"/>
  <c r="R44" i="35" s="1"/>
  <c r="C12" i="38"/>
  <c r="B35" i="38"/>
  <c r="I61" i="1" s="1"/>
  <c r="L161" i="17"/>
  <c r="L167" i="17"/>
  <c r="W34" i="50"/>
  <c r="W51" i="50" s="1"/>
  <c r="S161" i="17"/>
  <c r="AE103" i="16"/>
  <c r="S143" i="17"/>
  <c r="D167" i="17"/>
  <c r="U102" i="16"/>
  <c r="P146" i="17"/>
  <c r="P148" i="17" s="1"/>
  <c r="X103" i="16"/>
  <c r="V51" i="17"/>
  <c r="V35" i="18" s="1"/>
  <c r="W167" i="17"/>
  <c r="R12" i="38"/>
  <c r="AM46" i="11"/>
  <c r="M47" i="38"/>
  <c r="V54" i="50"/>
  <c r="M167" i="17"/>
  <c r="AP101" i="16"/>
  <c r="AF161" i="17"/>
  <c r="R32" i="17"/>
  <c r="R22" i="18" s="1"/>
  <c r="AC167" i="17"/>
  <c r="R167" i="17"/>
  <c r="R101" i="16"/>
  <c r="H37" i="51"/>
  <c r="H54" i="51" s="1"/>
  <c r="AB34" i="50"/>
  <c r="AB51" i="50" s="1"/>
  <c r="V101" i="16"/>
  <c r="Q12" i="38"/>
  <c r="L59" i="1" s="1"/>
  <c r="AG37" i="50"/>
  <c r="AG54" i="50" s="1"/>
  <c r="T104" i="16"/>
  <c r="R96" i="16"/>
  <c r="R80" i="11" s="1"/>
  <c r="E143" i="17"/>
  <c r="AG66" i="50"/>
  <c r="AD62" i="10"/>
  <c r="B12" i="38"/>
  <c r="I59" i="1" s="1"/>
  <c r="N12" i="38"/>
  <c r="K12" i="38"/>
  <c r="AB73" i="17"/>
  <c r="AB67" i="18" s="1"/>
  <c r="AC88" i="50" s="1"/>
  <c r="AC105" i="50" s="1"/>
  <c r="AE32" i="17"/>
  <c r="AE22" i="18" s="1"/>
  <c r="Y73" i="17"/>
  <c r="Y67" i="18" s="1"/>
  <c r="Z88" i="50" s="1"/>
  <c r="Z105" i="50" s="1"/>
  <c r="AE73" i="17"/>
  <c r="AE42" i="35" s="1"/>
  <c r="C167" i="17"/>
  <c r="N143" i="17"/>
  <c r="J66" i="15"/>
  <c r="C47" i="38"/>
  <c r="AH104" i="16"/>
  <c r="X12" i="38"/>
  <c r="T103" i="16"/>
  <c r="AJ104" i="16"/>
  <c r="AA73" i="17"/>
  <c r="AA67" i="18" s="1"/>
  <c r="AV41" i="11"/>
  <c r="AB66" i="50"/>
  <c r="T102" i="16"/>
  <c r="T96" i="16"/>
  <c r="T80" i="11" s="1"/>
  <c r="E146" i="17"/>
  <c r="E148" i="17" s="1"/>
  <c r="E149" i="17" s="1"/>
  <c r="U73" i="17"/>
  <c r="U67" i="18" s="1"/>
  <c r="V88" i="50" s="1"/>
  <c r="V105" i="50" s="1"/>
  <c r="AJ103" i="16"/>
  <c r="U146" i="17"/>
  <c r="U148" i="17" s="1"/>
  <c r="S73" i="17"/>
  <c r="S42" i="35" s="1"/>
  <c r="AD37" i="36"/>
  <c r="AE37" i="50" s="1"/>
  <c r="AE54" i="50" s="1"/>
  <c r="Z51" i="17"/>
  <c r="Z35" i="18" s="1"/>
  <c r="V35" i="36"/>
  <c r="AK101" i="16"/>
  <c r="Y101" i="16"/>
  <c r="AB167" i="17"/>
  <c r="H167" i="17"/>
  <c r="U35" i="38"/>
  <c r="AL46" i="11"/>
  <c r="R76" i="1"/>
  <c r="U54" i="50"/>
  <c r="D66" i="15"/>
  <c r="P47" i="38"/>
  <c r="T95" i="16"/>
  <c r="T79" i="11" s="1"/>
  <c r="T101" i="16"/>
  <c r="U51" i="17"/>
  <c r="U28" i="35" s="1"/>
  <c r="P167" i="17"/>
  <c r="O167" i="17"/>
  <c r="F12" i="38"/>
  <c r="H66" i="15"/>
  <c r="O12" i="38"/>
  <c r="S35" i="38"/>
  <c r="AD54" i="50"/>
  <c r="B47" i="38"/>
  <c r="I62" i="1" s="1"/>
  <c r="AC102" i="16"/>
  <c r="AC101" i="16"/>
  <c r="G12" i="38"/>
  <c r="J143" i="17"/>
  <c r="AP104" i="16"/>
  <c r="AC104" i="16"/>
  <c r="N146" i="17"/>
  <c r="N148" i="17" s="1"/>
  <c r="N149" i="17" s="1"/>
  <c r="H21" i="38"/>
  <c r="AP103" i="16"/>
  <c r="AP102" i="16"/>
  <c r="AC103" i="16"/>
  <c r="Q21" i="38"/>
  <c r="L60" i="1" s="1"/>
  <c r="AF12" i="38"/>
  <c r="O59" i="1" s="1"/>
  <c r="AA101" i="16"/>
  <c r="L35" i="38"/>
  <c r="D143" i="17"/>
  <c r="W21" i="38"/>
  <c r="AE161" i="17"/>
  <c r="AE102" i="16"/>
  <c r="I37" i="51"/>
  <c r="I54" i="51" s="1"/>
  <c r="AC161" i="17"/>
  <c r="G161" i="17"/>
  <c r="F143" i="17"/>
  <c r="P161" i="17"/>
  <c r="R98" i="16"/>
  <c r="R82" i="11" s="1"/>
  <c r="J161" i="17"/>
  <c r="AE101" i="16"/>
  <c r="AM103" i="16"/>
  <c r="O161" i="17"/>
  <c r="R103" i="16"/>
  <c r="R97" i="16"/>
  <c r="R81" i="11" s="1"/>
  <c r="AD161" i="17"/>
  <c r="AF73" i="17"/>
  <c r="AG73" i="17" s="1"/>
  <c r="Z103" i="16"/>
  <c r="G143" i="17"/>
  <c r="R161" i="17"/>
  <c r="R104" i="16"/>
  <c r="X161" i="17"/>
  <c r="V161" i="17"/>
  <c r="W161" i="17"/>
  <c r="H161" i="17"/>
  <c r="AE104" i="16"/>
  <c r="Q161" i="17"/>
  <c r="D161" i="17"/>
  <c r="R102" i="16"/>
  <c r="N161" i="17"/>
  <c r="T73" i="17"/>
  <c r="T67" i="18" s="1"/>
  <c r="U88" i="50" s="1"/>
  <c r="U105" i="50" s="1"/>
  <c r="V102" i="16"/>
  <c r="L12" i="38"/>
  <c r="AB47" i="38"/>
  <c r="G146" i="17"/>
  <c r="G148" i="17" s="1"/>
  <c r="G149" i="17" s="1"/>
  <c r="X146" i="17"/>
  <c r="X148" i="17" s="1"/>
  <c r="X149" i="17" s="1"/>
  <c r="H143" i="17"/>
  <c r="Z161" i="17"/>
  <c r="V104" i="16"/>
  <c r="AM104" i="16"/>
  <c r="E161" i="17"/>
  <c r="V103" i="16"/>
  <c r="D83" i="11"/>
  <c r="D13" i="11" s="1"/>
  <c r="D14" i="11" s="1"/>
  <c r="Z101" i="16"/>
  <c r="V143" i="17"/>
  <c r="D47" i="38"/>
  <c r="N47" i="38"/>
  <c r="W12" i="38"/>
  <c r="O47" i="38"/>
  <c r="R35" i="38"/>
  <c r="G21" i="38"/>
  <c r="AA12" i="38"/>
  <c r="K47" i="38"/>
  <c r="AH103" i="16"/>
  <c r="AU46" i="11"/>
  <c r="AV46" i="11" s="1"/>
  <c r="R143" i="17"/>
  <c r="AH101" i="16"/>
  <c r="AT104" i="16"/>
  <c r="C21" i="38"/>
  <c r="I66" i="15"/>
  <c r="G47" i="38"/>
  <c r="F167" i="17"/>
  <c r="AA47" i="38"/>
  <c r="F47" i="38"/>
  <c r="C66" i="15"/>
  <c r="F21" i="38"/>
  <c r="D12" i="38"/>
  <c r="T54" i="50"/>
  <c r="I12" i="38"/>
  <c r="O21" i="38"/>
  <c r="J21" i="38"/>
  <c r="V146" i="17"/>
  <c r="V148" i="17" s="1"/>
  <c r="V149" i="17" s="1"/>
  <c r="AH102" i="16"/>
  <c r="S146" i="17"/>
  <c r="S148" i="17" s="1"/>
  <c r="S149" i="17" s="1"/>
  <c r="R66" i="50"/>
  <c r="X47" i="38"/>
  <c r="AB12" i="38"/>
  <c r="E66" i="15"/>
  <c r="M12" i="38"/>
  <c r="Q35" i="38"/>
  <c r="L61" i="1" s="1"/>
  <c r="S12" i="38"/>
  <c r="V12" i="38"/>
  <c r="K167" i="17"/>
  <c r="M21" i="38"/>
  <c r="P12" i="38"/>
  <c r="Y47" i="38"/>
  <c r="H12" i="38"/>
  <c r="E12" i="38"/>
  <c r="AC35" i="38"/>
  <c r="AD146" i="17"/>
  <c r="AD148" i="17" s="1"/>
  <c r="AD149" i="17" s="1"/>
  <c r="K146" i="17"/>
  <c r="K148" i="17" s="1"/>
  <c r="K149" i="17" s="1"/>
  <c r="T47" i="38"/>
  <c r="AG104" i="16"/>
  <c r="L21" i="38"/>
  <c r="Z104" i="16"/>
  <c r="Z102" i="16"/>
  <c r="AD21" i="38"/>
  <c r="AF35" i="38"/>
  <c r="O61" i="1" s="1"/>
  <c r="Z12" i="38"/>
  <c r="V47" i="38"/>
  <c r="J47" i="38"/>
  <c r="AC12" i="38"/>
  <c r="W35" i="38"/>
  <c r="P35" i="38"/>
  <c r="T12" i="38"/>
  <c r="AS103" i="16"/>
  <c r="J83" i="11"/>
  <c r="J26" i="11" s="1"/>
  <c r="J27" i="11" s="1"/>
  <c r="L47" i="38"/>
  <c r="Y143" i="17"/>
  <c r="Y35" i="38"/>
  <c r="M66" i="15"/>
  <c r="I143" i="17"/>
  <c r="Y12" i="38"/>
  <c r="J146" i="17"/>
  <c r="J148" i="17" s="1"/>
  <c r="J149" i="17" s="1"/>
  <c r="S103" i="16"/>
  <c r="Y104" i="16"/>
  <c r="AR103" i="16"/>
  <c r="AR101" i="16"/>
  <c r="AK104" i="16"/>
  <c r="AB66" i="15"/>
  <c r="AD103" i="16"/>
  <c r="AK103" i="16"/>
  <c r="AA35" i="38"/>
  <c r="Z47" i="38"/>
  <c r="V35" i="38"/>
  <c r="F66" i="15"/>
  <c r="I47" i="38"/>
  <c r="AD47" i="38"/>
  <c r="Z35" i="38"/>
  <c r="X35" i="38"/>
  <c r="R47" i="38"/>
  <c r="U104" i="16"/>
  <c r="F146" i="17"/>
  <c r="F148" i="17" s="1"/>
  <c r="U103" i="16"/>
  <c r="W104" i="16"/>
  <c r="AC73" i="17"/>
  <c r="AC42" i="35" s="1"/>
  <c r="AB54" i="50"/>
  <c r="F83" i="11"/>
  <c r="F74" i="11" s="1"/>
  <c r="F75" i="11" s="1"/>
  <c r="U101" i="16"/>
  <c r="AA21" i="38"/>
  <c r="T35" i="38"/>
  <c r="H47" i="38"/>
  <c r="AB32" i="17"/>
  <c r="AB18" i="35" s="1"/>
  <c r="X21" i="38"/>
  <c r="AL103" i="16"/>
  <c r="AF47" i="38"/>
  <c r="O62" i="1" s="1"/>
  <c r="Q47" i="38"/>
  <c r="L62" i="1" s="1"/>
  <c r="AD143" i="17"/>
  <c r="AF167" i="17"/>
  <c r="O143" i="17"/>
  <c r="AE12" i="38"/>
  <c r="AE35" i="38"/>
  <c r="AC66" i="15"/>
  <c r="V21" i="38"/>
  <c r="S66" i="15"/>
  <c r="U12" i="38"/>
  <c r="AD35" i="38"/>
  <c r="AD12" i="38"/>
  <c r="U47" i="38"/>
  <c r="AG59" i="50"/>
  <c r="I59" i="51"/>
  <c r="AV11" i="11"/>
  <c r="AB35" i="38"/>
  <c r="E47" i="38"/>
  <c r="AE47" i="38"/>
  <c r="C59" i="51"/>
  <c r="C59" i="50"/>
  <c r="U143" i="17"/>
  <c r="AD167" i="17"/>
  <c r="G68" i="51"/>
  <c r="W68" i="50"/>
  <c r="AA51" i="50"/>
  <c r="T143" i="17"/>
  <c r="E21" i="38"/>
  <c r="I146" i="17"/>
  <c r="I148" i="17" s="1"/>
  <c r="I149" i="17" s="1"/>
  <c r="G66" i="51"/>
  <c r="U161" i="17"/>
  <c r="AA161" i="17"/>
  <c r="I161" i="17"/>
  <c r="AB161" i="17"/>
  <c r="F161" i="17"/>
  <c r="AR102" i="16"/>
  <c r="Y103" i="16"/>
  <c r="P21" i="38"/>
  <c r="X101" i="16"/>
  <c r="AA167" i="17"/>
  <c r="AC146" i="17"/>
  <c r="AC148" i="17" s="1"/>
  <c r="AC149" i="17" s="1"/>
  <c r="AL104" i="16"/>
  <c r="W146" i="17"/>
  <c r="W148" i="17" s="1"/>
  <c r="W149" i="17" s="1"/>
  <c r="AT102" i="16"/>
  <c r="AT103" i="16"/>
  <c r="AE146" i="17"/>
  <c r="AE148" i="17" s="1"/>
  <c r="AE149" i="17" s="1"/>
  <c r="AE66" i="15"/>
  <c r="H70" i="50"/>
  <c r="X167" i="17"/>
  <c r="U66" i="15"/>
  <c r="G105" i="16"/>
  <c r="M143" i="17"/>
  <c r="V167" i="17"/>
  <c r="S47" i="38"/>
  <c r="AO46" i="11"/>
  <c r="E70" i="51"/>
  <c r="M70" i="50"/>
  <c r="F68" i="51"/>
  <c r="R68" i="50"/>
  <c r="C143" i="17"/>
  <c r="Q143" i="17"/>
  <c r="X102" i="16"/>
  <c r="L146" i="17"/>
  <c r="L148" i="17" s="1"/>
  <c r="L149" i="17" s="1"/>
  <c r="AA66" i="15"/>
  <c r="AL102" i="16"/>
  <c r="I167" i="17"/>
  <c r="AC143" i="17"/>
  <c r="T161" i="17"/>
  <c r="K161" i="17"/>
  <c r="Y161" i="17"/>
  <c r="M161" i="17"/>
  <c r="Y102" i="16"/>
  <c r="K143" i="17"/>
  <c r="X104" i="16"/>
  <c r="B143" i="17"/>
  <c r="AE167" i="17"/>
  <c r="Z73" i="18"/>
  <c r="T66" i="15"/>
  <c r="O66" i="15"/>
  <c r="P143" i="17"/>
  <c r="AC47" i="38"/>
  <c r="W47" i="38"/>
  <c r="Q66" i="15"/>
  <c r="AD66" i="15"/>
  <c r="G65" i="51"/>
  <c r="W65" i="50"/>
  <c r="R62" i="10"/>
  <c r="R73" i="18"/>
  <c r="AG71" i="50"/>
  <c r="I71" i="51"/>
  <c r="AV67" i="11"/>
  <c r="AB62" i="10"/>
  <c r="AB73" i="18"/>
  <c r="AC62" i="10"/>
  <c r="AC73" i="18"/>
  <c r="Z66" i="15"/>
  <c r="Z143" i="17"/>
  <c r="R21" i="38"/>
  <c r="P66" i="15"/>
  <c r="AG103" i="16"/>
  <c r="AM102" i="16"/>
  <c r="Z167" i="17"/>
  <c r="T21" i="38"/>
  <c r="AD101" i="16"/>
  <c r="AB143" i="17"/>
  <c r="AG101" i="16"/>
  <c r="R146" i="17"/>
  <c r="R148" i="17" s="1"/>
  <c r="R149" i="17" s="1"/>
  <c r="S95" i="16"/>
  <c r="S79" i="11" s="1"/>
  <c r="B21" i="38"/>
  <c r="I60" i="1" s="1"/>
  <c r="Y66" i="15"/>
  <c r="N167" i="17"/>
  <c r="AM101" i="16"/>
  <c r="AC21" i="38"/>
  <c r="G83" i="11"/>
  <c r="G26" i="11" s="1"/>
  <c r="G27" i="11" s="1"/>
  <c r="K83" i="11"/>
  <c r="K74" i="11" s="1"/>
  <c r="K75" i="11" s="1"/>
  <c r="C83" i="11"/>
  <c r="C26" i="11" s="1"/>
  <c r="C27" i="11" s="1"/>
  <c r="B83" i="11"/>
  <c r="B26" i="11" s="1"/>
  <c r="B27" i="11" s="1"/>
  <c r="L66" i="15"/>
  <c r="X66" i="15"/>
  <c r="V66" i="15"/>
  <c r="W66" i="15"/>
  <c r="N66" i="15"/>
  <c r="R66" i="15"/>
  <c r="AE143" i="17"/>
  <c r="K66" i="15"/>
  <c r="X143" i="17"/>
  <c r="AB102" i="16"/>
  <c r="L143" i="17"/>
  <c r="M146" i="17"/>
  <c r="M148" i="17" s="1"/>
  <c r="M149" i="17" s="1"/>
  <c r="AO104" i="16"/>
  <c r="W143" i="17"/>
  <c r="Z21" i="38"/>
  <c r="F105" i="16"/>
  <c r="O148" i="17"/>
  <c r="O149" i="17" s="1"/>
  <c r="AO101" i="16"/>
  <c r="AO103" i="16"/>
  <c r="AB104" i="16"/>
  <c r="AA143" i="17"/>
  <c r="AD104" i="16"/>
  <c r="S101" i="16"/>
  <c r="S98" i="16"/>
  <c r="S82" i="11" s="1"/>
  <c r="S21" i="38"/>
  <c r="Z148" i="17"/>
  <c r="Z149" i="17" s="1"/>
  <c r="AB101" i="16"/>
  <c r="W103" i="16"/>
  <c r="AB103" i="16"/>
  <c r="AF22" i="18"/>
  <c r="W101" i="16"/>
  <c r="W102" i="16"/>
  <c r="Y21" i="38"/>
  <c r="AO102" i="16"/>
  <c r="AD102" i="16"/>
  <c r="U21" i="38"/>
  <c r="S97" i="16"/>
  <c r="S81" i="11" s="1"/>
  <c r="S104" i="16"/>
  <c r="AF66" i="15"/>
  <c r="AA102" i="16"/>
  <c r="AA104" i="16"/>
  <c r="AA103" i="16"/>
  <c r="S102" i="16"/>
  <c r="S96" i="16"/>
  <c r="S80" i="11" s="1"/>
  <c r="H105" i="16"/>
  <c r="G63" i="51"/>
  <c r="W63" i="50"/>
  <c r="AS102" i="16"/>
  <c r="H83" i="11"/>
  <c r="H26" i="11" s="1"/>
  <c r="H27" i="11" s="1"/>
  <c r="AS104" i="16"/>
  <c r="B167" i="17"/>
  <c r="E83" i="11"/>
  <c r="E49" i="11" s="1"/>
  <c r="E50" i="11" s="1"/>
  <c r="L83" i="11"/>
  <c r="L13" i="11" s="1"/>
  <c r="L14" i="11" s="1"/>
  <c r="AS101" i="16"/>
  <c r="L28" i="35"/>
  <c r="K21" i="38"/>
  <c r="AB69" i="18"/>
  <c r="AC85" i="50" s="1"/>
  <c r="AC102" i="50" s="1"/>
  <c r="AB58" i="10"/>
  <c r="AC121" i="50" s="1"/>
  <c r="I21" i="38"/>
  <c r="B66" i="15"/>
  <c r="AE21" i="38"/>
  <c r="AF143" i="17"/>
  <c r="C105" i="16"/>
  <c r="E105" i="16"/>
  <c r="C63" i="51"/>
  <c r="C63" i="50"/>
  <c r="N103" i="16"/>
  <c r="N95" i="16"/>
  <c r="N79" i="11" s="1"/>
  <c r="K105" i="16"/>
  <c r="D63" i="51"/>
  <c r="H63" i="50"/>
  <c r="D105" i="16"/>
  <c r="AG63" i="50"/>
  <c r="I63" i="51"/>
  <c r="AV23" i="11"/>
  <c r="AE26" i="15"/>
  <c r="AE26" i="36" s="1"/>
  <c r="AE18" i="15"/>
  <c r="F28" i="35"/>
  <c r="AE10" i="15"/>
  <c r="AE10" i="36" s="1"/>
  <c r="AE49" i="15"/>
  <c r="AE153" i="17" s="1"/>
  <c r="AE158" i="17" s="1"/>
  <c r="AE40" i="15"/>
  <c r="AE77" i="17" s="1"/>
  <c r="H148" i="17"/>
  <c r="H149" i="17" s="1"/>
  <c r="AF21" i="38"/>
  <c r="O60" i="1" s="1"/>
  <c r="AD9" i="15"/>
  <c r="AD9" i="36" s="1"/>
  <c r="W35" i="50"/>
  <c r="W52" i="50" s="1"/>
  <c r="W36" i="50"/>
  <c r="W53" i="50" s="1"/>
  <c r="V29" i="17"/>
  <c r="V19" i="10" s="1"/>
  <c r="V18" i="15"/>
  <c r="V40" i="15"/>
  <c r="V77" i="17" s="1"/>
  <c r="V10" i="15"/>
  <c r="V10" i="36" s="1"/>
  <c r="V24" i="15"/>
  <c r="V24" i="36" s="1"/>
  <c r="H28" i="35"/>
  <c r="V49" i="15"/>
  <c r="V153" i="17" s="1"/>
  <c r="V158" i="17" s="1"/>
  <c r="V26" i="15"/>
  <c r="V55" i="17" s="1"/>
  <c r="V49" i="17"/>
  <c r="AC51" i="17"/>
  <c r="AC28" i="35" s="1"/>
  <c r="V74" i="17"/>
  <c r="V68" i="18" s="1"/>
  <c r="G87" i="51" s="1"/>
  <c r="G104" i="51" s="1"/>
  <c r="J44" i="35"/>
  <c r="R67" i="18"/>
  <c r="S88" i="50" s="1"/>
  <c r="S105" i="50" s="1"/>
  <c r="AD50" i="15"/>
  <c r="AD54" i="36" s="1"/>
  <c r="D18" i="35"/>
  <c r="AD16" i="15"/>
  <c r="AD31" i="17" s="1"/>
  <c r="AC75" i="17"/>
  <c r="AC69" i="18" s="1"/>
  <c r="AD85" i="50" s="1"/>
  <c r="AD102" i="50" s="1"/>
  <c r="V24" i="10"/>
  <c r="D16" i="15"/>
  <c r="D31" i="17" s="1"/>
  <c r="N42" i="35"/>
  <c r="R35" i="18"/>
  <c r="T58" i="10"/>
  <c r="U121" i="50" s="1"/>
  <c r="P67" i="18"/>
  <c r="Q88" i="50" s="1"/>
  <c r="Q105" i="50" s="1"/>
  <c r="L42" i="35"/>
  <c r="D40" i="15"/>
  <c r="D40" i="36" s="1"/>
  <c r="L67" i="18"/>
  <c r="E88" i="51" s="1"/>
  <c r="E105" i="51" s="1"/>
  <c r="D18" i="15"/>
  <c r="AE44" i="10"/>
  <c r="D9" i="15"/>
  <c r="D9" i="36" s="1"/>
  <c r="AE28" i="15"/>
  <c r="AE59" i="17" s="1"/>
  <c r="V16" i="15"/>
  <c r="V16" i="36" s="1"/>
  <c r="P69" i="18"/>
  <c r="Q85" i="50" s="1"/>
  <c r="Q102" i="50" s="1"/>
  <c r="AD51" i="17"/>
  <c r="AD35" i="18" s="1"/>
  <c r="V28" i="15"/>
  <c r="V59" i="17" s="1"/>
  <c r="AE24" i="10"/>
  <c r="D50" i="15"/>
  <c r="D53" i="36" s="1"/>
  <c r="AE47" i="15"/>
  <c r="V50" i="15"/>
  <c r="V154" i="17" s="1"/>
  <c r="V159" i="17" s="1"/>
  <c r="P58" i="10"/>
  <c r="Q121" i="50" s="1"/>
  <c r="V47" i="15"/>
  <c r="V56" i="36" s="1"/>
  <c r="V43" i="10"/>
  <c r="N18" i="35"/>
  <c r="T69" i="18"/>
  <c r="U85" i="50" s="1"/>
  <c r="U102" i="50" s="1"/>
  <c r="V41" i="10"/>
  <c r="AE41" i="10"/>
  <c r="D10" i="15"/>
  <c r="D10" i="36" s="1"/>
  <c r="B44" i="35"/>
  <c r="J18" i="35"/>
  <c r="D49" i="15"/>
  <c r="D49" i="36" s="1"/>
  <c r="D71" i="15" s="1"/>
  <c r="B69" i="18"/>
  <c r="C85" i="51" s="1"/>
  <c r="C102" i="51" s="1"/>
  <c r="D26" i="15"/>
  <c r="D54" i="17" s="1"/>
  <c r="AD28" i="15"/>
  <c r="AD59" i="17" s="1"/>
  <c r="R56" i="10"/>
  <c r="S124" i="50" s="1"/>
  <c r="J69" i="18"/>
  <c r="K85" i="50" s="1"/>
  <c r="K102" i="50" s="1"/>
  <c r="T18" i="35"/>
  <c r="AD32" i="17"/>
  <c r="AD22" i="10" s="1"/>
  <c r="N44" i="35"/>
  <c r="D58" i="10"/>
  <c r="E121" i="50" s="1"/>
  <c r="D44" i="35"/>
  <c r="D69" i="18"/>
  <c r="E85" i="50" s="1"/>
  <c r="E102" i="50" s="1"/>
  <c r="J42" i="35"/>
  <c r="J56" i="10"/>
  <c r="K124" i="50" s="1"/>
  <c r="J67" i="18"/>
  <c r="K88" i="50" s="1"/>
  <c r="K105" i="50" s="1"/>
  <c r="M83" i="11"/>
  <c r="M26" i="11" s="1"/>
  <c r="M27" i="11" s="1"/>
  <c r="V15" i="15"/>
  <c r="V34" i="15"/>
  <c r="V8" i="15"/>
  <c r="V23" i="15"/>
  <c r="O19" i="14"/>
  <c r="O23" i="14"/>
  <c r="O22" i="14"/>
  <c r="N35" i="15" s="1"/>
  <c r="O3" i="50"/>
  <c r="O21" i="14"/>
  <c r="O18" i="14"/>
  <c r="N38" i="15" s="1"/>
  <c r="O16" i="14"/>
  <c r="O17" i="14"/>
  <c r="O15" i="14"/>
  <c r="N36" i="15" s="1"/>
  <c r="C17" i="14"/>
  <c r="B36" i="15"/>
  <c r="C3" i="51"/>
  <c r="C23" i="14"/>
  <c r="B22" i="10" s="1"/>
  <c r="C22" i="14"/>
  <c r="B35" i="15" s="1"/>
  <c r="C21" i="14"/>
  <c r="C3" i="50"/>
  <c r="C18" i="14"/>
  <c r="B38" i="15" s="1"/>
  <c r="C19" i="14"/>
  <c r="C16" i="14"/>
  <c r="H63" i="51"/>
  <c r="AB63" i="50"/>
  <c r="B55" i="2"/>
  <c r="B60" i="2" s="1"/>
  <c r="S163" i="17" s="1"/>
  <c r="B54" i="2"/>
  <c r="B59" i="2" s="1"/>
  <c r="L162" i="17" s="1"/>
  <c r="M105" i="16"/>
  <c r="Z22" i="18"/>
  <c r="AG22" i="14"/>
  <c r="AF35" i="15" s="1"/>
  <c r="I3" i="51"/>
  <c r="AG3" i="50"/>
  <c r="AG21" i="14"/>
  <c r="AG18" i="14"/>
  <c r="AF38" i="15" s="1"/>
  <c r="AG23" i="14"/>
  <c r="AF22" i="10" s="1"/>
  <c r="AG19" i="14"/>
  <c r="AG15" i="14"/>
  <c r="AF36" i="15" s="1"/>
  <c r="AG16" i="14"/>
  <c r="AG17" i="14"/>
  <c r="L105" i="16"/>
  <c r="S15" i="14"/>
  <c r="R36" i="15" s="1"/>
  <c r="S21" i="14"/>
  <c r="S23" i="14"/>
  <c r="R34" i="10" s="1"/>
  <c r="S3" i="50"/>
  <c r="S22" i="14"/>
  <c r="R35" i="15" s="1"/>
  <c r="S16" i="14"/>
  <c r="S18" i="14"/>
  <c r="R38" i="15" s="1"/>
  <c r="S17" i="14"/>
  <c r="S19" i="14"/>
  <c r="Y146" i="17"/>
  <c r="Y148" i="17" s="1"/>
  <c r="Y149" i="17" s="1"/>
  <c r="AN104" i="16"/>
  <c r="AN101" i="16"/>
  <c r="AN103" i="16"/>
  <c r="AA15" i="14"/>
  <c r="Z36" i="15" s="1"/>
  <c r="AA21" i="14"/>
  <c r="AA22" i="14"/>
  <c r="Z35" i="15" s="1"/>
  <c r="AA23" i="14"/>
  <c r="Z22" i="10" s="1"/>
  <c r="AA3" i="50"/>
  <c r="AA17" i="14"/>
  <c r="AA18" i="14"/>
  <c r="Z38" i="15" s="1"/>
  <c r="AA16" i="14"/>
  <c r="AA19" i="14"/>
  <c r="AB21" i="38"/>
  <c r="J105" i="16"/>
  <c r="T146" i="17"/>
  <c r="T148" i="17" s="1"/>
  <c r="T149" i="17" s="1"/>
  <c r="AI103" i="16"/>
  <c r="AI101" i="16"/>
  <c r="AI104" i="16"/>
  <c r="AI102" i="16"/>
  <c r="E63" i="51"/>
  <c r="M63" i="50"/>
  <c r="B105" i="16"/>
  <c r="AB146" i="17"/>
  <c r="AB148" i="17" s="1"/>
  <c r="AB149" i="17" s="1"/>
  <c r="AQ104" i="16"/>
  <c r="AQ103" i="16"/>
  <c r="AQ101" i="16"/>
  <c r="K15" i="14"/>
  <c r="J36" i="15" s="1"/>
  <c r="K21" i="14"/>
  <c r="K23" i="14"/>
  <c r="J22" i="10" s="1"/>
  <c r="K22" i="14"/>
  <c r="J35" i="15" s="1"/>
  <c r="K3" i="50"/>
  <c r="K19" i="14"/>
  <c r="K18" i="14"/>
  <c r="J38" i="15" s="1"/>
  <c r="K17" i="14"/>
  <c r="K16" i="14"/>
  <c r="Q146" i="17"/>
  <c r="Q148" i="17" s="1"/>
  <c r="Q149" i="17" s="1"/>
  <c r="AF104" i="16"/>
  <c r="AF101" i="16"/>
  <c r="AF103" i="16"/>
  <c r="B42" i="35"/>
  <c r="AD24" i="10"/>
  <c r="AD41" i="10"/>
  <c r="AD47" i="15"/>
  <c r="AD151" i="17" s="1"/>
  <c r="B67" i="18"/>
  <c r="C88" i="51" s="1"/>
  <c r="C105" i="51" s="1"/>
  <c r="AD43" i="10"/>
  <c r="P42" i="35"/>
  <c r="D28" i="35"/>
  <c r="N67" i="18"/>
  <c r="O88" i="50" s="1"/>
  <c r="O105" i="50" s="1"/>
  <c r="D34" i="10"/>
  <c r="B22" i="18"/>
  <c r="L44" i="35"/>
  <c r="L58" i="10"/>
  <c r="L69" i="18"/>
  <c r="K34" i="50"/>
  <c r="K51" i="50" s="1"/>
  <c r="J28" i="35"/>
  <c r="J35" i="18"/>
  <c r="F56" i="10"/>
  <c r="G124" i="50" s="1"/>
  <c r="F67" i="18"/>
  <c r="G88" i="50" s="1"/>
  <c r="G105" i="50" s="1"/>
  <c r="G37" i="50"/>
  <c r="G54" i="50" s="1"/>
  <c r="F42" i="35"/>
  <c r="H56" i="10"/>
  <c r="I124" i="50" s="1"/>
  <c r="H67" i="18"/>
  <c r="I88" i="50" s="1"/>
  <c r="I105" i="50" s="1"/>
  <c r="I37" i="50"/>
  <c r="I54" i="50" s="1"/>
  <c r="H42" i="35"/>
  <c r="F98" i="1"/>
  <c r="C98" i="1" s="1"/>
  <c r="Y58" i="10"/>
  <c r="Z121" i="50" s="1"/>
  <c r="Y69" i="18"/>
  <c r="Z85" i="50" s="1"/>
  <c r="Z102" i="50" s="1"/>
  <c r="U58" i="10"/>
  <c r="V121" i="50" s="1"/>
  <c r="U69" i="18"/>
  <c r="V85" i="50" s="1"/>
  <c r="V102" i="50" s="1"/>
  <c r="D56" i="10"/>
  <c r="E124" i="50" s="1"/>
  <c r="D67" i="18"/>
  <c r="E88" i="50" s="1"/>
  <c r="E105" i="50" s="1"/>
  <c r="AD8" i="15"/>
  <c r="AD15" i="15"/>
  <c r="AD23" i="15"/>
  <c r="AD34" i="15"/>
  <c r="G58" i="10"/>
  <c r="G69" i="18"/>
  <c r="G44" i="35"/>
  <c r="C121" i="51"/>
  <c r="C121" i="50"/>
  <c r="AE29" i="17"/>
  <c r="AE36" i="36"/>
  <c r="AE49" i="17"/>
  <c r="AB8" i="15"/>
  <c r="AB23" i="15"/>
  <c r="AE71" i="17"/>
  <c r="AE35" i="36"/>
  <c r="AE152" i="17"/>
  <c r="AE157" i="17" s="1"/>
  <c r="AE55" i="36"/>
  <c r="AE31" i="17"/>
  <c r="AE30" i="17"/>
  <c r="AE16" i="36"/>
  <c r="Y22" i="18"/>
  <c r="Y18" i="35"/>
  <c r="D50" i="17"/>
  <c r="D24" i="36"/>
  <c r="E56" i="10"/>
  <c r="F124" i="50" s="1"/>
  <c r="E67" i="18"/>
  <c r="F88" i="50" s="1"/>
  <c r="F105" i="50" s="1"/>
  <c r="E42" i="35"/>
  <c r="F18" i="14"/>
  <c r="E38" i="15" s="1"/>
  <c r="E36" i="15"/>
  <c r="F17" i="14"/>
  <c r="F21" i="14"/>
  <c r="F22" i="14"/>
  <c r="E35" i="15" s="1"/>
  <c r="F23" i="14"/>
  <c r="E22" i="10" s="1"/>
  <c r="F3" i="50"/>
  <c r="F16" i="14"/>
  <c r="F19" i="14"/>
  <c r="X38" i="36"/>
  <c r="X74" i="17"/>
  <c r="D59" i="17"/>
  <c r="D28" i="36"/>
  <c r="K22" i="18"/>
  <c r="K18" i="35"/>
  <c r="K56" i="10"/>
  <c r="L124" i="50" s="1"/>
  <c r="K67" i="18"/>
  <c r="L88" i="50" s="1"/>
  <c r="L105" i="50" s="1"/>
  <c r="K42" i="35"/>
  <c r="S58" i="10"/>
  <c r="T121" i="50" s="1"/>
  <c r="S69" i="18"/>
  <c r="T85" i="50" s="1"/>
  <c r="T102" i="50" s="1"/>
  <c r="S44" i="35"/>
  <c r="T18" i="14"/>
  <c r="S38" i="15" s="1"/>
  <c r="T15" i="14"/>
  <c r="S36" i="15" s="1"/>
  <c r="T23" i="14"/>
  <c r="S22" i="10" s="1"/>
  <c r="T22" i="14"/>
  <c r="S35" i="15" s="1"/>
  <c r="T21" i="14"/>
  <c r="T3" i="50"/>
  <c r="T17" i="14"/>
  <c r="T16" i="14"/>
  <c r="T19" i="14"/>
  <c r="Y44" i="35"/>
  <c r="AD10" i="36"/>
  <c r="P154" i="17"/>
  <c r="P159" i="17" s="1"/>
  <c r="P54" i="36"/>
  <c r="P53" i="36"/>
  <c r="I58" i="10"/>
  <c r="J121" i="50" s="1"/>
  <c r="I69" i="18"/>
  <c r="J85" i="50" s="1"/>
  <c r="J102" i="50" s="1"/>
  <c r="I44" i="35"/>
  <c r="Q35" i="18"/>
  <c r="Q28" i="35"/>
  <c r="E124" i="51"/>
  <c r="M124" i="50"/>
  <c r="U44" i="35"/>
  <c r="X34" i="15"/>
  <c r="AD40" i="36"/>
  <c r="AD77" i="17"/>
  <c r="AD78" i="17"/>
  <c r="AD18" i="36"/>
  <c r="AD71" i="17"/>
  <c r="AD35" i="36"/>
  <c r="O56" i="10"/>
  <c r="P124" i="50" s="1"/>
  <c r="O67" i="18"/>
  <c r="P88" i="50" s="1"/>
  <c r="P105" i="50" s="1"/>
  <c r="O42" i="35"/>
  <c r="I105" i="16"/>
  <c r="D22" i="10"/>
  <c r="AF58" i="10"/>
  <c r="AF69" i="18"/>
  <c r="D71" i="17"/>
  <c r="D35" i="36"/>
  <c r="D38" i="36"/>
  <c r="D74" i="17"/>
  <c r="D152" i="17"/>
  <c r="D157" i="17" s="1"/>
  <c r="D48" i="36"/>
  <c r="D70" i="15" s="1"/>
  <c r="D55" i="36"/>
  <c r="G22" i="18"/>
  <c r="G18" i="35"/>
  <c r="O35" i="18"/>
  <c r="O28" i="35"/>
  <c r="P18" i="14"/>
  <c r="O38" i="15" s="1"/>
  <c r="P15" i="14"/>
  <c r="O36" i="15" s="1"/>
  <c r="P23" i="14"/>
  <c r="O34" i="10" s="1"/>
  <c r="P22" i="14"/>
  <c r="O35" i="15" s="1"/>
  <c r="P21" i="14"/>
  <c r="P3" i="50"/>
  <c r="P16" i="14"/>
  <c r="P17" i="14"/>
  <c r="P19" i="14"/>
  <c r="AE23" i="15"/>
  <c r="AE34" i="15"/>
  <c r="AE15" i="15"/>
  <c r="AE8" i="15"/>
  <c r="AE154" i="17"/>
  <c r="AE159" i="17" s="1"/>
  <c r="AE53" i="36"/>
  <c r="AE54" i="36"/>
  <c r="J19" i="14"/>
  <c r="J18" i="14"/>
  <c r="I38" i="15" s="1"/>
  <c r="J15" i="14"/>
  <c r="I36" i="15" s="1"/>
  <c r="J21" i="14"/>
  <c r="J22" i="14"/>
  <c r="I35" i="15" s="1"/>
  <c r="J23" i="14"/>
  <c r="J3" i="50"/>
  <c r="J16" i="14"/>
  <c r="J17" i="14"/>
  <c r="Q58" i="10"/>
  <c r="Q69" i="18"/>
  <c r="Q44" i="35"/>
  <c r="N97" i="16"/>
  <c r="N81" i="11" s="1"/>
  <c r="N101" i="16"/>
  <c r="N104" i="16"/>
  <c r="N102" i="16"/>
  <c r="N98" i="16"/>
  <c r="N82" i="11" s="1"/>
  <c r="N96" i="16"/>
  <c r="N80" i="11" s="1"/>
  <c r="P97" i="16"/>
  <c r="P81" i="11" s="1"/>
  <c r="P102" i="16"/>
  <c r="P101" i="16"/>
  <c r="P104" i="16"/>
  <c r="P95" i="16"/>
  <c r="P79" i="11" s="1"/>
  <c r="P98" i="16"/>
  <c r="P82" i="11" s="1"/>
  <c r="P96" i="16"/>
  <c r="P80" i="11" s="1"/>
  <c r="E22" i="18"/>
  <c r="E18" i="35"/>
  <c r="V18" i="14"/>
  <c r="U38" i="15" s="1"/>
  <c r="V15" i="14"/>
  <c r="U36" i="15" s="1"/>
  <c r="V23" i="14"/>
  <c r="V22" i="14"/>
  <c r="U35" i="15" s="1"/>
  <c r="V21" i="14"/>
  <c r="V3" i="50"/>
  <c r="V19" i="14"/>
  <c r="V16" i="14"/>
  <c r="V17" i="14"/>
  <c r="C124" i="51"/>
  <c r="C124" i="50"/>
  <c r="B35" i="18"/>
  <c r="I34" i="51"/>
  <c r="I51" i="51" s="1"/>
  <c r="AG34" i="50"/>
  <c r="AG51" i="50" s="1"/>
  <c r="V9" i="17"/>
  <c r="V9" i="36"/>
  <c r="V10" i="17"/>
  <c r="D151" i="17"/>
  <c r="D156" i="17" s="1"/>
  <c r="D56" i="36"/>
  <c r="D47" i="36"/>
  <c r="D69" i="15" s="1"/>
  <c r="AA148" i="17"/>
  <c r="AB18" i="14"/>
  <c r="AA38" i="15" s="1"/>
  <c r="AB15" i="14"/>
  <c r="AA36" i="15" s="1"/>
  <c r="AB23" i="14"/>
  <c r="AB21" i="14"/>
  <c r="AB22" i="14"/>
  <c r="AA35" i="15" s="1"/>
  <c r="AB3" i="50"/>
  <c r="H3" i="51"/>
  <c r="AB19" i="14"/>
  <c r="AB16" i="14"/>
  <c r="AB17" i="14"/>
  <c r="AF44" i="35"/>
  <c r="N18" i="14"/>
  <c r="M38" i="15" s="1"/>
  <c r="N15" i="14"/>
  <c r="M36" i="15" s="1"/>
  <c r="N23" i="14"/>
  <c r="N21" i="14"/>
  <c r="N22" i="14"/>
  <c r="M35" i="15" s="1"/>
  <c r="N3" i="50"/>
  <c r="N16" i="14"/>
  <c r="N17" i="14"/>
  <c r="N19" i="14"/>
  <c r="P9" i="36"/>
  <c r="P10" i="17"/>
  <c r="P9" i="17"/>
  <c r="G35" i="18"/>
  <c r="G28" i="35"/>
  <c r="O97" i="16"/>
  <c r="O81" i="11" s="1"/>
  <c r="O95" i="16"/>
  <c r="O79" i="11" s="1"/>
  <c r="O96" i="16"/>
  <c r="O80" i="11" s="1"/>
  <c r="O98" i="16"/>
  <c r="O82" i="11" s="1"/>
  <c r="O102" i="16"/>
  <c r="O104" i="16"/>
  <c r="O101" i="16"/>
  <c r="AE24" i="36"/>
  <c r="AE50" i="17"/>
  <c r="Q22" i="18"/>
  <c r="Q18" i="35"/>
  <c r="Z18" i="14"/>
  <c r="Y38" i="15" s="1"/>
  <c r="Z15" i="14"/>
  <c r="Y36" i="15" s="1"/>
  <c r="Z23" i="14"/>
  <c r="Z21" i="14"/>
  <c r="Z22" i="14"/>
  <c r="Y35" i="15" s="1"/>
  <c r="Z3" i="50"/>
  <c r="Z16" i="14"/>
  <c r="Z19" i="14"/>
  <c r="Z17" i="14"/>
  <c r="M22" i="18"/>
  <c r="V152" i="17"/>
  <c r="V157" i="17" s="1"/>
  <c r="V55" i="36"/>
  <c r="C18" i="35"/>
  <c r="C22" i="18"/>
  <c r="L18" i="14"/>
  <c r="K38" i="15" s="1"/>
  <c r="L15" i="14"/>
  <c r="K36" i="15" s="1"/>
  <c r="L23" i="14"/>
  <c r="K22" i="10" s="1"/>
  <c r="L22" i="14"/>
  <c r="K35" i="15" s="1"/>
  <c r="L21" i="14"/>
  <c r="L3" i="50"/>
  <c r="L19" i="14"/>
  <c r="L16" i="14"/>
  <c r="L17" i="14"/>
  <c r="AB16" i="36"/>
  <c r="AB31" i="17"/>
  <c r="AB30" i="17"/>
  <c r="D49" i="17"/>
  <c r="D29" i="17"/>
  <c r="D36" i="36"/>
  <c r="G56" i="10"/>
  <c r="G67" i="18"/>
  <c r="G42" i="35"/>
  <c r="H18" i="14"/>
  <c r="G38" i="15" s="1"/>
  <c r="H15" i="14"/>
  <c r="G36" i="15" s="1"/>
  <c r="H21" i="14"/>
  <c r="H22" i="14"/>
  <c r="G35" i="15" s="1"/>
  <c r="H23" i="14"/>
  <c r="G22" i="10" s="1"/>
  <c r="H3" i="50"/>
  <c r="D3" i="51"/>
  <c r="H16" i="14"/>
  <c r="H17" i="14"/>
  <c r="H19" i="14"/>
  <c r="B146" i="17"/>
  <c r="B148" i="17" s="1"/>
  <c r="B149" i="17" s="1"/>
  <c r="Q97" i="16"/>
  <c r="Q81" i="11" s="1"/>
  <c r="Q98" i="16"/>
  <c r="Q82" i="11" s="1"/>
  <c r="Q95" i="16"/>
  <c r="Q79" i="11" s="1"/>
  <c r="Q96" i="16"/>
  <c r="Q80" i="11" s="1"/>
  <c r="Q101" i="16"/>
  <c r="Q102" i="16"/>
  <c r="Q104" i="16"/>
  <c r="E37" i="50"/>
  <c r="E54" i="50" s="1"/>
  <c r="D42" i="35"/>
  <c r="D8" i="15"/>
  <c r="D15" i="15"/>
  <c r="D23" i="15"/>
  <c r="D34" i="15"/>
  <c r="AD49" i="17"/>
  <c r="AD36" i="36"/>
  <c r="AD29" i="17"/>
  <c r="AD38" i="36"/>
  <c r="AD74" i="17"/>
  <c r="X18" i="14"/>
  <c r="W38" i="15" s="1"/>
  <c r="X15" i="14"/>
  <c r="W36" i="15" s="1"/>
  <c r="X23" i="14"/>
  <c r="X21" i="14"/>
  <c r="X22" i="14"/>
  <c r="W35" i="15" s="1"/>
  <c r="X3" i="50"/>
  <c r="X16" i="14"/>
  <c r="X17" i="14"/>
  <c r="X19" i="14"/>
  <c r="I83" i="11"/>
  <c r="AE74" i="17"/>
  <c r="AE38" i="36"/>
  <c r="AE9" i="17"/>
  <c r="AE10" i="17"/>
  <c r="AE9" i="36"/>
  <c r="T9" i="36"/>
  <c r="T10" i="17"/>
  <c r="T9" i="17"/>
  <c r="I56" i="10"/>
  <c r="J124" i="50" s="1"/>
  <c r="I67" i="18"/>
  <c r="J88" i="50" s="1"/>
  <c r="J105" i="50" s="1"/>
  <c r="I42" i="35"/>
  <c r="R18" i="14"/>
  <c r="Q38" i="15" s="1"/>
  <c r="R15" i="14"/>
  <c r="Q36" i="15" s="1"/>
  <c r="R23" i="14"/>
  <c r="Q34" i="10" s="1"/>
  <c r="R22" i="14"/>
  <c r="Q35" i="15" s="1"/>
  <c r="R21" i="14"/>
  <c r="F3" i="51"/>
  <c r="R3" i="50"/>
  <c r="R17" i="14"/>
  <c r="R19" i="14"/>
  <c r="R16" i="14"/>
  <c r="AF146" i="17"/>
  <c r="AF148" i="17" s="1"/>
  <c r="AU103" i="16"/>
  <c r="AU104" i="16"/>
  <c r="AU101" i="16"/>
  <c r="AD50" i="17"/>
  <c r="AD24" i="36"/>
  <c r="H9" i="36"/>
  <c r="H9" i="17"/>
  <c r="H10" i="17"/>
  <c r="C34" i="50"/>
  <c r="C51" i="50" s="1"/>
  <c r="C34" i="51"/>
  <c r="C51" i="51" s="1"/>
  <c r="K73" i="1"/>
  <c r="L73" i="1" s="1"/>
  <c r="B28" i="35"/>
  <c r="M18" i="35"/>
  <c r="C56" i="10"/>
  <c r="D124" i="50" s="1"/>
  <c r="C67" i="18"/>
  <c r="D88" i="50" s="1"/>
  <c r="D105" i="50" s="1"/>
  <c r="C42" i="35"/>
  <c r="D17" i="14"/>
  <c r="D18" i="14"/>
  <c r="C38" i="15" s="1"/>
  <c r="D15" i="14"/>
  <c r="C36" i="15" s="1"/>
  <c r="D19" i="14"/>
  <c r="D21" i="14"/>
  <c r="D22" i="14"/>
  <c r="C35" i="15" s="1"/>
  <c r="D23" i="14"/>
  <c r="D3" i="50"/>
  <c r="D16" i="14"/>
  <c r="S22" i="18"/>
  <c r="S18" i="35"/>
  <c r="AD18" i="14"/>
  <c r="AC38" i="15" s="1"/>
  <c r="AD21" i="14"/>
  <c r="AD22" i="14"/>
  <c r="AC35" i="15" s="1"/>
  <c r="AD15" i="14"/>
  <c r="AC36" i="15" s="1"/>
  <c r="AD23" i="14"/>
  <c r="AD3" i="50"/>
  <c r="AD17" i="14"/>
  <c r="AD19" i="14"/>
  <c r="AD16" i="14"/>
  <c r="P103" i="16"/>
  <c r="AD56" i="17"/>
  <c r="AD55" i="17"/>
  <c r="AD26" i="36"/>
  <c r="AD54" i="17"/>
  <c r="AD53" i="17"/>
  <c r="AD152" i="17"/>
  <c r="AD157" i="17" s="1"/>
  <c r="AD55" i="36"/>
  <c r="N58" i="10" l="1"/>
  <c r="O121" i="50" s="1"/>
  <c r="I18" i="35"/>
  <c r="O22" i="18"/>
  <c r="F18" i="35"/>
  <c r="I35" i="18"/>
  <c r="U18" i="35"/>
  <c r="L18" i="35"/>
  <c r="AE69" i="18"/>
  <c r="AF85" i="50" s="1"/>
  <c r="AF102" i="50" s="1"/>
  <c r="AG69" i="18"/>
  <c r="I22" i="10"/>
  <c r="AE58" i="10"/>
  <c r="AF121" i="50" s="1"/>
  <c r="P38" i="36"/>
  <c r="P43" i="35" s="1"/>
  <c r="T28" i="35"/>
  <c r="P29" i="17"/>
  <c r="P19" i="10" s="1"/>
  <c r="H18" i="35"/>
  <c r="X49" i="17"/>
  <c r="X32" i="10" s="1"/>
  <c r="H154" i="17"/>
  <c r="H159" i="17" s="1"/>
  <c r="H175" i="17" s="1"/>
  <c r="H16" i="36"/>
  <c r="I28" i="50" s="1"/>
  <c r="I45" i="50" s="1"/>
  <c r="V65" i="18"/>
  <c r="X35" i="36"/>
  <c r="X40" i="35" s="1"/>
  <c r="Q42" i="35"/>
  <c r="Q67" i="18"/>
  <c r="R88" i="50" s="1"/>
  <c r="R105" i="50" s="1"/>
  <c r="L22" i="10"/>
  <c r="AB34" i="15"/>
  <c r="AB34" i="36" s="1"/>
  <c r="T154" i="17"/>
  <c r="T159" i="17" s="1"/>
  <c r="T175" i="17" s="1"/>
  <c r="F69" i="18"/>
  <c r="G85" i="50" s="1"/>
  <c r="G102" i="50" s="1"/>
  <c r="H50" i="17"/>
  <c r="H34" i="18" s="1"/>
  <c r="I82" i="50" s="1"/>
  <c r="I99" i="50" s="1"/>
  <c r="Z69" i="18"/>
  <c r="AA85" i="50" s="1"/>
  <c r="AA102" i="50" s="1"/>
  <c r="T38" i="36"/>
  <c r="T43" i="35" s="1"/>
  <c r="X43" i="10"/>
  <c r="AF56" i="10"/>
  <c r="AG124" i="50" s="1"/>
  <c r="AF28" i="35"/>
  <c r="P8" i="15"/>
  <c r="P8" i="17" s="1"/>
  <c r="P36" i="36"/>
  <c r="P26" i="35" s="1"/>
  <c r="F58" i="10"/>
  <c r="G121" i="50" s="1"/>
  <c r="H38" i="36"/>
  <c r="I36" i="50" s="1"/>
  <c r="I53" i="50" s="1"/>
  <c r="V58" i="10"/>
  <c r="G121" i="51" s="1"/>
  <c r="K35" i="18"/>
  <c r="P18" i="15"/>
  <c r="P18" i="36" s="1"/>
  <c r="W22" i="18"/>
  <c r="X36" i="36"/>
  <c r="Y35" i="50" s="1"/>
  <c r="Y52" i="50" s="1"/>
  <c r="X8" i="15"/>
  <c r="X8" i="17" s="1"/>
  <c r="H53" i="36"/>
  <c r="M56" i="10"/>
  <c r="N124" i="50" s="1"/>
  <c r="P24" i="10"/>
  <c r="X47" i="15"/>
  <c r="X151" i="17" s="1"/>
  <c r="X156" i="17" s="1"/>
  <c r="X172" i="17" s="1"/>
  <c r="X23" i="15"/>
  <c r="X23" i="36" s="1"/>
  <c r="M42" i="35"/>
  <c r="H31" i="17"/>
  <c r="H21" i="18" s="1"/>
  <c r="I79" i="50" s="1"/>
  <c r="I96" i="50" s="1"/>
  <c r="V40" i="35"/>
  <c r="X44" i="10"/>
  <c r="X28" i="15"/>
  <c r="X28" i="36" s="1"/>
  <c r="T34" i="10"/>
  <c r="X24" i="10"/>
  <c r="H8" i="15"/>
  <c r="H8" i="17" s="1"/>
  <c r="Q83" i="11"/>
  <c r="I42" i="1" s="1"/>
  <c r="M58" i="10"/>
  <c r="N121" i="50" s="1"/>
  <c r="E69" i="18"/>
  <c r="F85" i="50" s="1"/>
  <c r="F102" i="50" s="1"/>
  <c r="X24" i="36"/>
  <c r="X27" i="35" s="1"/>
  <c r="X16" i="36"/>
  <c r="Y28" i="50" s="1"/>
  <c r="Y45" i="50" s="1"/>
  <c r="F28" i="36"/>
  <c r="F31" i="35" s="1"/>
  <c r="F24" i="10"/>
  <c r="P40" i="15"/>
  <c r="P78" i="17" s="1"/>
  <c r="E28" i="35"/>
  <c r="M69" i="18"/>
  <c r="N85" i="50" s="1"/>
  <c r="N102" i="50" s="1"/>
  <c r="E58" i="10"/>
  <c r="F121" i="50" s="1"/>
  <c r="S28" i="35"/>
  <c r="W34" i="10"/>
  <c r="W28" i="35"/>
  <c r="AA58" i="10"/>
  <c r="AB121" i="50" s="1"/>
  <c r="V44" i="35"/>
  <c r="K44" i="35"/>
  <c r="C69" i="18"/>
  <c r="D85" i="50" s="1"/>
  <c r="D102" i="50" s="1"/>
  <c r="Z58" i="10"/>
  <c r="AA121" i="50" s="1"/>
  <c r="AB10" i="15"/>
  <c r="AB10" i="36" s="1"/>
  <c r="H69" i="18"/>
  <c r="I85" i="50" s="1"/>
  <c r="I102" i="50" s="1"/>
  <c r="X50" i="15"/>
  <c r="X154" i="17" s="1"/>
  <c r="X159" i="17" s="1"/>
  <c r="X175" i="17" s="1"/>
  <c r="T10" i="15"/>
  <c r="T10" i="36" s="1"/>
  <c r="F44" i="10"/>
  <c r="H28" i="15"/>
  <c r="H59" i="17" s="1"/>
  <c r="H43" i="18" s="1"/>
  <c r="H46" i="18" s="1"/>
  <c r="X44" i="35"/>
  <c r="L24" i="15"/>
  <c r="L24" i="36" s="1"/>
  <c r="L154" i="17"/>
  <c r="L159" i="17" s="1"/>
  <c r="L175" i="17" s="1"/>
  <c r="F74" i="17"/>
  <c r="F57" i="10" s="1"/>
  <c r="G123" i="50" s="1"/>
  <c r="F50" i="15"/>
  <c r="F154" i="17" s="1"/>
  <c r="F159" i="17" s="1"/>
  <c r="F175" i="17" s="1"/>
  <c r="F40" i="35"/>
  <c r="F65" i="18"/>
  <c r="P24" i="36"/>
  <c r="P27" i="35" s="1"/>
  <c r="AB53" i="36"/>
  <c r="L36" i="36"/>
  <c r="E35" i="51" s="1"/>
  <c r="E52" i="51" s="1"/>
  <c r="AB38" i="36"/>
  <c r="AC36" i="50" s="1"/>
  <c r="AC53" i="50" s="1"/>
  <c r="W42" i="35"/>
  <c r="AB154" i="17"/>
  <c r="AB159" i="17" s="1"/>
  <c r="AB175" i="17" s="1"/>
  <c r="H36" i="36"/>
  <c r="P31" i="17"/>
  <c r="P21" i="10" s="1"/>
  <c r="Q115" i="50" s="1"/>
  <c r="L49" i="17"/>
  <c r="L32" i="10" s="1"/>
  <c r="X69" i="18"/>
  <c r="Y85" i="50" s="1"/>
  <c r="Y102" i="50" s="1"/>
  <c r="F50" i="17"/>
  <c r="F34" i="18" s="1"/>
  <c r="G82" i="50" s="1"/>
  <c r="G99" i="50" s="1"/>
  <c r="H24" i="10"/>
  <c r="H41" i="10"/>
  <c r="L16" i="15"/>
  <c r="L31" i="17" s="1"/>
  <c r="L21" i="18" s="1"/>
  <c r="F16" i="15"/>
  <c r="F30" i="17" s="1"/>
  <c r="F20" i="10" s="1"/>
  <c r="AB48" i="15"/>
  <c r="AB152" i="17" s="1"/>
  <c r="AB157" i="17" s="1"/>
  <c r="L54" i="36"/>
  <c r="H29" i="17"/>
  <c r="H19" i="10" s="1"/>
  <c r="P30" i="17"/>
  <c r="P20" i="18" s="1"/>
  <c r="H56" i="36"/>
  <c r="H43" i="10"/>
  <c r="L9" i="15"/>
  <c r="L9" i="17" s="1"/>
  <c r="L9" i="10" s="1"/>
  <c r="AB26" i="15"/>
  <c r="AB56" i="17" s="1"/>
  <c r="AB39" i="10" s="1"/>
  <c r="AB49" i="15"/>
  <c r="AB153" i="17" s="1"/>
  <c r="AB158" i="17" s="1"/>
  <c r="W67" i="18"/>
  <c r="X88" i="50" s="1"/>
  <c r="X105" i="50" s="1"/>
  <c r="H71" i="17"/>
  <c r="H40" i="35" s="1"/>
  <c r="H44" i="10"/>
  <c r="AB40" i="15"/>
  <c r="AB40" i="36" s="1"/>
  <c r="X48" i="15"/>
  <c r="X152" i="17" s="1"/>
  <c r="X157" i="17" s="1"/>
  <c r="T55" i="36"/>
  <c r="L23" i="15"/>
  <c r="L23" i="36" s="1"/>
  <c r="AB36" i="36"/>
  <c r="AC35" i="50" s="1"/>
  <c r="AC52" i="50" s="1"/>
  <c r="X34" i="10"/>
  <c r="H49" i="15"/>
  <c r="H153" i="17" s="1"/>
  <c r="H158" i="17" s="1"/>
  <c r="X26" i="15"/>
  <c r="X54" i="17" s="1"/>
  <c r="X37" i="10" s="1"/>
  <c r="Y119" i="50" s="1"/>
  <c r="X22" i="10"/>
  <c r="X18" i="35"/>
  <c r="H40" i="15"/>
  <c r="H40" i="36" s="1"/>
  <c r="H48" i="15"/>
  <c r="H152" i="17" s="1"/>
  <c r="H157" i="17" s="1"/>
  <c r="X28" i="35"/>
  <c r="F41" i="10"/>
  <c r="H10" i="15"/>
  <c r="H10" i="36" s="1"/>
  <c r="X18" i="15"/>
  <c r="X18" i="36" s="1"/>
  <c r="H22" i="10"/>
  <c r="T40" i="15"/>
  <c r="T78" i="17" s="1"/>
  <c r="T72" i="18" s="1"/>
  <c r="T18" i="15"/>
  <c r="T18" i="36" s="1"/>
  <c r="H26" i="15"/>
  <c r="H54" i="17" s="1"/>
  <c r="H38" i="18" s="1"/>
  <c r="I83" i="50" s="1"/>
  <c r="I100" i="50" s="1"/>
  <c r="X10" i="15"/>
  <c r="X10" i="36" s="1"/>
  <c r="X40" i="15"/>
  <c r="X78" i="17" s="1"/>
  <c r="X61" i="10" s="1"/>
  <c r="K69" i="18"/>
  <c r="L85" i="50" s="1"/>
  <c r="L102" i="50" s="1"/>
  <c r="C34" i="10"/>
  <c r="AF35" i="18"/>
  <c r="AG35" i="18" s="1"/>
  <c r="T50" i="17"/>
  <c r="T27" i="35" s="1"/>
  <c r="P10" i="15"/>
  <c r="P10" i="36" s="1"/>
  <c r="H34" i="15"/>
  <c r="H70" i="17" s="1"/>
  <c r="P34" i="15"/>
  <c r="P34" i="36" s="1"/>
  <c r="T31" i="17"/>
  <c r="T21" i="10" s="1"/>
  <c r="U115" i="50" s="1"/>
  <c r="F34" i="15"/>
  <c r="F70" i="17" s="1"/>
  <c r="L59" i="17"/>
  <c r="L43" i="18" s="1"/>
  <c r="L46" i="18" s="1"/>
  <c r="C28" i="35"/>
  <c r="T54" i="36"/>
  <c r="P49" i="15"/>
  <c r="P153" i="17" s="1"/>
  <c r="P158" i="17" s="1"/>
  <c r="X30" i="17"/>
  <c r="X20" i="10" s="1"/>
  <c r="H23" i="15"/>
  <c r="H48" i="17" s="1"/>
  <c r="P23" i="15"/>
  <c r="P48" i="17" s="1"/>
  <c r="T16" i="36"/>
  <c r="U28" i="50" s="1"/>
  <c r="U45" i="50" s="1"/>
  <c r="F8" i="15"/>
  <c r="F8" i="36" s="1"/>
  <c r="P35" i="36"/>
  <c r="P40" i="35" s="1"/>
  <c r="P26" i="15"/>
  <c r="P56" i="17" s="1"/>
  <c r="AA44" i="35"/>
  <c r="H44" i="35"/>
  <c r="F48" i="17"/>
  <c r="F32" i="18" s="1"/>
  <c r="V18" i="35"/>
  <c r="V22" i="10"/>
  <c r="X9" i="15"/>
  <c r="X9" i="36" s="1"/>
  <c r="C58" i="10"/>
  <c r="D121" i="50" s="1"/>
  <c r="P28" i="15"/>
  <c r="P28" i="36" s="1"/>
  <c r="AB35" i="36"/>
  <c r="AB40" i="35" s="1"/>
  <c r="AB24" i="36"/>
  <c r="AB27" i="35" s="1"/>
  <c r="W44" i="35"/>
  <c r="P43" i="10"/>
  <c r="P47" i="15"/>
  <c r="P56" i="36" s="1"/>
  <c r="W69" i="18"/>
  <c r="X85" i="50" s="1"/>
  <c r="X102" i="50" s="1"/>
  <c r="AB43" i="10"/>
  <c r="AB41" i="10"/>
  <c r="AB28" i="15"/>
  <c r="AB28" i="36" s="1"/>
  <c r="AB44" i="10"/>
  <c r="AB56" i="36"/>
  <c r="P41" i="10"/>
  <c r="AB24" i="10"/>
  <c r="Z42" i="35"/>
  <c r="T49" i="17"/>
  <c r="T32" i="10" s="1"/>
  <c r="AA18" i="35"/>
  <c r="AB9" i="17"/>
  <c r="AB9" i="10" s="1"/>
  <c r="AB29" i="17"/>
  <c r="T43" i="10"/>
  <c r="T28" i="15"/>
  <c r="T28" i="36" s="1"/>
  <c r="AB10" i="17"/>
  <c r="AB10" i="10" s="1"/>
  <c r="L35" i="36"/>
  <c r="L40" i="35" s="1"/>
  <c r="F22" i="10"/>
  <c r="Z56" i="10"/>
  <c r="AA124" i="50" s="1"/>
  <c r="T23" i="15"/>
  <c r="T48" i="17" s="1"/>
  <c r="F9" i="15"/>
  <c r="F9" i="36" s="1"/>
  <c r="T26" i="15"/>
  <c r="T56" i="17" s="1"/>
  <c r="T39" i="10" s="1"/>
  <c r="F49" i="17"/>
  <c r="F32" i="10" s="1"/>
  <c r="L74" i="17"/>
  <c r="L57" i="10" s="1"/>
  <c r="T35" i="36"/>
  <c r="T40" i="35" s="1"/>
  <c r="F18" i="15"/>
  <c r="F18" i="36" s="1"/>
  <c r="F40" i="15"/>
  <c r="F40" i="36" s="1"/>
  <c r="T49" i="15"/>
  <c r="T153" i="17" s="1"/>
  <c r="T158" i="17" s="1"/>
  <c r="F43" i="10"/>
  <c r="F47" i="15"/>
  <c r="F151" i="17" s="1"/>
  <c r="L18" i="15"/>
  <c r="L18" i="36" s="1"/>
  <c r="L40" i="15"/>
  <c r="L40" i="36" s="1"/>
  <c r="L15" i="15"/>
  <c r="L28" i="17" s="1"/>
  <c r="T29" i="17"/>
  <c r="T19" i="10" s="1"/>
  <c r="L55" i="36"/>
  <c r="F15" i="15"/>
  <c r="F28" i="17" s="1"/>
  <c r="T47" i="15"/>
  <c r="T151" i="17" s="1"/>
  <c r="T156" i="17" s="1"/>
  <c r="T172" i="17" s="1"/>
  <c r="L10" i="15"/>
  <c r="L10" i="36" s="1"/>
  <c r="L34" i="15"/>
  <c r="L34" i="36" s="1"/>
  <c r="T24" i="10"/>
  <c r="L26" i="15"/>
  <c r="L53" i="17" s="1"/>
  <c r="L36" i="10" s="1"/>
  <c r="L49" i="15"/>
  <c r="L153" i="17" s="1"/>
  <c r="L158" i="17" s="1"/>
  <c r="T44" i="10"/>
  <c r="T15" i="15"/>
  <c r="T28" i="17" s="1"/>
  <c r="F49" i="15"/>
  <c r="F153" i="17" s="1"/>
  <c r="F158" i="17" s="1"/>
  <c r="F29" i="17"/>
  <c r="F19" i="18" s="1"/>
  <c r="F55" i="36"/>
  <c r="T8" i="15"/>
  <c r="T8" i="36" s="1"/>
  <c r="F26" i="15"/>
  <c r="F56" i="17" s="1"/>
  <c r="F40" i="18" s="1"/>
  <c r="F10" i="15"/>
  <c r="F10" i="36" s="1"/>
  <c r="K163" i="17"/>
  <c r="G163" i="17"/>
  <c r="O163" i="17"/>
  <c r="U163" i="17"/>
  <c r="T163" i="17"/>
  <c r="Q163" i="17"/>
  <c r="Y163" i="17"/>
  <c r="X163" i="17"/>
  <c r="X174" i="17" s="1"/>
  <c r="V163" i="17"/>
  <c r="V174" i="17" s="1"/>
  <c r="AA163" i="17"/>
  <c r="E163" i="17"/>
  <c r="H163" i="17"/>
  <c r="AE163" i="17"/>
  <c r="AE174" i="17" s="1"/>
  <c r="P163" i="17"/>
  <c r="F163" i="17"/>
  <c r="R163" i="17"/>
  <c r="D163" i="17"/>
  <c r="AF163" i="17"/>
  <c r="L163" i="17"/>
  <c r="AC163" i="17"/>
  <c r="W163" i="17"/>
  <c r="N163" i="17"/>
  <c r="AB163" i="17"/>
  <c r="C163" i="17"/>
  <c r="AD163" i="17"/>
  <c r="AD174" i="17" s="1"/>
  <c r="I163" i="17"/>
  <c r="Z163" i="17"/>
  <c r="M163" i="17"/>
  <c r="J163" i="17"/>
  <c r="Y35" i="18"/>
  <c r="Y34" i="10"/>
  <c r="P34" i="10"/>
  <c r="L56" i="36"/>
  <c r="L206" i="17" s="1"/>
  <c r="P28" i="35"/>
  <c r="N28" i="35"/>
  <c r="AC18" i="35"/>
  <c r="AD56" i="10"/>
  <c r="AE124" i="50" s="1"/>
  <c r="V67" i="18"/>
  <c r="W88" i="50" s="1"/>
  <c r="W105" i="50" s="1"/>
  <c r="AA35" i="18"/>
  <c r="V206" i="17"/>
  <c r="X67" i="18"/>
  <c r="Y88" i="50" s="1"/>
  <c r="Y105" i="50" s="1"/>
  <c r="AE105" i="16"/>
  <c r="X42" i="35"/>
  <c r="AD58" i="10"/>
  <c r="AE121" i="50" s="1"/>
  <c r="AD69" i="18"/>
  <c r="AE85" i="50" s="1"/>
  <c r="AE102" i="50" s="1"/>
  <c r="D26" i="11"/>
  <c r="D27" i="11" s="1"/>
  <c r="AA34" i="10"/>
  <c r="AJ105" i="16"/>
  <c r="O51" i="38"/>
  <c r="V54" i="8"/>
  <c r="V98" i="16"/>
  <c r="V82" i="11" s="1"/>
  <c r="U89" i="16"/>
  <c r="T53" i="8"/>
  <c r="T97" i="16"/>
  <c r="T81" i="11" s="1"/>
  <c r="T83" i="11" s="1"/>
  <c r="T13" i="11" s="1"/>
  <c r="U90" i="16"/>
  <c r="T52" i="8"/>
  <c r="AD124" i="14"/>
  <c r="AE124" i="14" s="1"/>
  <c r="U54" i="8"/>
  <c r="F50" i="36" s="1"/>
  <c r="F72" i="15" s="1"/>
  <c r="W91" i="16"/>
  <c r="X91" i="16" s="1"/>
  <c r="AC123" i="14"/>
  <c r="AD123" i="14" s="1"/>
  <c r="E72" i="10"/>
  <c r="V89" i="16"/>
  <c r="T92" i="16"/>
  <c r="U98" i="16"/>
  <c r="U82" i="11" s="1"/>
  <c r="D206" i="17"/>
  <c r="O44" i="35"/>
  <c r="V56" i="10"/>
  <c r="G124" i="51" s="1"/>
  <c r="M34" i="10"/>
  <c r="AB56" i="10"/>
  <c r="AC124" i="50" s="1"/>
  <c r="M35" i="18"/>
  <c r="P22" i="10"/>
  <c r="O69" i="18"/>
  <c r="P85" i="50" s="1"/>
  <c r="P102" i="50" s="1"/>
  <c r="S67" i="18"/>
  <c r="T88" i="50" s="1"/>
  <c r="T105" i="50" s="1"/>
  <c r="I103" i="17"/>
  <c r="H104" i="17"/>
  <c r="H109" i="17" s="1"/>
  <c r="AB34" i="10"/>
  <c r="D172" i="17"/>
  <c r="D75" i="15" s="1"/>
  <c r="AB28" i="35"/>
  <c r="P18" i="35"/>
  <c r="AE28" i="35"/>
  <c r="AE34" i="10"/>
  <c r="AC67" i="18"/>
  <c r="AD88" i="50" s="1"/>
  <c r="AD105" i="50" s="1"/>
  <c r="S56" i="10"/>
  <c r="T124" i="50" s="1"/>
  <c r="R58" i="10"/>
  <c r="S121" i="50" s="1"/>
  <c r="T56" i="10"/>
  <c r="U124" i="50" s="1"/>
  <c r="R69" i="18"/>
  <c r="S85" i="50" s="1"/>
  <c r="S102" i="50" s="1"/>
  <c r="J49" i="11"/>
  <c r="J50" i="11" s="1"/>
  <c r="AK105" i="16"/>
  <c r="AF67" i="18"/>
  <c r="R18" i="35"/>
  <c r="AD42" i="35"/>
  <c r="AB42" i="35"/>
  <c r="U56" i="10"/>
  <c r="V124" i="50" s="1"/>
  <c r="C51" i="38"/>
  <c r="U34" i="10"/>
  <c r="Y42" i="35"/>
  <c r="T42" i="35"/>
  <c r="J51" i="38"/>
  <c r="N51" i="38"/>
  <c r="AH105" i="16"/>
  <c r="D49" i="11"/>
  <c r="D50" i="11" s="1"/>
  <c r="D74" i="11"/>
  <c r="D75" i="11" s="1"/>
  <c r="V28" i="35"/>
  <c r="V34" i="10"/>
  <c r="AA56" i="10"/>
  <c r="H124" i="51" s="1"/>
  <c r="AE22" i="10"/>
  <c r="AP105" i="16"/>
  <c r="AC105" i="16"/>
  <c r="R105" i="16"/>
  <c r="T105" i="16"/>
  <c r="F26" i="11"/>
  <c r="F27" i="11" s="1"/>
  <c r="U35" i="18"/>
  <c r="AE67" i="18"/>
  <c r="AF88" i="50" s="1"/>
  <c r="AF105" i="50" s="1"/>
  <c r="AE56" i="10"/>
  <c r="AF124" i="50" s="1"/>
  <c r="Y56" i="10"/>
  <c r="Z124" i="50" s="1"/>
  <c r="U42" i="35"/>
  <c r="Z28" i="35"/>
  <c r="F13" i="11"/>
  <c r="F14" i="11" s="1"/>
  <c r="R22" i="10"/>
  <c r="AF42" i="35"/>
  <c r="AA42" i="35"/>
  <c r="AE18" i="35"/>
  <c r="R83" i="11"/>
  <c r="R49" i="11" s="1"/>
  <c r="P175" i="17"/>
  <c r="F51" i="38"/>
  <c r="X51" i="38"/>
  <c r="M51" i="38"/>
  <c r="W51" i="38"/>
  <c r="C74" i="11"/>
  <c r="C75" i="11" s="1"/>
  <c r="H49" i="11"/>
  <c r="H50" i="11" s="1"/>
  <c r="AM105" i="16"/>
  <c r="D51" i="38"/>
  <c r="V105" i="16"/>
  <c r="F49" i="11"/>
  <c r="F50" i="11" s="1"/>
  <c r="G49" i="11"/>
  <c r="G50" i="11" s="1"/>
  <c r="B51" i="38"/>
  <c r="I63" i="1" s="1"/>
  <c r="I64" i="1" s="1"/>
  <c r="AB22" i="10"/>
  <c r="AB22" i="18"/>
  <c r="E74" i="11"/>
  <c r="E75" i="11" s="1"/>
  <c r="K51" i="38"/>
  <c r="R51" i="38"/>
  <c r="AL105" i="16"/>
  <c r="G51" i="38"/>
  <c r="S51" i="38"/>
  <c r="AC51" i="38"/>
  <c r="J74" i="11"/>
  <c r="J75" i="11" s="1"/>
  <c r="J13" i="11"/>
  <c r="J14" i="11" s="1"/>
  <c r="AC56" i="10"/>
  <c r="AD124" i="50" s="1"/>
  <c r="I51" i="38"/>
  <c r="Z105" i="16"/>
  <c r="H51" i="38"/>
  <c r="AA51" i="38"/>
  <c r="V51" i="38"/>
  <c r="L51" i="38"/>
  <c r="C49" i="11"/>
  <c r="C50" i="11" s="1"/>
  <c r="H13" i="11"/>
  <c r="H14" i="11" s="1"/>
  <c r="E51" i="38"/>
  <c r="U105" i="16"/>
  <c r="C13" i="11"/>
  <c r="C14" i="11" s="1"/>
  <c r="H74" i="11"/>
  <c r="H75" i="11" s="1"/>
  <c r="AD105" i="16"/>
  <c r="E13" i="11"/>
  <c r="E14" i="11" s="1"/>
  <c r="P51" i="38"/>
  <c r="Y51" i="38"/>
  <c r="B49" i="11"/>
  <c r="B50" i="11" s="1"/>
  <c r="B74" i="11"/>
  <c r="B75" i="11" s="1"/>
  <c r="T51" i="38"/>
  <c r="AE54" i="17"/>
  <c r="AE38" i="18" s="1"/>
  <c r="AF83" i="50" s="1"/>
  <c r="AF100" i="50" s="1"/>
  <c r="AB51" i="38"/>
  <c r="Q51" i="38"/>
  <c r="L63" i="1" s="1"/>
  <c r="L64" i="1" s="1"/>
  <c r="K49" i="11"/>
  <c r="K50" i="11" s="1"/>
  <c r="AT105" i="16"/>
  <c r="Y105" i="16"/>
  <c r="U51" i="38"/>
  <c r="AD51" i="38"/>
  <c r="K26" i="11"/>
  <c r="K27" i="11" s="1"/>
  <c r="AE51" i="38"/>
  <c r="Z51" i="38"/>
  <c r="AR105" i="16"/>
  <c r="AD28" i="35"/>
  <c r="K13" i="11"/>
  <c r="K14" i="11" s="1"/>
  <c r="E26" i="11"/>
  <c r="E27" i="11" s="1"/>
  <c r="AB105" i="16"/>
  <c r="AG105" i="16"/>
  <c r="X105" i="16"/>
  <c r="G13" i="11"/>
  <c r="G14" i="11" s="1"/>
  <c r="L26" i="11"/>
  <c r="L27" i="11" s="1"/>
  <c r="G74" i="11"/>
  <c r="G75" i="11" s="1"/>
  <c r="L49" i="11"/>
  <c r="L50" i="11" s="1"/>
  <c r="B13" i="11"/>
  <c r="B14" i="11" s="1"/>
  <c r="S105" i="16"/>
  <c r="W105" i="16"/>
  <c r="AS105" i="16"/>
  <c r="S83" i="11"/>
  <c r="S74" i="11" s="1"/>
  <c r="S75" i="11" s="1"/>
  <c r="AA105" i="16"/>
  <c r="AO105" i="16"/>
  <c r="M13" i="11"/>
  <c r="M14" i="11" s="1"/>
  <c r="AC35" i="18"/>
  <c r="V18" i="36"/>
  <c r="L74" i="11"/>
  <c r="L75" i="11" s="1"/>
  <c r="AE18" i="36"/>
  <c r="V40" i="36"/>
  <c r="M74" i="11"/>
  <c r="M75" i="11" s="1"/>
  <c r="M49" i="11"/>
  <c r="M50" i="11" s="1"/>
  <c r="AE56" i="17"/>
  <c r="AE39" i="10" s="1"/>
  <c r="AE56" i="36"/>
  <c r="AE206" i="17" s="1"/>
  <c r="AD154" i="17"/>
  <c r="AD159" i="17" s="1"/>
  <c r="AD175" i="17" s="1"/>
  <c r="AE53" i="17"/>
  <c r="AE29" i="35" s="1"/>
  <c r="AD34" i="10"/>
  <c r="AF51" i="38"/>
  <c r="O63" i="1" s="1"/>
  <c r="AE55" i="17"/>
  <c r="AE38" i="10" s="1"/>
  <c r="AE151" i="17"/>
  <c r="AE156" i="17" s="1"/>
  <c r="AE172" i="17" s="1"/>
  <c r="L156" i="17"/>
  <c r="L172" i="17" s="1"/>
  <c r="V50" i="17"/>
  <c r="V27" i="35" s="1"/>
  <c r="D77" i="17"/>
  <c r="D60" i="10" s="1"/>
  <c r="AD30" i="17"/>
  <c r="AD20" i="18" s="1"/>
  <c r="AD9" i="17"/>
  <c r="AD9" i="10" s="1"/>
  <c r="AD10" i="17"/>
  <c r="AD9" i="35" s="1"/>
  <c r="V175" i="17"/>
  <c r="V56" i="17"/>
  <c r="V39" i="10" s="1"/>
  <c r="AD16" i="36"/>
  <c r="AE28" i="50" s="1"/>
  <c r="AE45" i="50" s="1"/>
  <c r="AE175" i="17"/>
  <c r="AE40" i="36"/>
  <c r="AE78" i="17"/>
  <c r="AE61" i="10" s="1"/>
  <c r="W87" i="50"/>
  <c r="W104" i="50" s="1"/>
  <c r="AD56" i="36"/>
  <c r="AD206" i="17" s="1"/>
  <c r="AD53" i="36"/>
  <c r="AC58" i="10"/>
  <c r="AD121" i="50" s="1"/>
  <c r="B34" i="10"/>
  <c r="V43" i="35"/>
  <c r="AQ105" i="16"/>
  <c r="O105" i="16"/>
  <c r="D154" i="17"/>
  <c r="D159" i="17" s="1"/>
  <c r="D175" i="17" s="1"/>
  <c r="H156" i="17"/>
  <c r="H172" i="17" s="1"/>
  <c r="Z34" i="10"/>
  <c r="V57" i="10"/>
  <c r="D78" i="17"/>
  <c r="D72" i="18" s="1"/>
  <c r="V26" i="35"/>
  <c r="V19" i="18"/>
  <c r="D16" i="36"/>
  <c r="E28" i="50" s="1"/>
  <c r="E45" i="50" s="1"/>
  <c r="V151" i="17"/>
  <c r="V156" i="17" s="1"/>
  <c r="V172" i="17" s="1"/>
  <c r="D53" i="17"/>
  <c r="D36" i="10" s="1"/>
  <c r="AC44" i="35"/>
  <c r="D30" i="17"/>
  <c r="D20" i="10" s="1"/>
  <c r="D55" i="17"/>
  <c r="D38" i="10" s="1"/>
  <c r="V28" i="36"/>
  <c r="V31" i="35" s="1"/>
  <c r="V53" i="36"/>
  <c r="D26" i="36"/>
  <c r="E32" i="50" s="1"/>
  <c r="E49" i="50" s="1"/>
  <c r="AE28" i="36"/>
  <c r="AE31" i="35" s="1"/>
  <c r="D18" i="36"/>
  <c r="V30" i="17"/>
  <c r="V20" i="10" s="1"/>
  <c r="V78" i="17"/>
  <c r="V31" i="17"/>
  <c r="V17" i="35" s="1"/>
  <c r="AC34" i="10"/>
  <c r="D56" i="17"/>
  <c r="D40" i="18" s="1"/>
  <c r="V54" i="36"/>
  <c r="E34" i="10"/>
  <c r="V54" i="17"/>
  <c r="V26" i="36"/>
  <c r="G32" i="51" s="1"/>
  <c r="G49" i="51" s="1"/>
  <c r="O22" i="10"/>
  <c r="V53" i="17"/>
  <c r="V29" i="35" s="1"/>
  <c r="V33" i="18"/>
  <c r="V32" i="10"/>
  <c r="G85" i="51"/>
  <c r="G102" i="51" s="1"/>
  <c r="W85" i="50"/>
  <c r="W102" i="50" s="1"/>
  <c r="W121" i="50"/>
  <c r="AE40" i="35"/>
  <c r="M88" i="50"/>
  <c r="M105" i="50" s="1"/>
  <c r="S34" i="10"/>
  <c r="AF34" i="10"/>
  <c r="D9" i="17"/>
  <c r="D9" i="10" s="1"/>
  <c r="AD28" i="36"/>
  <c r="AD31" i="35" s="1"/>
  <c r="D50" i="36"/>
  <c r="D72" i="15" s="1"/>
  <c r="D10" i="17"/>
  <c r="D9" i="35" s="1"/>
  <c r="C85" i="50"/>
  <c r="C102" i="50" s="1"/>
  <c r="D54" i="36"/>
  <c r="D153" i="17"/>
  <c r="D158" i="17" s="1"/>
  <c r="J34" i="10"/>
  <c r="AD22" i="18"/>
  <c r="AD18" i="35"/>
  <c r="AE9" i="35"/>
  <c r="J24" i="10"/>
  <c r="J47" i="15"/>
  <c r="J43" i="10"/>
  <c r="J41" i="10"/>
  <c r="J28" i="15"/>
  <c r="J44" i="10"/>
  <c r="J35" i="36"/>
  <c r="J71" i="17"/>
  <c r="Z74" i="17"/>
  <c r="Z38" i="36"/>
  <c r="Z35" i="36"/>
  <c r="Z71" i="17"/>
  <c r="R38" i="36"/>
  <c r="R74" i="17"/>
  <c r="AF24" i="10"/>
  <c r="AF41" i="10"/>
  <c r="AF47" i="15"/>
  <c r="AF28" i="15"/>
  <c r="AF44" i="10"/>
  <c r="AF43" i="10"/>
  <c r="K162" i="17"/>
  <c r="E162" i="17"/>
  <c r="G162" i="17"/>
  <c r="V162" i="17"/>
  <c r="V173" i="17" s="1"/>
  <c r="F162" i="17"/>
  <c r="F173" i="17" s="1"/>
  <c r="T162" i="17"/>
  <c r="T173" i="17" s="1"/>
  <c r="C162" i="17"/>
  <c r="J162" i="17"/>
  <c r="S162" i="17"/>
  <c r="X162" i="17"/>
  <c r="AD162" i="17"/>
  <c r="AD173" i="17" s="1"/>
  <c r="O162" i="17"/>
  <c r="W162" i="17"/>
  <c r="AA162" i="17"/>
  <c r="H162" i="17"/>
  <c r="R162" i="17"/>
  <c r="AC162" i="17"/>
  <c r="I162" i="17"/>
  <c r="U162" i="17"/>
  <c r="D162" i="17"/>
  <c r="D173" i="17" s="1"/>
  <c r="D76" i="15" s="1"/>
  <c r="L173" i="17"/>
  <c r="N162" i="17"/>
  <c r="Z162" i="17"/>
  <c r="M162" i="17"/>
  <c r="Y162" i="17"/>
  <c r="Q162" i="17"/>
  <c r="AE162" i="17"/>
  <c r="AE173" i="17" s="1"/>
  <c r="P162" i="17"/>
  <c r="AF162" i="17"/>
  <c r="AB162" i="17"/>
  <c r="B10" i="15"/>
  <c r="B48" i="15"/>
  <c r="B18" i="15"/>
  <c r="B40" i="15"/>
  <c r="B49" i="15"/>
  <c r="B26" i="15"/>
  <c r="B15" i="15"/>
  <c r="B8" i="15"/>
  <c r="B23" i="15"/>
  <c r="B34" i="15"/>
  <c r="B29" i="17"/>
  <c r="B49" i="17"/>
  <c r="B36" i="36"/>
  <c r="N18" i="15"/>
  <c r="N40" i="15"/>
  <c r="N48" i="15"/>
  <c r="N26" i="15"/>
  <c r="N49" i="15"/>
  <c r="N10" i="15"/>
  <c r="N35" i="36"/>
  <c r="N71" i="17"/>
  <c r="V8" i="36"/>
  <c r="V8" i="17"/>
  <c r="AF105" i="16"/>
  <c r="J38" i="36"/>
  <c r="J74" i="17"/>
  <c r="AI105" i="16"/>
  <c r="Z41" i="10"/>
  <c r="Z44" i="10"/>
  <c r="Z28" i="15"/>
  <c r="Z43" i="10"/>
  <c r="Z24" i="10"/>
  <c r="Z47" i="15"/>
  <c r="Z8" i="15"/>
  <c r="Z15" i="15"/>
  <c r="Z23" i="15"/>
  <c r="Z34" i="15"/>
  <c r="AN105" i="16"/>
  <c r="R49" i="15"/>
  <c r="R153" i="17" s="1"/>
  <c r="R158" i="17" s="1"/>
  <c r="R10" i="15"/>
  <c r="R18" i="15"/>
  <c r="R40" i="15"/>
  <c r="R48" i="15"/>
  <c r="R26" i="15"/>
  <c r="R8" i="15"/>
  <c r="R15" i="15"/>
  <c r="R23" i="15"/>
  <c r="R34" i="15"/>
  <c r="AF48" i="15"/>
  <c r="AF10" i="15"/>
  <c r="AF18" i="15"/>
  <c r="AF26" i="15"/>
  <c r="AF49" i="15"/>
  <c r="AF153" i="17" s="1"/>
  <c r="AF158" i="17" s="1"/>
  <c r="AF40" i="15"/>
  <c r="AF74" i="17"/>
  <c r="AF38" i="36"/>
  <c r="AF35" i="36"/>
  <c r="AF71" i="17"/>
  <c r="B16" i="15"/>
  <c r="B24" i="15"/>
  <c r="B9" i="15"/>
  <c r="B50" i="15"/>
  <c r="B71" i="17"/>
  <c r="B35" i="36"/>
  <c r="B47" i="15"/>
  <c r="B24" i="10"/>
  <c r="B28" i="15"/>
  <c r="B44" i="10"/>
  <c r="B43" i="10"/>
  <c r="B41" i="10"/>
  <c r="N38" i="36"/>
  <c r="N74" i="17"/>
  <c r="N34" i="10"/>
  <c r="N22" i="10"/>
  <c r="V34" i="36"/>
  <c r="V70" i="17"/>
  <c r="J50" i="15"/>
  <c r="J16" i="15"/>
  <c r="J24" i="15"/>
  <c r="J9" i="15"/>
  <c r="J15" i="15"/>
  <c r="J23" i="15"/>
  <c r="J8" i="15"/>
  <c r="J34" i="15"/>
  <c r="Z9" i="15"/>
  <c r="Z50" i="15"/>
  <c r="Z16" i="15"/>
  <c r="Z24" i="15"/>
  <c r="Z36" i="36"/>
  <c r="Z49" i="17"/>
  <c r="Z29" i="17"/>
  <c r="R16" i="15"/>
  <c r="R24" i="15"/>
  <c r="R9" i="15"/>
  <c r="R50" i="15"/>
  <c r="R71" i="17"/>
  <c r="R35" i="36"/>
  <c r="R36" i="36"/>
  <c r="R29" i="17"/>
  <c r="R49" i="17"/>
  <c r="AF36" i="36"/>
  <c r="AF49" i="17"/>
  <c r="AF29" i="17"/>
  <c r="AF23" i="15"/>
  <c r="AF34" i="15"/>
  <c r="AF8" i="15"/>
  <c r="AF15" i="15"/>
  <c r="B38" i="36"/>
  <c r="B74" i="17"/>
  <c r="N36" i="36"/>
  <c r="N49" i="17"/>
  <c r="N29" i="17"/>
  <c r="N8" i="15"/>
  <c r="N15" i="15"/>
  <c r="N23" i="15"/>
  <c r="N34" i="15"/>
  <c r="N24" i="15"/>
  <c r="N9" i="15"/>
  <c r="N50" i="15"/>
  <c r="N16" i="15"/>
  <c r="V15" i="36"/>
  <c r="V28" i="17"/>
  <c r="J49" i="15"/>
  <c r="J10" i="15"/>
  <c r="J18" i="15"/>
  <c r="J40" i="15"/>
  <c r="J48" i="15"/>
  <c r="J26" i="15"/>
  <c r="J36" i="36"/>
  <c r="J49" i="17"/>
  <c r="J29" i="17"/>
  <c r="Z10" i="15"/>
  <c r="Z48" i="15"/>
  <c r="Z18" i="15"/>
  <c r="Z40" i="15"/>
  <c r="Z49" i="15"/>
  <c r="Z153" i="17" s="1"/>
  <c r="Z158" i="17" s="1"/>
  <c r="Z26" i="15"/>
  <c r="R24" i="10"/>
  <c r="R41" i="10"/>
  <c r="R44" i="10"/>
  <c r="R47" i="15"/>
  <c r="R43" i="10"/>
  <c r="R28" i="15"/>
  <c r="AF24" i="15"/>
  <c r="AF9" i="15"/>
  <c r="AF16" i="15"/>
  <c r="AF50" i="15"/>
  <c r="N43" i="10"/>
  <c r="N47" i="15"/>
  <c r="N24" i="10"/>
  <c r="N28" i="15"/>
  <c r="N41" i="10"/>
  <c r="N44" i="10"/>
  <c r="V23" i="36"/>
  <c r="V48" i="17"/>
  <c r="G36" i="50"/>
  <c r="G53" i="50" s="1"/>
  <c r="K34" i="10"/>
  <c r="D40" i="35"/>
  <c r="C88" i="50"/>
  <c r="C105" i="50" s="1"/>
  <c r="D27" i="35"/>
  <c r="I34" i="10"/>
  <c r="AD40" i="35"/>
  <c r="T9" i="35"/>
  <c r="AB156" i="17"/>
  <c r="AB172" i="17" s="1"/>
  <c r="U22" i="10"/>
  <c r="AD27" i="35"/>
  <c r="M22" i="10"/>
  <c r="Q22" i="10"/>
  <c r="AE27" i="35"/>
  <c r="G34" i="10"/>
  <c r="AD156" i="17"/>
  <c r="AD172" i="17" s="1"/>
  <c r="E85" i="51"/>
  <c r="E102" i="51" s="1"/>
  <c r="M85" i="50"/>
  <c r="M102" i="50" s="1"/>
  <c r="E121" i="51"/>
  <c r="M121" i="50"/>
  <c r="AF149" i="17"/>
  <c r="C47" i="15"/>
  <c r="C28" i="15"/>
  <c r="C44" i="10"/>
  <c r="C24" i="10"/>
  <c r="C43" i="10"/>
  <c r="C41" i="10"/>
  <c r="W18" i="15"/>
  <c r="W48" i="15"/>
  <c r="W49" i="15"/>
  <c r="W153" i="17" s="1"/>
  <c r="W158" i="17" s="1"/>
  <c r="W10" i="15"/>
  <c r="W26" i="15"/>
  <c r="W40" i="15"/>
  <c r="U35" i="50"/>
  <c r="U52" i="50" s="1"/>
  <c r="P10" i="10"/>
  <c r="P10" i="18"/>
  <c r="M18" i="15"/>
  <c r="M48" i="15"/>
  <c r="M49" i="15"/>
  <c r="M10" i="15"/>
  <c r="M26" i="15"/>
  <c r="M40" i="15"/>
  <c r="I71" i="17"/>
  <c r="I35" i="36"/>
  <c r="O50" i="15"/>
  <c r="O9" i="15"/>
  <c r="O16" i="15"/>
  <c r="O24" i="15"/>
  <c r="AD60" i="10"/>
  <c r="AD71" i="18"/>
  <c r="X28" i="17"/>
  <c r="X15" i="36"/>
  <c r="X57" i="10"/>
  <c r="Y123" i="50" s="1"/>
  <c r="X68" i="18"/>
  <c r="Y87" i="50" s="1"/>
  <c r="Y104" i="50" s="1"/>
  <c r="E47" i="15"/>
  <c r="E28" i="15"/>
  <c r="E43" i="10"/>
  <c r="E44" i="10"/>
  <c r="E41" i="10"/>
  <c r="E24" i="10"/>
  <c r="AE32" i="50"/>
  <c r="AE49" i="50" s="1"/>
  <c r="AC18" i="15"/>
  <c r="AC48" i="15"/>
  <c r="AC49" i="15"/>
  <c r="AC153" i="17" s="1"/>
  <c r="AC158" i="17" s="1"/>
  <c r="AC10" i="15"/>
  <c r="AC26" i="15"/>
  <c r="AC40" i="15"/>
  <c r="AC74" i="17"/>
  <c r="AC38" i="36"/>
  <c r="C50" i="15"/>
  <c r="C16" i="15"/>
  <c r="C24" i="15"/>
  <c r="C9" i="15"/>
  <c r="L54" i="10"/>
  <c r="L65" i="18"/>
  <c r="T57" i="10"/>
  <c r="U123" i="50" s="1"/>
  <c r="T68" i="18"/>
  <c r="U87" i="50" s="1"/>
  <c r="U104" i="50" s="1"/>
  <c r="H10" i="10"/>
  <c r="H10" i="18"/>
  <c r="AD33" i="10"/>
  <c r="AE118" i="50" s="1"/>
  <c r="AD34" i="18"/>
  <c r="AE82" i="50" s="1"/>
  <c r="AE99" i="50" s="1"/>
  <c r="F149" i="17"/>
  <c r="T9" i="10"/>
  <c r="T9" i="18"/>
  <c r="AE10" i="10"/>
  <c r="AE10" i="18"/>
  <c r="AE57" i="10"/>
  <c r="AF123" i="50" s="1"/>
  <c r="AE68" i="18"/>
  <c r="AF87" i="50" s="1"/>
  <c r="AF104" i="50" s="1"/>
  <c r="W29" i="17"/>
  <c r="W36" i="36"/>
  <c r="W49" i="17"/>
  <c r="W22" i="10"/>
  <c r="AD19" i="10"/>
  <c r="AD19" i="18"/>
  <c r="AB57" i="10"/>
  <c r="AC123" i="50" s="1"/>
  <c r="AB68" i="18"/>
  <c r="AC87" i="50" s="1"/>
  <c r="AC104" i="50" s="1"/>
  <c r="D8" i="36"/>
  <c r="D8" i="17"/>
  <c r="G23" i="15"/>
  <c r="G34" i="15"/>
  <c r="G8" i="15"/>
  <c r="G15" i="15"/>
  <c r="D88" i="51"/>
  <c r="D105" i="51" s="1"/>
  <c r="H88" i="50"/>
  <c r="H105" i="50" s="1"/>
  <c r="E35" i="50"/>
  <c r="E52" i="50" s="1"/>
  <c r="D26" i="35"/>
  <c r="AB21" i="10"/>
  <c r="AC115" i="50" s="1"/>
  <c r="AB21" i="18"/>
  <c r="AC79" i="50" s="1"/>
  <c r="AC96" i="50" s="1"/>
  <c r="K29" i="17"/>
  <c r="K36" i="36"/>
  <c r="K49" i="17"/>
  <c r="C22" i="10"/>
  <c r="Y47" i="15"/>
  <c r="Y28" i="15"/>
  <c r="Y24" i="10"/>
  <c r="Y41" i="10"/>
  <c r="Y43" i="10"/>
  <c r="Y44" i="10"/>
  <c r="Y71" i="17"/>
  <c r="Y35" i="36"/>
  <c r="Y38" i="36"/>
  <c r="Y74" i="17"/>
  <c r="P9" i="35"/>
  <c r="M29" i="17"/>
  <c r="M36" i="36"/>
  <c r="M49" i="17"/>
  <c r="AA47" i="15"/>
  <c r="AA28" i="15"/>
  <c r="AA43" i="10"/>
  <c r="AA41" i="10"/>
  <c r="AA24" i="10"/>
  <c r="AA44" i="10"/>
  <c r="AA29" i="17"/>
  <c r="AA36" i="36"/>
  <c r="AA49" i="17"/>
  <c r="AA22" i="10"/>
  <c r="V10" i="10"/>
  <c r="V10" i="18"/>
  <c r="X19" i="10"/>
  <c r="X19" i="18"/>
  <c r="U50" i="15"/>
  <c r="U9" i="15"/>
  <c r="U16" i="15"/>
  <c r="U24" i="15"/>
  <c r="P105" i="16"/>
  <c r="N105" i="16"/>
  <c r="I18" i="15"/>
  <c r="I48" i="15"/>
  <c r="I49" i="15"/>
  <c r="I10" i="15"/>
  <c r="I40" i="15"/>
  <c r="I26" i="15"/>
  <c r="I23" i="15"/>
  <c r="I34" i="15"/>
  <c r="I8" i="15"/>
  <c r="I15" i="15"/>
  <c r="AF32" i="50"/>
  <c r="AF49" i="50" s="1"/>
  <c r="AE70" i="17"/>
  <c r="AE34" i="36"/>
  <c r="O47" i="15"/>
  <c r="O28" i="15"/>
  <c r="O41" i="10"/>
  <c r="O24" i="10"/>
  <c r="O43" i="10"/>
  <c r="O44" i="10"/>
  <c r="O71" i="17"/>
  <c r="O35" i="36"/>
  <c r="D37" i="10"/>
  <c r="E119" i="50" s="1"/>
  <c r="D38" i="18"/>
  <c r="E83" i="50" s="1"/>
  <c r="E100" i="50" s="1"/>
  <c r="AB54" i="10"/>
  <c r="AB65" i="18"/>
  <c r="D54" i="10"/>
  <c r="D65" i="18"/>
  <c r="I121" i="51"/>
  <c r="AG121" i="50"/>
  <c r="AD54" i="10"/>
  <c r="AD65" i="18"/>
  <c r="AD45" i="35"/>
  <c r="AC22" i="10"/>
  <c r="H15" i="36"/>
  <c r="H28" i="17"/>
  <c r="S50" i="15"/>
  <c r="S9" i="15"/>
  <c r="S16" i="15"/>
  <c r="S24" i="15"/>
  <c r="S8" i="15"/>
  <c r="S15" i="15"/>
  <c r="S23" i="15"/>
  <c r="S34" i="15"/>
  <c r="S74" i="17"/>
  <c r="S38" i="36"/>
  <c r="D31" i="35"/>
  <c r="L19" i="10"/>
  <c r="L19" i="18"/>
  <c r="Y36" i="50"/>
  <c r="Y53" i="50" s="1"/>
  <c r="X43" i="35"/>
  <c r="E36" i="36"/>
  <c r="E49" i="17"/>
  <c r="E29" i="17"/>
  <c r="Y22" i="10"/>
  <c r="T20" i="10"/>
  <c r="T20" i="18"/>
  <c r="AE17" i="35"/>
  <c r="AF28" i="50"/>
  <c r="AF45" i="50" s="1"/>
  <c r="AE32" i="10"/>
  <c r="AE33" i="18"/>
  <c r="AD70" i="17"/>
  <c r="AD34" i="36"/>
  <c r="AB32" i="10"/>
  <c r="AB33" i="18"/>
  <c r="AD37" i="10"/>
  <c r="AE119" i="50" s="1"/>
  <c r="AD57" i="17"/>
  <c r="AD41" i="18" s="1"/>
  <c r="AD38" i="18"/>
  <c r="AE83" i="50" s="1"/>
  <c r="AE100" i="50" s="1"/>
  <c r="C23" i="15"/>
  <c r="C34" i="15"/>
  <c r="C15" i="15"/>
  <c r="C8" i="15"/>
  <c r="Q47" i="15"/>
  <c r="Q28" i="15"/>
  <c r="Q41" i="10"/>
  <c r="Q24" i="10"/>
  <c r="Q44" i="10"/>
  <c r="Q43" i="10"/>
  <c r="AD43" i="35"/>
  <c r="AE36" i="50"/>
  <c r="AE53" i="50" s="1"/>
  <c r="D15" i="36"/>
  <c r="D28" i="17"/>
  <c r="G18" i="15"/>
  <c r="G48" i="15"/>
  <c r="G49" i="15"/>
  <c r="G10" i="15"/>
  <c r="G40" i="15"/>
  <c r="G26" i="15"/>
  <c r="AB20" i="10"/>
  <c r="AB20" i="18"/>
  <c r="K50" i="15"/>
  <c r="K24" i="15"/>
  <c r="K9" i="15"/>
  <c r="K16" i="15"/>
  <c r="T34" i="36"/>
  <c r="T70" i="17"/>
  <c r="U18" i="15"/>
  <c r="U48" i="15"/>
  <c r="U49" i="15"/>
  <c r="U153" i="17" s="1"/>
  <c r="U158" i="17" s="1"/>
  <c r="U10" i="15"/>
  <c r="U26" i="15"/>
  <c r="U40" i="15"/>
  <c r="I47" i="15"/>
  <c r="I28" i="15"/>
  <c r="I24" i="10"/>
  <c r="I43" i="10"/>
  <c r="I44" i="10"/>
  <c r="I41" i="10"/>
  <c r="I50" i="15"/>
  <c r="I16" i="15"/>
  <c r="I24" i="15"/>
  <c r="I9" i="15"/>
  <c r="O38" i="36"/>
  <c r="O74" i="17"/>
  <c r="AD42" i="10"/>
  <c r="AD43" i="18"/>
  <c r="AD46" i="18" s="1"/>
  <c r="I85" i="51"/>
  <c r="I102" i="51" s="1"/>
  <c r="AG85" i="50"/>
  <c r="AG102" i="50" s="1"/>
  <c r="Q28" i="50"/>
  <c r="Q45" i="50" s="1"/>
  <c r="X21" i="10"/>
  <c r="Y115" i="50" s="1"/>
  <c r="X21" i="18"/>
  <c r="Y79" i="50" s="1"/>
  <c r="Y96" i="50" s="1"/>
  <c r="S29" i="17"/>
  <c r="S36" i="36"/>
  <c r="S49" i="17"/>
  <c r="V60" i="10"/>
  <c r="V71" i="18"/>
  <c r="H20" i="10"/>
  <c r="H20" i="18"/>
  <c r="D121" i="51"/>
  <c r="H121" i="50"/>
  <c r="AD8" i="36"/>
  <c r="AD8" i="17"/>
  <c r="H85" i="51"/>
  <c r="H102" i="51" s="1"/>
  <c r="AB85" i="50"/>
  <c r="AB102" i="50" s="1"/>
  <c r="AD38" i="10"/>
  <c r="AD39" i="18"/>
  <c r="AC50" i="15"/>
  <c r="AC16" i="15"/>
  <c r="AC24" i="15"/>
  <c r="AC9" i="15"/>
  <c r="AC36" i="36"/>
  <c r="AC29" i="17"/>
  <c r="AC49" i="17"/>
  <c r="C36" i="36"/>
  <c r="C29" i="17"/>
  <c r="C49" i="17"/>
  <c r="H57" i="10"/>
  <c r="I123" i="50" s="1"/>
  <c r="H68" i="18"/>
  <c r="I87" i="50" s="1"/>
  <c r="I104" i="50" s="1"/>
  <c r="H9" i="10"/>
  <c r="H9" i="18"/>
  <c r="Q18" i="15"/>
  <c r="Q48" i="15"/>
  <c r="Q49" i="15"/>
  <c r="Q153" i="17" s="1"/>
  <c r="Q158" i="17" s="1"/>
  <c r="Q10" i="15"/>
  <c r="Q26" i="15"/>
  <c r="Q40" i="15"/>
  <c r="Q29" i="17"/>
  <c r="Q36" i="36"/>
  <c r="Q49" i="17"/>
  <c r="F124" i="51"/>
  <c r="R124" i="50"/>
  <c r="P149" i="17"/>
  <c r="T10" i="10"/>
  <c r="T10" i="18"/>
  <c r="AE9" i="10"/>
  <c r="AE9" i="18"/>
  <c r="W50" i="15"/>
  <c r="W24" i="15"/>
  <c r="W9" i="15"/>
  <c r="W16" i="15"/>
  <c r="W71" i="17"/>
  <c r="W35" i="36"/>
  <c r="W74" i="17"/>
  <c r="W38" i="36"/>
  <c r="AE35" i="50"/>
  <c r="AE52" i="50" s="1"/>
  <c r="AD26" i="35"/>
  <c r="D70" i="17"/>
  <c r="D34" i="36"/>
  <c r="Q105" i="16"/>
  <c r="G50" i="15"/>
  <c r="G16" i="15"/>
  <c r="G24" i="15"/>
  <c r="G9" i="15"/>
  <c r="G36" i="36"/>
  <c r="G49" i="17"/>
  <c r="G29" i="17"/>
  <c r="D124" i="51"/>
  <c r="H124" i="50"/>
  <c r="D19" i="10"/>
  <c r="D19" i="18"/>
  <c r="AC28" i="50"/>
  <c r="AC45" i="50" s="1"/>
  <c r="AB17" i="35"/>
  <c r="K47" i="15"/>
  <c r="K28" i="15"/>
  <c r="K24" i="10"/>
  <c r="K41" i="10"/>
  <c r="K44" i="10"/>
  <c r="K43" i="10"/>
  <c r="K8" i="15"/>
  <c r="K15" i="15"/>
  <c r="K23" i="15"/>
  <c r="K34" i="15"/>
  <c r="K74" i="17"/>
  <c r="K38" i="36"/>
  <c r="W28" i="50"/>
  <c r="W45" i="50" s="1"/>
  <c r="G28" i="51"/>
  <c r="G45" i="51" s="1"/>
  <c r="L8" i="36"/>
  <c r="L8" i="17"/>
  <c r="Y50" i="15"/>
  <c r="Y24" i="15"/>
  <c r="Y9" i="15"/>
  <c r="Y16" i="15"/>
  <c r="Y8" i="15"/>
  <c r="Y15" i="15"/>
  <c r="Y23" i="15"/>
  <c r="Y34" i="15"/>
  <c r="O83" i="11"/>
  <c r="M50" i="15"/>
  <c r="M24" i="15"/>
  <c r="M9" i="15"/>
  <c r="M16" i="15"/>
  <c r="M71" i="17"/>
  <c r="M35" i="36"/>
  <c r="M38" i="36"/>
  <c r="M74" i="17"/>
  <c r="AA18" i="15"/>
  <c r="AA48" i="15"/>
  <c r="AA49" i="15"/>
  <c r="AA153" i="17" s="1"/>
  <c r="AA158" i="17" s="1"/>
  <c r="AA26" i="15"/>
  <c r="AA10" i="15"/>
  <c r="AA40" i="15"/>
  <c r="AA71" i="17"/>
  <c r="AA35" i="36"/>
  <c r="AA38" i="36"/>
  <c r="AA74" i="17"/>
  <c r="AA149" i="17"/>
  <c r="V9" i="35"/>
  <c r="H33" i="18"/>
  <c r="H32" i="10"/>
  <c r="U29" i="17"/>
  <c r="U36" i="36"/>
  <c r="U49" i="17"/>
  <c r="N83" i="11"/>
  <c r="F85" i="51"/>
  <c r="F102" i="51" s="1"/>
  <c r="R85" i="50"/>
  <c r="R102" i="50" s="1"/>
  <c r="I36" i="36"/>
  <c r="I49" i="17"/>
  <c r="I29" i="17"/>
  <c r="AE23" i="36"/>
  <c r="AE48" i="17"/>
  <c r="O18" i="15"/>
  <c r="O48" i="15"/>
  <c r="O49" i="15"/>
  <c r="O10" i="15"/>
  <c r="O26" i="15"/>
  <c r="O40" i="15"/>
  <c r="D57" i="10"/>
  <c r="E123" i="50" s="1"/>
  <c r="D68" i="18"/>
  <c r="E87" i="50" s="1"/>
  <c r="E104" i="50" s="1"/>
  <c r="V42" i="10"/>
  <c r="V43" i="18"/>
  <c r="V46" i="18" s="1"/>
  <c r="P152" i="17"/>
  <c r="P157" i="17" s="1"/>
  <c r="P55" i="36"/>
  <c r="AE42" i="10"/>
  <c r="AE43" i="18"/>
  <c r="AE46" i="18" s="1"/>
  <c r="X34" i="36"/>
  <c r="X70" i="17"/>
  <c r="P15" i="36"/>
  <c r="P28" i="17"/>
  <c r="S18" i="15"/>
  <c r="S48" i="15"/>
  <c r="S49" i="15"/>
  <c r="S153" i="17" s="1"/>
  <c r="S158" i="17" s="1"/>
  <c r="S10" i="15"/>
  <c r="S26" i="15"/>
  <c r="S40" i="15"/>
  <c r="S71" i="17"/>
  <c r="S35" i="36"/>
  <c r="D42" i="10"/>
  <c r="D43" i="18"/>
  <c r="D46" i="18" s="1"/>
  <c r="E50" i="15"/>
  <c r="E16" i="15"/>
  <c r="E24" i="15"/>
  <c r="E9" i="15"/>
  <c r="E71" i="17"/>
  <c r="E35" i="36"/>
  <c r="E38" i="36"/>
  <c r="E74" i="17"/>
  <c r="AE20" i="10"/>
  <c r="AE20" i="18"/>
  <c r="AE54" i="10"/>
  <c r="AE65" i="18"/>
  <c r="AB15" i="36"/>
  <c r="AB28" i="17"/>
  <c r="AF35" i="50"/>
  <c r="AF52" i="50" s="1"/>
  <c r="AE26" i="35"/>
  <c r="AD48" i="17"/>
  <c r="AD23" i="36"/>
  <c r="AC23" i="15"/>
  <c r="AC34" i="15"/>
  <c r="AC8" i="15"/>
  <c r="AC15" i="15"/>
  <c r="C18" i="15"/>
  <c r="C49" i="15"/>
  <c r="C10" i="15"/>
  <c r="C48" i="15"/>
  <c r="C26" i="15"/>
  <c r="C40" i="15"/>
  <c r="X54" i="10"/>
  <c r="X65" i="18"/>
  <c r="Q71" i="17"/>
  <c r="Q35" i="36"/>
  <c r="AE43" i="35"/>
  <c r="AF36" i="50"/>
  <c r="AF53" i="50" s="1"/>
  <c r="G71" i="17"/>
  <c r="G35" i="36"/>
  <c r="F42" i="10"/>
  <c r="F43" i="18"/>
  <c r="F46" i="18" s="1"/>
  <c r="V38" i="10"/>
  <c r="V39" i="18"/>
  <c r="Y29" i="17"/>
  <c r="Y36" i="36"/>
  <c r="Y49" i="17"/>
  <c r="U71" i="17"/>
  <c r="U35" i="36"/>
  <c r="AE28" i="17"/>
  <c r="AE15" i="36"/>
  <c r="O8" i="15"/>
  <c r="O15" i="15"/>
  <c r="O23" i="15"/>
  <c r="O34" i="15"/>
  <c r="Q36" i="50"/>
  <c r="Q53" i="50" s="1"/>
  <c r="AB23" i="36"/>
  <c r="AB48" i="17"/>
  <c r="P33" i="10"/>
  <c r="Q118" i="50" s="1"/>
  <c r="P34" i="18"/>
  <c r="Q82" i="50" s="1"/>
  <c r="Q99" i="50" s="1"/>
  <c r="AB33" i="10"/>
  <c r="AC118" i="50" s="1"/>
  <c r="AB34" i="18"/>
  <c r="AC82" i="50" s="1"/>
  <c r="AC99" i="50" s="1"/>
  <c r="AD36" i="10"/>
  <c r="AD37" i="18"/>
  <c r="AD29" i="35"/>
  <c r="AD39" i="10"/>
  <c r="AD40" i="18"/>
  <c r="AC47" i="15"/>
  <c r="AC28" i="15"/>
  <c r="AC24" i="10"/>
  <c r="AC43" i="10"/>
  <c r="AC41" i="10"/>
  <c r="AC44" i="10"/>
  <c r="AC71" i="17"/>
  <c r="AC35" i="36"/>
  <c r="C71" i="17"/>
  <c r="C35" i="36"/>
  <c r="C74" i="17"/>
  <c r="C38" i="36"/>
  <c r="X33" i="10"/>
  <c r="Y118" i="50" s="1"/>
  <c r="X34" i="18"/>
  <c r="Y82" i="50" s="1"/>
  <c r="Y99" i="50" s="1"/>
  <c r="H9" i="35"/>
  <c r="P54" i="10"/>
  <c r="P65" i="18"/>
  <c r="AU105" i="16"/>
  <c r="Q50" i="15"/>
  <c r="Q9" i="15"/>
  <c r="Q16" i="15"/>
  <c r="Q24" i="15"/>
  <c r="Q8" i="15"/>
  <c r="Q15" i="15"/>
  <c r="Q23" i="15"/>
  <c r="Q34" i="15"/>
  <c r="Q38" i="36"/>
  <c r="Q74" i="17"/>
  <c r="I13" i="11"/>
  <c r="I14" i="11" s="1"/>
  <c r="I49" i="11"/>
  <c r="I50" i="11" s="1"/>
  <c r="I74" i="11"/>
  <c r="I75" i="11" s="1"/>
  <c r="I26" i="11"/>
  <c r="I27" i="11" s="1"/>
  <c r="W47" i="15"/>
  <c r="W28" i="15"/>
  <c r="W24" i="10"/>
  <c r="W41" i="10"/>
  <c r="W43" i="10"/>
  <c r="W44" i="10"/>
  <c r="W8" i="15"/>
  <c r="W15" i="15"/>
  <c r="W23" i="15"/>
  <c r="W34" i="15"/>
  <c r="AD57" i="10"/>
  <c r="AE123" i="50" s="1"/>
  <c r="AD68" i="18"/>
  <c r="AE87" i="50" s="1"/>
  <c r="AE104" i="50" s="1"/>
  <c r="AD32" i="10"/>
  <c r="AD33" i="18"/>
  <c r="D48" i="17"/>
  <c r="D23" i="36"/>
  <c r="G47" i="15"/>
  <c r="G28" i="15"/>
  <c r="G43" i="10"/>
  <c r="G44" i="10"/>
  <c r="G24" i="10"/>
  <c r="G41" i="10"/>
  <c r="G38" i="36"/>
  <c r="G74" i="17"/>
  <c r="D32" i="10"/>
  <c r="D33" i="18"/>
  <c r="K18" i="15"/>
  <c r="K48" i="15"/>
  <c r="K49" i="15"/>
  <c r="K26" i="15"/>
  <c r="K10" i="15"/>
  <c r="K40" i="15"/>
  <c r="K71" i="17"/>
  <c r="K35" i="36"/>
  <c r="Y18" i="15"/>
  <c r="Y48" i="15"/>
  <c r="Y49" i="15"/>
  <c r="Y153" i="17" s="1"/>
  <c r="Y158" i="17" s="1"/>
  <c r="Y10" i="15"/>
  <c r="Y26" i="15"/>
  <c r="Y40" i="15"/>
  <c r="AE33" i="10"/>
  <c r="AF118" i="50" s="1"/>
  <c r="AE34" i="18"/>
  <c r="AF82" i="50" s="1"/>
  <c r="AF99" i="50" s="1"/>
  <c r="P9" i="10"/>
  <c r="P9" i="18"/>
  <c r="M47" i="15"/>
  <c r="M28" i="15"/>
  <c r="M41" i="10"/>
  <c r="M24" i="10"/>
  <c r="M43" i="10"/>
  <c r="M44" i="10"/>
  <c r="M8" i="15"/>
  <c r="M15" i="15"/>
  <c r="M23" i="15"/>
  <c r="M34" i="15"/>
  <c r="AA50" i="15"/>
  <c r="AA24" i="15"/>
  <c r="AA9" i="15"/>
  <c r="AA16" i="15"/>
  <c r="AA8" i="15"/>
  <c r="AA15" i="15"/>
  <c r="AA23" i="15"/>
  <c r="AA34" i="15"/>
  <c r="U149" i="17"/>
  <c r="V9" i="10"/>
  <c r="V9" i="18"/>
  <c r="U47" i="15"/>
  <c r="U28" i="15"/>
  <c r="U24" i="10"/>
  <c r="U43" i="10"/>
  <c r="U41" i="10"/>
  <c r="U44" i="10"/>
  <c r="U8" i="15"/>
  <c r="U15" i="15"/>
  <c r="U23" i="15"/>
  <c r="U34" i="15"/>
  <c r="U38" i="36"/>
  <c r="U74" i="17"/>
  <c r="AD21" i="10"/>
  <c r="AE115" i="50" s="1"/>
  <c r="AD21" i="18"/>
  <c r="AE79" i="50" s="1"/>
  <c r="AE96" i="50" s="1"/>
  <c r="P83" i="11"/>
  <c r="D21" i="10"/>
  <c r="E115" i="50" s="1"/>
  <c r="D21" i="18"/>
  <c r="E79" i="50" s="1"/>
  <c r="E96" i="50" s="1"/>
  <c r="F121" i="51"/>
  <c r="R121" i="50"/>
  <c r="I38" i="36"/>
  <c r="I74" i="17"/>
  <c r="AE8" i="17"/>
  <c r="AE8" i="36"/>
  <c r="O29" i="17"/>
  <c r="O36" i="36"/>
  <c r="O49" i="17"/>
  <c r="D43" i="35"/>
  <c r="E36" i="50"/>
  <c r="E53" i="50" s="1"/>
  <c r="AD61" i="10"/>
  <c r="AD72" i="18"/>
  <c r="H88" i="51"/>
  <c r="H105" i="51" s="1"/>
  <c r="AB88" i="50"/>
  <c r="AB105" i="50" s="1"/>
  <c r="S47" i="15"/>
  <c r="S28" i="15"/>
  <c r="S43" i="10"/>
  <c r="S44" i="10"/>
  <c r="S41" i="10"/>
  <c r="S24" i="10"/>
  <c r="E36" i="51"/>
  <c r="E53" i="51" s="1"/>
  <c r="M36" i="50"/>
  <c r="M53" i="50" s="1"/>
  <c r="T54" i="10"/>
  <c r="T65" i="18"/>
  <c r="E18" i="15"/>
  <c r="E10" i="15"/>
  <c r="E48" i="15"/>
  <c r="E49" i="15"/>
  <c r="E40" i="15"/>
  <c r="E26" i="15"/>
  <c r="E23" i="15"/>
  <c r="E34" i="15"/>
  <c r="E15" i="15"/>
  <c r="E8" i="15"/>
  <c r="P57" i="10"/>
  <c r="Q123" i="50" s="1"/>
  <c r="P68" i="18"/>
  <c r="Q87" i="50" s="1"/>
  <c r="Q104" i="50" s="1"/>
  <c r="P32" i="10"/>
  <c r="P33" i="18"/>
  <c r="D33" i="10"/>
  <c r="E118" i="50" s="1"/>
  <c r="D34" i="18"/>
  <c r="E82" i="50" s="1"/>
  <c r="E99" i="50" s="1"/>
  <c r="AE21" i="10"/>
  <c r="AF115" i="50" s="1"/>
  <c r="AE21" i="18"/>
  <c r="AF79" i="50" s="1"/>
  <c r="AF96" i="50" s="1"/>
  <c r="AE60" i="10"/>
  <c r="AE71" i="18"/>
  <c r="AB8" i="36"/>
  <c r="AB8" i="17"/>
  <c r="AE19" i="10"/>
  <c r="AE19" i="18"/>
  <c r="D85" i="51"/>
  <c r="D102" i="51" s="1"/>
  <c r="H85" i="50"/>
  <c r="H102" i="50" s="1"/>
  <c r="AD15" i="36"/>
  <c r="AD28" i="17"/>
  <c r="L21" i="10" l="1"/>
  <c r="X26" i="35"/>
  <c r="L9" i="18"/>
  <c r="L9" i="36"/>
  <c r="F53" i="36"/>
  <c r="L16" i="36"/>
  <c r="M28" i="50" s="1"/>
  <c r="M45" i="50" s="1"/>
  <c r="P8" i="36"/>
  <c r="P8" i="35" s="1"/>
  <c r="L30" i="17"/>
  <c r="L20" i="10" s="1"/>
  <c r="H19" i="18"/>
  <c r="L17" i="35"/>
  <c r="P19" i="18"/>
  <c r="F88" i="51"/>
  <c r="F105" i="51" s="1"/>
  <c r="H17" i="35"/>
  <c r="X8" i="36"/>
  <c r="X8" i="35" s="1"/>
  <c r="X56" i="36"/>
  <c r="X48" i="17"/>
  <c r="X31" i="10" s="1"/>
  <c r="H33" i="10"/>
  <c r="I118" i="50" s="1"/>
  <c r="P77" i="17"/>
  <c r="P60" i="10" s="1"/>
  <c r="X33" i="18"/>
  <c r="H8" i="36"/>
  <c r="H8" i="35" s="1"/>
  <c r="H27" i="35"/>
  <c r="AG49" i="17"/>
  <c r="P59" i="17"/>
  <c r="P31" i="35" s="1"/>
  <c r="X59" i="17"/>
  <c r="X43" i="18" s="1"/>
  <c r="X46" i="18" s="1"/>
  <c r="H43" i="35"/>
  <c r="AG71" i="17"/>
  <c r="AG74" i="17"/>
  <c r="I88" i="51"/>
  <c r="I105" i="51" s="1"/>
  <c r="AG67" i="18"/>
  <c r="H21" i="10"/>
  <c r="I115" i="50" s="1"/>
  <c r="Q35" i="50"/>
  <c r="Q52" i="50" s="1"/>
  <c r="AB70" i="17"/>
  <c r="AB64" i="18" s="1"/>
  <c r="F54" i="36"/>
  <c r="I124" i="51"/>
  <c r="H121" i="51"/>
  <c r="L10" i="17"/>
  <c r="L10" i="10" s="1"/>
  <c r="AB26" i="35"/>
  <c r="P40" i="36"/>
  <c r="P45" i="35" s="1"/>
  <c r="U36" i="50"/>
  <c r="U53" i="50" s="1"/>
  <c r="T19" i="18"/>
  <c r="H28" i="36"/>
  <c r="H31" i="35" s="1"/>
  <c r="F33" i="18"/>
  <c r="F77" i="17"/>
  <c r="F60" i="10" s="1"/>
  <c r="X17" i="35"/>
  <c r="P55" i="17"/>
  <c r="P39" i="18" s="1"/>
  <c r="H65" i="18"/>
  <c r="L26" i="35"/>
  <c r="H54" i="10"/>
  <c r="H77" i="17"/>
  <c r="H78" i="17"/>
  <c r="H61" i="10" s="1"/>
  <c r="M35" i="50"/>
  <c r="M52" i="50" s="1"/>
  <c r="T21" i="18"/>
  <c r="U79" i="50" s="1"/>
  <c r="U96" i="50" s="1"/>
  <c r="P54" i="17"/>
  <c r="P37" i="10" s="1"/>
  <c r="Q119" i="50" s="1"/>
  <c r="P53" i="17"/>
  <c r="P36" i="10" s="1"/>
  <c r="P26" i="36"/>
  <c r="Q32" i="50" s="1"/>
  <c r="Q49" i="50" s="1"/>
  <c r="P23" i="36"/>
  <c r="P25" i="35" s="1"/>
  <c r="F78" i="17"/>
  <c r="F61" i="10" s="1"/>
  <c r="H42" i="10"/>
  <c r="T59" i="17"/>
  <c r="T31" i="35" s="1"/>
  <c r="H174" i="17"/>
  <c r="F68" i="18"/>
  <c r="G87" i="50" s="1"/>
  <c r="G104" i="50" s="1"/>
  <c r="X173" i="17"/>
  <c r="X168" i="17" s="1"/>
  <c r="X169" i="17" s="1"/>
  <c r="X180" i="17" s="1"/>
  <c r="X83" i="15" s="1"/>
  <c r="L68" i="18"/>
  <c r="M87" i="50" s="1"/>
  <c r="M104" i="50" s="1"/>
  <c r="H37" i="10"/>
  <c r="I119" i="50" s="1"/>
  <c r="X38" i="18"/>
  <c r="Y83" i="50" s="1"/>
  <c r="Y100" i="50" s="1"/>
  <c r="F174" i="17"/>
  <c r="AB174" i="17"/>
  <c r="L48" i="17"/>
  <c r="L31" i="10" s="1"/>
  <c r="X54" i="36"/>
  <c r="X53" i="36"/>
  <c r="P20" i="10"/>
  <c r="T17" i="35"/>
  <c r="F33" i="10"/>
  <c r="G118" i="50" s="1"/>
  <c r="F34" i="36"/>
  <c r="F39" i="35" s="1"/>
  <c r="H55" i="36"/>
  <c r="H206" i="17" s="1"/>
  <c r="H55" i="17"/>
  <c r="H39" i="18" s="1"/>
  <c r="F26" i="36"/>
  <c r="G32" i="50" s="1"/>
  <c r="G49" i="50" s="1"/>
  <c r="L50" i="17"/>
  <c r="L33" i="10" s="1"/>
  <c r="E118" i="51" s="1"/>
  <c r="L56" i="17"/>
  <c r="L39" i="10" s="1"/>
  <c r="T56" i="36"/>
  <c r="T206" i="17" s="1"/>
  <c r="X20" i="18"/>
  <c r="L29" i="35"/>
  <c r="F39" i="10"/>
  <c r="L55" i="17"/>
  <c r="L39" i="18" s="1"/>
  <c r="L54" i="17"/>
  <c r="L37" i="10" s="1"/>
  <c r="M119" i="50" s="1"/>
  <c r="F43" i="35"/>
  <c r="L33" i="18"/>
  <c r="T26" i="35"/>
  <c r="X55" i="36"/>
  <c r="L37" i="18"/>
  <c r="AB43" i="35"/>
  <c r="P17" i="35"/>
  <c r="F55" i="17"/>
  <c r="F38" i="10" s="1"/>
  <c r="F54" i="17"/>
  <c r="F37" i="10" s="1"/>
  <c r="G119" i="50" s="1"/>
  <c r="L42" i="10"/>
  <c r="P70" i="17"/>
  <c r="P53" i="10" s="1"/>
  <c r="F53" i="17"/>
  <c r="F29" i="35" s="1"/>
  <c r="AB55" i="36"/>
  <c r="AB206" i="17" s="1"/>
  <c r="P21" i="18"/>
  <c r="Q79" i="50" s="1"/>
  <c r="Q96" i="50" s="1"/>
  <c r="L26" i="36"/>
  <c r="E32" i="51" s="1"/>
  <c r="E49" i="51" s="1"/>
  <c r="AB78" i="17"/>
  <c r="AB72" i="18" s="1"/>
  <c r="AB77" i="17"/>
  <c r="AB60" i="10" s="1"/>
  <c r="X10" i="17"/>
  <c r="X9" i="35" s="1"/>
  <c r="F8" i="17"/>
  <c r="F8" i="35" s="1"/>
  <c r="X9" i="17"/>
  <c r="L31" i="35"/>
  <c r="AB173" i="17"/>
  <c r="AB168" i="17" s="1"/>
  <c r="AB169" i="17" s="1"/>
  <c r="AB178" i="17" s="1"/>
  <c r="AB81" i="15" s="1"/>
  <c r="H26" i="35"/>
  <c r="P151" i="17"/>
  <c r="P156" i="17" s="1"/>
  <c r="P172" i="17" s="1"/>
  <c r="AB9" i="18"/>
  <c r="H34" i="36"/>
  <c r="I31" i="50" s="1"/>
  <c r="I48" i="50" s="1"/>
  <c r="I35" i="50"/>
  <c r="I52" i="50" s="1"/>
  <c r="AB40" i="18"/>
  <c r="T23" i="36"/>
  <c r="T25" i="35" s="1"/>
  <c r="F20" i="18"/>
  <c r="F27" i="35"/>
  <c r="H53" i="17"/>
  <c r="H36" i="10" s="1"/>
  <c r="H26" i="36"/>
  <c r="I32" i="50" s="1"/>
  <c r="I49" i="50" s="1"/>
  <c r="F31" i="17"/>
  <c r="F21" i="10" s="1"/>
  <c r="G115" i="50" s="1"/>
  <c r="AB53" i="17"/>
  <c r="AB36" i="10" s="1"/>
  <c r="AB55" i="17"/>
  <c r="AB39" i="18" s="1"/>
  <c r="AB26" i="36"/>
  <c r="AC32" i="50" s="1"/>
  <c r="AC49" i="50" s="1"/>
  <c r="X56" i="17"/>
  <c r="X39" i="10" s="1"/>
  <c r="X26" i="36"/>
  <c r="Y32" i="50" s="1"/>
  <c r="Y49" i="50" s="1"/>
  <c r="X53" i="17"/>
  <c r="X29" i="35" s="1"/>
  <c r="P174" i="17"/>
  <c r="L43" i="35"/>
  <c r="H173" i="17"/>
  <c r="F16" i="36"/>
  <c r="G28" i="50" s="1"/>
  <c r="G45" i="50" s="1"/>
  <c r="H56" i="17"/>
  <c r="H39" i="10" s="1"/>
  <c r="AB59" i="17"/>
  <c r="AB31" i="35" s="1"/>
  <c r="AB54" i="17"/>
  <c r="AB38" i="18" s="1"/>
  <c r="AC83" i="50" s="1"/>
  <c r="AC100" i="50" s="1"/>
  <c r="X55" i="17"/>
  <c r="X38" i="10" s="1"/>
  <c r="T61" i="10"/>
  <c r="X72" i="18"/>
  <c r="X77" i="17"/>
  <c r="X60" i="10" s="1"/>
  <c r="T77" i="17"/>
  <c r="T71" i="18" s="1"/>
  <c r="T40" i="36"/>
  <c r="X40" i="36"/>
  <c r="H23" i="36"/>
  <c r="H25" i="35" s="1"/>
  <c r="T34" i="18"/>
  <c r="U82" i="50" s="1"/>
  <c r="U99" i="50" s="1"/>
  <c r="T33" i="18"/>
  <c r="F15" i="36"/>
  <c r="F16" i="35" s="1"/>
  <c r="T8" i="17"/>
  <c r="T8" i="10" s="1"/>
  <c r="U111" i="50" s="1"/>
  <c r="T40" i="18"/>
  <c r="T33" i="10"/>
  <c r="U118" i="50" s="1"/>
  <c r="F156" i="17"/>
  <c r="F172" i="17" s="1"/>
  <c r="F31" i="10"/>
  <c r="T53" i="17"/>
  <c r="T36" i="10" s="1"/>
  <c r="T26" i="36"/>
  <c r="U32" i="50" s="1"/>
  <c r="U49" i="50" s="1"/>
  <c r="L15" i="36"/>
  <c r="L16" i="35" s="1"/>
  <c r="F25" i="35"/>
  <c r="T55" i="17"/>
  <c r="T38" i="10" s="1"/>
  <c r="F56" i="36"/>
  <c r="F206" i="17" s="1"/>
  <c r="T54" i="17"/>
  <c r="T37" i="10" s="1"/>
  <c r="U119" i="50" s="1"/>
  <c r="L174" i="17"/>
  <c r="L168" i="17" s="1"/>
  <c r="L169" i="17" s="1"/>
  <c r="L178" i="17" s="1"/>
  <c r="L81" i="15" s="1"/>
  <c r="AB10" i="18"/>
  <c r="F19" i="10"/>
  <c r="AB9" i="35"/>
  <c r="F26" i="35"/>
  <c r="T174" i="17"/>
  <c r="T168" i="17" s="1"/>
  <c r="T169" i="17" s="1"/>
  <c r="T178" i="17" s="1"/>
  <c r="T81" i="15" s="1"/>
  <c r="AB19" i="18"/>
  <c r="AB19" i="10"/>
  <c r="F10" i="17"/>
  <c r="F10" i="18" s="1"/>
  <c r="F9" i="17"/>
  <c r="F9" i="10" s="1"/>
  <c r="L70" i="17"/>
  <c r="L53" i="10" s="1"/>
  <c r="L78" i="17"/>
  <c r="L61" i="10" s="1"/>
  <c r="T15" i="36"/>
  <c r="U27" i="50" s="1"/>
  <c r="U44" i="50" s="1"/>
  <c r="L77" i="17"/>
  <c r="L60" i="10" s="1"/>
  <c r="W124" i="50"/>
  <c r="AG88" i="50"/>
  <c r="AG105" i="50" s="1"/>
  <c r="G88" i="51"/>
  <c r="G105" i="51" s="1"/>
  <c r="AE37" i="10"/>
  <c r="AF119" i="50" s="1"/>
  <c r="X54" i="8"/>
  <c r="I50" i="36" s="1"/>
  <c r="I72" i="15" s="1"/>
  <c r="X98" i="16"/>
  <c r="X82" i="11" s="1"/>
  <c r="Y91" i="16"/>
  <c r="V51" i="8"/>
  <c r="G47" i="36" s="1"/>
  <c r="G69" i="15" s="1"/>
  <c r="V95" i="16"/>
  <c r="V79" i="11" s="1"/>
  <c r="G72" i="10"/>
  <c r="AF124" i="14"/>
  <c r="AG124" i="14" s="1"/>
  <c r="U53" i="8"/>
  <c r="F49" i="36" s="1"/>
  <c r="F71" i="15" s="1"/>
  <c r="U52" i="8"/>
  <c r="F48" i="36" s="1"/>
  <c r="F70" i="15" s="1"/>
  <c r="F76" i="15" s="1"/>
  <c r="U97" i="16"/>
  <c r="U81" i="11" s="1"/>
  <c r="U96" i="16"/>
  <c r="U80" i="11" s="1"/>
  <c r="W89" i="16"/>
  <c r="V90" i="16"/>
  <c r="AE123" i="14"/>
  <c r="W90" i="16"/>
  <c r="U51" i="8"/>
  <c r="F47" i="36" s="1"/>
  <c r="F69" i="15" s="1"/>
  <c r="F72" i="10"/>
  <c r="U95" i="16"/>
  <c r="U79" i="11" s="1"/>
  <c r="V92" i="16"/>
  <c r="W92" i="16" s="1"/>
  <c r="X92" i="16" s="1"/>
  <c r="W54" i="8"/>
  <c r="H50" i="36" s="1"/>
  <c r="H72" i="15" s="1"/>
  <c r="H78" i="15" s="1"/>
  <c r="W98" i="16"/>
  <c r="W82" i="11" s="1"/>
  <c r="U92" i="16"/>
  <c r="P206" i="17"/>
  <c r="J103" i="17"/>
  <c r="I104" i="17"/>
  <c r="I109" i="17" s="1"/>
  <c r="R26" i="11"/>
  <c r="R27" i="11" s="1"/>
  <c r="T49" i="11"/>
  <c r="T50" i="11" s="1"/>
  <c r="D87" i="11"/>
  <c r="D88" i="11" s="1"/>
  <c r="R74" i="11"/>
  <c r="R75" i="11" s="1"/>
  <c r="R13" i="11"/>
  <c r="D60" i="50" s="1"/>
  <c r="Q13" i="11"/>
  <c r="Q14" i="11" s="1"/>
  <c r="T74" i="11"/>
  <c r="T75" i="11" s="1"/>
  <c r="T26" i="11"/>
  <c r="F64" i="50" s="1"/>
  <c r="AB124" i="50"/>
  <c r="J87" i="11"/>
  <c r="J88" i="11" s="1"/>
  <c r="H87" i="11"/>
  <c r="H88" i="11" s="1"/>
  <c r="F87" i="11"/>
  <c r="F88" i="11" s="1"/>
  <c r="AE36" i="10"/>
  <c r="L87" i="11"/>
  <c r="L88" i="11" s="1"/>
  <c r="S26" i="11"/>
  <c r="S27" i="11" s="1"/>
  <c r="Y174" i="17"/>
  <c r="Q174" i="17"/>
  <c r="AC174" i="17"/>
  <c r="C87" i="11"/>
  <c r="C88" i="11" s="1"/>
  <c r="E87" i="11"/>
  <c r="E88" i="11" s="1"/>
  <c r="W174" i="17"/>
  <c r="K87" i="11"/>
  <c r="K88" i="11" s="1"/>
  <c r="AD10" i="18"/>
  <c r="AD20" i="10"/>
  <c r="P173" i="17"/>
  <c r="V40" i="18"/>
  <c r="B87" i="11"/>
  <c r="B88" i="11" s="1"/>
  <c r="AD10" i="10"/>
  <c r="V57" i="17"/>
  <c r="V41" i="18" s="1"/>
  <c r="V45" i="35"/>
  <c r="G87" i="11"/>
  <c r="G88" i="11" s="1"/>
  <c r="D20" i="18"/>
  <c r="V34" i="18"/>
  <c r="G82" i="51" s="1"/>
  <c r="G99" i="51" s="1"/>
  <c r="F78" i="15"/>
  <c r="AD9" i="18"/>
  <c r="V33" i="10"/>
  <c r="G118" i="51" s="1"/>
  <c r="S13" i="11"/>
  <c r="S14" i="11" s="1"/>
  <c r="AE40" i="18"/>
  <c r="E28" i="51"/>
  <c r="E45" i="51" s="1"/>
  <c r="S49" i="11"/>
  <c r="S50" i="11" s="1"/>
  <c r="AE45" i="35"/>
  <c r="D39" i="10"/>
  <c r="V37" i="18"/>
  <c r="AA174" i="17"/>
  <c r="AE57" i="17"/>
  <c r="AE41" i="18" s="1"/>
  <c r="AE39" i="18"/>
  <c r="M87" i="11"/>
  <c r="M88" i="11" s="1"/>
  <c r="AE37" i="18"/>
  <c r="Q49" i="11"/>
  <c r="C67" i="50" s="1"/>
  <c r="Q74" i="11"/>
  <c r="Q75" i="11" s="1"/>
  <c r="I39" i="1" s="1"/>
  <c r="Q26" i="11"/>
  <c r="C64" i="51" s="1"/>
  <c r="D71" i="18"/>
  <c r="W32" i="50"/>
  <c r="W49" i="50" s="1"/>
  <c r="V72" i="18"/>
  <c r="D57" i="17"/>
  <c r="D41" i="18" s="1"/>
  <c r="D17" i="35"/>
  <c r="D39" i="18"/>
  <c r="D61" i="10"/>
  <c r="AD17" i="35"/>
  <c r="R174" i="17"/>
  <c r="V61" i="10"/>
  <c r="AE72" i="18"/>
  <c r="D29" i="35"/>
  <c r="D78" i="15"/>
  <c r="S174" i="17"/>
  <c r="U174" i="17"/>
  <c r="AF174" i="17"/>
  <c r="V38" i="18"/>
  <c r="W83" i="50" s="1"/>
  <c r="W100" i="50" s="1"/>
  <c r="V21" i="18"/>
  <c r="W79" i="50" s="1"/>
  <c r="W96" i="50" s="1"/>
  <c r="V37" i="10"/>
  <c r="W119" i="50" s="1"/>
  <c r="V20" i="18"/>
  <c r="D45" i="35"/>
  <c r="D37" i="18"/>
  <c r="W123" i="50"/>
  <c r="G123" i="51"/>
  <c r="V21" i="10"/>
  <c r="G115" i="51" s="1"/>
  <c r="V36" i="10"/>
  <c r="D9" i="18"/>
  <c r="D10" i="18"/>
  <c r="D10" i="10"/>
  <c r="D174" i="17"/>
  <c r="D77" i="15" s="1"/>
  <c r="AF40" i="35"/>
  <c r="AE168" i="17"/>
  <c r="AE169" i="17" s="1"/>
  <c r="AE178" i="17" s="1"/>
  <c r="AE81" i="15" s="1"/>
  <c r="J40" i="35"/>
  <c r="V168" i="17"/>
  <c r="V169" i="17" s="1"/>
  <c r="V180" i="17" s="1"/>
  <c r="V83" i="15" s="1"/>
  <c r="AD168" i="17"/>
  <c r="AD169" i="17" s="1"/>
  <c r="AD178" i="17" s="1"/>
  <c r="AD81" i="15" s="1"/>
  <c r="Z40" i="35"/>
  <c r="F18" i="10"/>
  <c r="G114" i="50" s="1"/>
  <c r="F18" i="18"/>
  <c r="G78" i="50" s="1"/>
  <c r="G95" i="50" s="1"/>
  <c r="F53" i="10"/>
  <c r="F64" i="18"/>
  <c r="G24" i="50"/>
  <c r="G41" i="50" s="1"/>
  <c r="N151" i="17"/>
  <c r="N156" i="17" s="1"/>
  <c r="N172" i="17" s="1"/>
  <c r="N56" i="36"/>
  <c r="AF9" i="36"/>
  <c r="AF10" i="17"/>
  <c r="AF9" i="17"/>
  <c r="R56" i="36"/>
  <c r="R151" i="17"/>
  <c r="R156" i="17" s="1"/>
  <c r="R172" i="17" s="1"/>
  <c r="Z54" i="17"/>
  <c r="Z55" i="17"/>
  <c r="Z26" i="36"/>
  <c r="AA32" i="50" s="1"/>
  <c r="AA49" i="50" s="1"/>
  <c r="Z53" i="17"/>
  <c r="Z56" i="17"/>
  <c r="Z152" i="17"/>
  <c r="Z157" i="17" s="1"/>
  <c r="Z173" i="17" s="1"/>
  <c r="Z55" i="36"/>
  <c r="K35" i="50"/>
  <c r="K52" i="50" s="1"/>
  <c r="J26" i="35"/>
  <c r="J18" i="36"/>
  <c r="N16" i="36"/>
  <c r="N30" i="17"/>
  <c r="N31" i="17"/>
  <c r="N34" i="36"/>
  <c r="N70" i="17"/>
  <c r="N19" i="10"/>
  <c r="N19" i="18"/>
  <c r="C36" i="51"/>
  <c r="C53" i="51" s="1"/>
  <c r="K75" i="1"/>
  <c r="L75" i="1" s="1"/>
  <c r="C36" i="50"/>
  <c r="C53" i="50" s="1"/>
  <c r="B43" i="35"/>
  <c r="AF48" i="17"/>
  <c r="AF23" i="36"/>
  <c r="R32" i="10"/>
  <c r="R33" i="18"/>
  <c r="R54" i="10"/>
  <c r="R65" i="18"/>
  <c r="R30" i="17"/>
  <c r="R31" i="17"/>
  <c r="R16" i="36"/>
  <c r="Z24" i="36"/>
  <c r="Z50" i="17"/>
  <c r="J34" i="36"/>
  <c r="J70" i="17"/>
  <c r="J10" i="17"/>
  <c r="J9" i="36"/>
  <c r="J9" i="17"/>
  <c r="B56" i="36"/>
  <c r="B47" i="36"/>
  <c r="B69" i="15" s="1"/>
  <c r="B151" i="17"/>
  <c r="B156" i="17" s="1"/>
  <c r="B172" i="17" s="1"/>
  <c r="B9" i="17"/>
  <c r="B9" i="36"/>
  <c r="B10" i="17"/>
  <c r="AF57" i="10"/>
  <c r="AF68" i="18"/>
  <c r="AF18" i="36"/>
  <c r="R23" i="36"/>
  <c r="R48" i="17"/>
  <c r="R152" i="17"/>
  <c r="R157" i="17" s="1"/>
  <c r="R173" i="17" s="1"/>
  <c r="R55" i="36"/>
  <c r="Z28" i="17"/>
  <c r="Z15" i="36"/>
  <c r="V8" i="10"/>
  <c r="V8" i="18"/>
  <c r="N10" i="36"/>
  <c r="N40" i="36"/>
  <c r="N78" i="17"/>
  <c r="N77" i="17"/>
  <c r="B19" i="10"/>
  <c r="B19" i="18"/>
  <c r="B28" i="17"/>
  <c r="B15" i="36"/>
  <c r="B18" i="36"/>
  <c r="AF151" i="17"/>
  <c r="AF156" i="17" s="1"/>
  <c r="AF172" i="17" s="1"/>
  <c r="AF56" i="36"/>
  <c r="S36" i="50"/>
  <c r="S53" i="50" s="1"/>
  <c r="R43" i="35"/>
  <c r="Z57" i="10"/>
  <c r="AA123" i="50" s="1"/>
  <c r="Z68" i="18"/>
  <c r="AA87" i="50" s="1"/>
  <c r="AA104" i="50" s="1"/>
  <c r="J28" i="36"/>
  <c r="J59" i="17"/>
  <c r="G40" i="35"/>
  <c r="AF24" i="36"/>
  <c r="AF50" i="17"/>
  <c r="Z174" i="17"/>
  <c r="Z10" i="36"/>
  <c r="J53" i="17"/>
  <c r="J54" i="17"/>
  <c r="J56" i="17"/>
  <c r="J55" i="17"/>
  <c r="J26" i="36"/>
  <c r="J10" i="36"/>
  <c r="N154" i="17"/>
  <c r="N159" i="17" s="1"/>
  <c r="N175" i="17" s="1"/>
  <c r="N54" i="36"/>
  <c r="N53" i="36"/>
  <c r="N23" i="36"/>
  <c r="N48" i="17"/>
  <c r="N32" i="10"/>
  <c r="N33" i="18"/>
  <c r="AF28" i="17"/>
  <c r="AF15" i="36"/>
  <c r="AF19" i="10"/>
  <c r="AF19" i="18"/>
  <c r="R19" i="10"/>
  <c r="R19" i="18"/>
  <c r="R154" i="17"/>
  <c r="R159" i="17" s="1"/>
  <c r="R175" i="17" s="1"/>
  <c r="R53" i="36"/>
  <c r="R54" i="36"/>
  <c r="Z19" i="10"/>
  <c r="Z19" i="18"/>
  <c r="Z16" i="36"/>
  <c r="Z30" i="17"/>
  <c r="Z31" i="17"/>
  <c r="J8" i="36"/>
  <c r="K24" i="50" s="1"/>
  <c r="K41" i="50" s="1"/>
  <c r="J8" i="17"/>
  <c r="J50" i="17"/>
  <c r="J24" i="36"/>
  <c r="V53" i="10"/>
  <c r="V64" i="18"/>
  <c r="N57" i="10"/>
  <c r="O123" i="50" s="1"/>
  <c r="N68" i="18"/>
  <c r="O87" i="50" s="1"/>
  <c r="O104" i="50" s="1"/>
  <c r="B40" i="35"/>
  <c r="B24" i="36"/>
  <c r="B50" i="17"/>
  <c r="AF54" i="10"/>
  <c r="AF65" i="18"/>
  <c r="AF78" i="17"/>
  <c r="AF77" i="17"/>
  <c r="AF40" i="36"/>
  <c r="AF10" i="36"/>
  <c r="Q69" i="1" s="1"/>
  <c r="R69" i="1" s="1"/>
  <c r="R15" i="36"/>
  <c r="S27" i="50" s="1"/>
  <c r="S44" i="50" s="1"/>
  <c r="R28" i="17"/>
  <c r="R77" i="17"/>
  <c r="R40" i="36"/>
  <c r="R78" i="17"/>
  <c r="Z8" i="36"/>
  <c r="Z8" i="17"/>
  <c r="Z28" i="36"/>
  <c r="Z59" i="17"/>
  <c r="J57" i="10"/>
  <c r="K123" i="50" s="1"/>
  <c r="J68" i="18"/>
  <c r="K87" i="50" s="1"/>
  <c r="K104" i="50" s="1"/>
  <c r="W24" i="50"/>
  <c r="W41" i="50" s="1"/>
  <c r="V8" i="35"/>
  <c r="G24" i="51"/>
  <c r="G41" i="51" s="1"/>
  <c r="N153" i="17"/>
  <c r="N158" i="17" s="1"/>
  <c r="N174" i="17" s="1"/>
  <c r="N18" i="36"/>
  <c r="B34" i="36"/>
  <c r="B70" i="17"/>
  <c r="B54" i="17"/>
  <c r="B55" i="17"/>
  <c r="B26" i="36"/>
  <c r="B53" i="17"/>
  <c r="B56" i="17"/>
  <c r="B152" i="17"/>
  <c r="B157" i="17" s="1"/>
  <c r="B173" i="17" s="1"/>
  <c r="B48" i="36"/>
  <c r="B70" i="15" s="1"/>
  <c r="B55" i="36"/>
  <c r="Z54" i="10"/>
  <c r="Z65" i="18"/>
  <c r="J54" i="10"/>
  <c r="J65" i="18"/>
  <c r="V25" i="35"/>
  <c r="V31" i="10"/>
  <c r="V32" i="18"/>
  <c r="N28" i="36"/>
  <c r="N59" i="17"/>
  <c r="AF154" i="17"/>
  <c r="AF159" i="17" s="1"/>
  <c r="AF175" i="17" s="1"/>
  <c r="AF53" i="36"/>
  <c r="AF54" i="36"/>
  <c r="R59" i="17"/>
  <c r="R28" i="36"/>
  <c r="Z40" i="36"/>
  <c r="Z78" i="17"/>
  <c r="Z77" i="17"/>
  <c r="J19" i="10"/>
  <c r="J19" i="18"/>
  <c r="J55" i="36"/>
  <c r="J152" i="17"/>
  <c r="J157" i="17" s="1"/>
  <c r="J173" i="17" s="1"/>
  <c r="J153" i="17"/>
  <c r="J158" i="17" s="1"/>
  <c r="J174" i="17" s="1"/>
  <c r="V18" i="10"/>
  <c r="V18" i="18"/>
  <c r="N9" i="36"/>
  <c r="N10" i="17"/>
  <c r="N9" i="17"/>
  <c r="N15" i="36"/>
  <c r="N28" i="17"/>
  <c r="O35" i="50"/>
  <c r="O52" i="50" s="1"/>
  <c r="N26" i="35"/>
  <c r="AF8" i="17"/>
  <c r="AF8" i="36"/>
  <c r="AF32" i="10"/>
  <c r="AF33" i="18"/>
  <c r="S35" i="50"/>
  <c r="S52" i="50" s="1"/>
  <c r="R26" i="35"/>
  <c r="R9" i="36"/>
  <c r="R10" i="17"/>
  <c r="R9" i="17"/>
  <c r="Z32" i="10"/>
  <c r="Z33" i="18"/>
  <c r="Z53" i="36"/>
  <c r="Z154" i="17"/>
  <c r="Z159" i="17" s="1"/>
  <c r="Z175" i="17" s="1"/>
  <c r="Z54" i="36"/>
  <c r="J23" i="36"/>
  <c r="J48" i="17"/>
  <c r="J30" i="17"/>
  <c r="J31" i="17"/>
  <c r="J16" i="36"/>
  <c r="W31" i="50"/>
  <c r="W48" i="50" s="1"/>
  <c r="G31" i="51"/>
  <c r="G48" i="51" s="1"/>
  <c r="V39" i="35"/>
  <c r="N43" i="35"/>
  <c r="O36" i="50"/>
  <c r="O53" i="50" s="1"/>
  <c r="B28" i="36"/>
  <c r="B59" i="17"/>
  <c r="B54" i="10"/>
  <c r="B65" i="18"/>
  <c r="B16" i="36"/>
  <c r="B30" i="17"/>
  <c r="B31" i="17"/>
  <c r="AF152" i="17"/>
  <c r="AF157" i="17" s="1"/>
  <c r="AF173" i="17" s="1"/>
  <c r="AF55" i="36"/>
  <c r="R8" i="36"/>
  <c r="R8" i="17"/>
  <c r="R18" i="36"/>
  <c r="Z34" i="36"/>
  <c r="Z70" i="17"/>
  <c r="Z56" i="36"/>
  <c r="Z151" i="17"/>
  <c r="Z156" i="17" s="1"/>
  <c r="Z172" i="17" s="1"/>
  <c r="K36" i="50"/>
  <c r="K53" i="50" s="1"/>
  <c r="J43" i="35"/>
  <c r="N54" i="10"/>
  <c r="N65" i="18"/>
  <c r="N54" i="17"/>
  <c r="N55" i="17"/>
  <c r="N56" i="17"/>
  <c r="N26" i="36"/>
  <c r="O32" i="50" s="1"/>
  <c r="O49" i="50" s="1"/>
  <c r="N53" i="17"/>
  <c r="B26" i="35"/>
  <c r="K74" i="1"/>
  <c r="L74" i="1" s="1"/>
  <c r="C35" i="50"/>
  <c r="C52" i="50" s="1"/>
  <c r="C35" i="51"/>
  <c r="C52" i="51" s="1"/>
  <c r="B23" i="36"/>
  <c r="B48" i="17"/>
  <c r="B153" i="17"/>
  <c r="B158" i="17" s="1"/>
  <c r="B174" i="17" s="1"/>
  <c r="B49" i="36"/>
  <c r="B71" i="15" s="1"/>
  <c r="B10" i="36"/>
  <c r="K69" i="1" s="1"/>
  <c r="L69" i="1" s="1"/>
  <c r="D25" i="35"/>
  <c r="AF30" i="17"/>
  <c r="AF16" i="36"/>
  <c r="AF31" i="17"/>
  <c r="Z18" i="36"/>
  <c r="J32" i="10"/>
  <c r="J33" i="18"/>
  <c r="J40" i="36"/>
  <c r="J78" i="17"/>
  <c r="J77" i="17"/>
  <c r="V16" i="35"/>
  <c r="W27" i="50"/>
  <c r="W44" i="50" s="1"/>
  <c r="G27" i="51"/>
  <c r="G44" i="51" s="1"/>
  <c r="N24" i="36"/>
  <c r="N50" i="17"/>
  <c r="N8" i="36"/>
  <c r="N8" i="17"/>
  <c r="B57" i="10"/>
  <c r="B68" i="18"/>
  <c r="AF70" i="17"/>
  <c r="AF34" i="36"/>
  <c r="Q74" i="1"/>
  <c r="R74" i="1" s="1"/>
  <c r="AF26" i="35"/>
  <c r="AG35" i="50"/>
  <c r="AG52" i="50" s="1"/>
  <c r="I35" i="51"/>
  <c r="I52" i="51" s="1"/>
  <c r="R40" i="35"/>
  <c r="R24" i="36"/>
  <c r="R50" i="17"/>
  <c r="AA35" i="50"/>
  <c r="AA52" i="50" s="1"/>
  <c r="Z26" i="35"/>
  <c r="Z9" i="36"/>
  <c r="Z10" i="17"/>
  <c r="Z9" i="17"/>
  <c r="J15" i="36"/>
  <c r="K27" i="50" s="1"/>
  <c r="K44" i="50" s="1"/>
  <c r="J28" i="17"/>
  <c r="J54" i="36"/>
  <c r="J53" i="36"/>
  <c r="J154" i="17"/>
  <c r="J159" i="17" s="1"/>
  <c r="J175" i="17" s="1"/>
  <c r="B53" i="36"/>
  <c r="B50" i="36"/>
  <c r="B72" i="15" s="1"/>
  <c r="B154" i="17"/>
  <c r="B159" i="17" s="1"/>
  <c r="B175" i="17" s="1"/>
  <c r="B54" i="36"/>
  <c r="Q75" i="1"/>
  <c r="R75" i="1" s="1"/>
  <c r="AF43" i="35"/>
  <c r="I36" i="51"/>
  <c r="I53" i="51" s="1"/>
  <c r="AG36" i="50"/>
  <c r="AG53" i="50" s="1"/>
  <c r="AF26" i="36"/>
  <c r="AF53" i="17"/>
  <c r="AF56" i="17"/>
  <c r="AF55" i="17"/>
  <c r="AF54" i="17"/>
  <c r="R34" i="36"/>
  <c r="R70" i="17"/>
  <c r="R56" i="17"/>
  <c r="R26" i="36"/>
  <c r="S32" i="50" s="1"/>
  <c r="S49" i="50" s="1"/>
  <c r="R55" i="17"/>
  <c r="R53" i="17"/>
  <c r="R54" i="17"/>
  <c r="R10" i="36"/>
  <c r="Z23" i="36"/>
  <c r="Z48" i="17"/>
  <c r="N40" i="35"/>
  <c r="N152" i="17"/>
  <c r="N157" i="17" s="1"/>
  <c r="N173" i="17" s="1"/>
  <c r="N55" i="36"/>
  <c r="B32" i="10"/>
  <c r="B33" i="18"/>
  <c r="B8" i="17"/>
  <c r="B8" i="36"/>
  <c r="B40" i="36"/>
  <c r="B78" i="17"/>
  <c r="B77" i="17"/>
  <c r="AF28" i="36"/>
  <c r="AF59" i="17"/>
  <c r="R57" i="10"/>
  <c r="S123" i="50" s="1"/>
  <c r="R68" i="18"/>
  <c r="S87" i="50" s="1"/>
  <c r="S104" i="50" s="1"/>
  <c r="AA36" i="50"/>
  <c r="AA53" i="50" s="1"/>
  <c r="Z43" i="35"/>
  <c r="J151" i="17"/>
  <c r="J156" i="17" s="1"/>
  <c r="J172" i="17" s="1"/>
  <c r="J56" i="36"/>
  <c r="E40" i="35"/>
  <c r="K40" i="35"/>
  <c r="I40" i="35"/>
  <c r="C40" i="35"/>
  <c r="AD25" i="35"/>
  <c r="S40" i="35"/>
  <c r="Y40" i="35"/>
  <c r="E54" i="17"/>
  <c r="E26" i="36"/>
  <c r="E55" i="17"/>
  <c r="E53" i="17"/>
  <c r="E56" i="17"/>
  <c r="D36" i="51"/>
  <c r="D53" i="51" s="1"/>
  <c r="H36" i="50"/>
  <c r="H53" i="50" s="1"/>
  <c r="G43" i="35"/>
  <c r="Q8" i="17"/>
  <c r="Q8" i="36"/>
  <c r="U54" i="10"/>
  <c r="U65" i="18"/>
  <c r="C77" i="17"/>
  <c r="C78" i="17"/>
  <c r="C40" i="36"/>
  <c r="F36" i="50"/>
  <c r="F53" i="50" s="1"/>
  <c r="E43" i="35"/>
  <c r="S55" i="17"/>
  <c r="S53" i="17"/>
  <c r="S26" i="36"/>
  <c r="S56" i="17"/>
  <c r="S54" i="17"/>
  <c r="O55" i="17"/>
  <c r="O54" i="17"/>
  <c r="O53" i="17"/>
  <c r="O26" i="36"/>
  <c r="O56" i="17"/>
  <c r="K28" i="17"/>
  <c r="K15" i="36"/>
  <c r="U18" i="36"/>
  <c r="D18" i="10"/>
  <c r="E114" i="50" s="1"/>
  <c r="D18" i="18"/>
  <c r="E78" i="50" s="1"/>
  <c r="E95" i="50" s="1"/>
  <c r="Q28" i="36"/>
  <c r="Q59" i="17"/>
  <c r="C8" i="17"/>
  <c r="C8" i="36"/>
  <c r="S70" i="17"/>
  <c r="S34" i="36"/>
  <c r="T31" i="10"/>
  <c r="T32" i="18"/>
  <c r="Y57" i="10"/>
  <c r="Z123" i="50" s="1"/>
  <c r="Y68" i="18"/>
  <c r="Z87" i="50" s="1"/>
  <c r="Z104" i="50" s="1"/>
  <c r="X35" i="50"/>
  <c r="X52" i="50" s="1"/>
  <c r="W26" i="35"/>
  <c r="AA154" i="17"/>
  <c r="AA159" i="17" s="1"/>
  <c r="AA175" i="17" s="1"/>
  <c r="AA54" i="36"/>
  <c r="AA53" i="36"/>
  <c r="AC54" i="10"/>
  <c r="AC65" i="18"/>
  <c r="AE18" i="10"/>
  <c r="AF114" i="50" s="1"/>
  <c r="AE18" i="18"/>
  <c r="AF78" i="50" s="1"/>
  <c r="AF95" i="50" s="1"/>
  <c r="E115" i="51"/>
  <c r="M115" i="50"/>
  <c r="S18" i="36"/>
  <c r="M154" i="17"/>
  <c r="M159" i="17" s="1"/>
  <c r="M175" i="17" s="1"/>
  <c r="M54" i="36"/>
  <c r="M53" i="36"/>
  <c r="W54" i="10"/>
  <c r="W65" i="18"/>
  <c r="Q10" i="36"/>
  <c r="N69" i="1" s="1"/>
  <c r="O69" i="1" s="1"/>
  <c r="S50" i="17"/>
  <c r="S24" i="36"/>
  <c r="O54" i="10"/>
  <c r="O65" i="18"/>
  <c r="I18" i="36"/>
  <c r="G8" i="17"/>
  <c r="G8" i="36"/>
  <c r="C10" i="17"/>
  <c r="C9" i="17"/>
  <c r="C9" i="36"/>
  <c r="O50" i="17"/>
  <c r="O24" i="36"/>
  <c r="E78" i="17"/>
  <c r="E77" i="17"/>
  <c r="E40" i="36"/>
  <c r="O32" i="10"/>
  <c r="O33" i="18"/>
  <c r="U24" i="50"/>
  <c r="U41" i="50" s="1"/>
  <c r="Y78" i="17"/>
  <c r="Y40" i="36"/>
  <c r="Y77" i="17"/>
  <c r="K153" i="17"/>
  <c r="K158" i="17" s="1"/>
  <c r="K174" i="17" s="1"/>
  <c r="W70" i="17"/>
  <c r="W34" i="36"/>
  <c r="R50" i="11"/>
  <c r="D67" i="50"/>
  <c r="AB25" i="35"/>
  <c r="Z35" i="50"/>
  <c r="Z52" i="50" s="1"/>
  <c r="Y26" i="35"/>
  <c r="G54" i="10"/>
  <c r="G65" i="18"/>
  <c r="C54" i="17"/>
  <c r="C26" i="36"/>
  <c r="C56" i="17"/>
  <c r="C53" i="17"/>
  <c r="C55" i="17"/>
  <c r="C18" i="36"/>
  <c r="AC23" i="36"/>
  <c r="AC48" i="17"/>
  <c r="AB18" i="10"/>
  <c r="AC114" i="50" s="1"/>
  <c r="AB18" i="18"/>
  <c r="AC78" i="50" s="1"/>
  <c r="AC95" i="50" s="1"/>
  <c r="E16" i="36"/>
  <c r="E30" i="17"/>
  <c r="E31" i="17"/>
  <c r="S10" i="36"/>
  <c r="Q27" i="50"/>
  <c r="Q44" i="50" s="1"/>
  <c r="P16" i="35"/>
  <c r="P39" i="10"/>
  <c r="P40" i="18"/>
  <c r="O10" i="36"/>
  <c r="AE31" i="10"/>
  <c r="AE32" i="18"/>
  <c r="N49" i="11"/>
  <c r="N50" i="11" s="1"/>
  <c r="N26" i="11"/>
  <c r="N27" i="11" s="1"/>
  <c r="N13" i="11"/>
  <c r="N14" i="11" s="1"/>
  <c r="N74" i="11"/>
  <c r="N75" i="11" s="1"/>
  <c r="AA57" i="10"/>
  <c r="AA68" i="18"/>
  <c r="AA78" i="17"/>
  <c r="AA40" i="36"/>
  <c r="AA77" i="17"/>
  <c r="AA152" i="17"/>
  <c r="AA157" i="17" s="1"/>
  <c r="AA173" i="17" s="1"/>
  <c r="AA55" i="36"/>
  <c r="M57" i="10"/>
  <c r="N123" i="50" s="1"/>
  <c r="M68" i="18"/>
  <c r="N87" i="50" s="1"/>
  <c r="N104" i="50" s="1"/>
  <c r="M30" i="17"/>
  <c r="M31" i="17"/>
  <c r="M16" i="36"/>
  <c r="Y15" i="36"/>
  <c r="Y28" i="17"/>
  <c r="Y50" i="17"/>
  <c r="Y24" i="36"/>
  <c r="E24" i="51"/>
  <c r="E41" i="51" s="1"/>
  <c r="L8" i="35"/>
  <c r="M24" i="50"/>
  <c r="M41" i="50" s="1"/>
  <c r="K57" i="10"/>
  <c r="L123" i="50" s="1"/>
  <c r="K68" i="18"/>
  <c r="L87" i="50" s="1"/>
  <c r="L104" i="50" s="1"/>
  <c r="K8" i="17"/>
  <c r="K8" i="36"/>
  <c r="G10" i="17"/>
  <c r="G9" i="17"/>
  <c r="G9" i="36"/>
  <c r="X36" i="50"/>
  <c r="X53" i="50" s="1"/>
  <c r="W43" i="35"/>
  <c r="W31" i="17"/>
  <c r="W30" i="17"/>
  <c r="W16" i="36"/>
  <c r="Q19" i="10"/>
  <c r="Q19" i="18"/>
  <c r="C32" i="10"/>
  <c r="C33" i="18"/>
  <c r="AC10" i="17"/>
  <c r="AC9" i="17"/>
  <c r="AC9" i="36"/>
  <c r="S26" i="35"/>
  <c r="T35" i="50"/>
  <c r="T52" i="50" s="1"/>
  <c r="Q31" i="50"/>
  <c r="Q48" i="50" s="1"/>
  <c r="O57" i="10"/>
  <c r="P123" i="50" s="1"/>
  <c r="O68" i="18"/>
  <c r="P87" i="50" s="1"/>
  <c r="P104" i="50" s="1"/>
  <c r="I154" i="17"/>
  <c r="I159" i="17" s="1"/>
  <c r="I175" i="17" s="1"/>
  <c r="I53" i="36"/>
  <c r="I54" i="36"/>
  <c r="U10" i="36"/>
  <c r="T53" i="10"/>
  <c r="T64" i="18"/>
  <c r="K50" i="17"/>
  <c r="K24" i="36"/>
  <c r="G10" i="36"/>
  <c r="E27" i="50"/>
  <c r="E44" i="50" s="1"/>
  <c r="D16" i="35"/>
  <c r="Q151" i="17"/>
  <c r="Q156" i="17" s="1"/>
  <c r="Q172" i="17" s="1"/>
  <c r="Q56" i="36"/>
  <c r="C28" i="17"/>
  <c r="C15" i="36"/>
  <c r="AD39" i="35"/>
  <c r="AE31" i="50"/>
  <c r="AE48" i="50" s="1"/>
  <c r="AC31" i="50"/>
  <c r="AC48" i="50" s="1"/>
  <c r="E19" i="10"/>
  <c r="E19" i="18"/>
  <c r="S48" i="17"/>
  <c r="S23" i="36"/>
  <c r="S31" i="17"/>
  <c r="S30" i="17"/>
  <c r="S16" i="36"/>
  <c r="P31" i="10"/>
  <c r="P32" i="18"/>
  <c r="I27" i="50"/>
  <c r="I44" i="50" s="1"/>
  <c r="H16" i="35"/>
  <c r="O28" i="36"/>
  <c r="O59" i="17"/>
  <c r="AE39" i="35"/>
  <c r="AF31" i="50"/>
  <c r="AF48" i="50" s="1"/>
  <c r="I34" i="36"/>
  <c r="I70" i="17"/>
  <c r="I10" i="36"/>
  <c r="U10" i="17"/>
  <c r="U9" i="36"/>
  <c r="U9" i="17"/>
  <c r="H35" i="51"/>
  <c r="H52" i="51" s="1"/>
  <c r="AB35" i="50"/>
  <c r="AB52" i="50" s="1"/>
  <c r="AA26" i="35"/>
  <c r="M26" i="35"/>
  <c r="N35" i="50"/>
  <c r="N52" i="50" s="1"/>
  <c r="Y43" i="35"/>
  <c r="Z36" i="50"/>
  <c r="Z53" i="50" s="1"/>
  <c r="Y151" i="17"/>
  <c r="Y156" i="17" s="1"/>
  <c r="Y172" i="17" s="1"/>
  <c r="Y56" i="36"/>
  <c r="L18" i="10"/>
  <c r="L18" i="18"/>
  <c r="K19" i="10"/>
  <c r="K19" i="18"/>
  <c r="G34" i="36"/>
  <c r="G70" i="17"/>
  <c r="W19" i="10"/>
  <c r="W19" i="18"/>
  <c r="C24" i="36"/>
  <c r="C50" i="17"/>
  <c r="AC53" i="17"/>
  <c r="AC54" i="17"/>
  <c r="AC26" i="36"/>
  <c r="AC55" i="17"/>
  <c r="AC56" i="17"/>
  <c r="AC18" i="36"/>
  <c r="O31" i="17"/>
  <c r="O30" i="17"/>
  <c r="O16" i="36"/>
  <c r="I54" i="10"/>
  <c r="I65" i="18"/>
  <c r="M40" i="36"/>
  <c r="M77" i="17"/>
  <c r="M78" i="17"/>
  <c r="M152" i="17"/>
  <c r="M157" i="17" s="1"/>
  <c r="M173" i="17" s="1"/>
  <c r="M55" i="36"/>
  <c r="W40" i="36"/>
  <c r="W77" i="17"/>
  <c r="W78" i="17"/>
  <c r="W152" i="17"/>
  <c r="W157" i="17" s="1"/>
  <c r="W173" i="17" s="1"/>
  <c r="W55" i="36"/>
  <c r="C28" i="36"/>
  <c r="C59" i="17"/>
  <c r="E8" i="17"/>
  <c r="E8" i="36"/>
  <c r="U70" i="17"/>
  <c r="U34" i="36"/>
  <c r="AA8" i="17"/>
  <c r="AA8" i="36"/>
  <c r="M23" i="36"/>
  <c r="M48" i="17"/>
  <c r="M151" i="17"/>
  <c r="M156" i="17" s="1"/>
  <c r="M172" i="17" s="1"/>
  <c r="M56" i="36"/>
  <c r="K53" i="17"/>
  <c r="K54" i="17"/>
  <c r="K26" i="36"/>
  <c r="K55" i="17"/>
  <c r="K56" i="17"/>
  <c r="Q154" i="17"/>
  <c r="Q159" i="17" s="1"/>
  <c r="Q175" i="17" s="1"/>
  <c r="Q53" i="36"/>
  <c r="Q54" i="36"/>
  <c r="AB31" i="10"/>
  <c r="AB32" i="18"/>
  <c r="O48" i="17"/>
  <c r="O23" i="36"/>
  <c r="Y32" i="10"/>
  <c r="Y33" i="18"/>
  <c r="AC70" i="17"/>
  <c r="AC34" i="36"/>
  <c r="E24" i="36"/>
  <c r="E50" i="17"/>
  <c r="P18" i="10"/>
  <c r="Q114" i="50" s="1"/>
  <c r="P18" i="18"/>
  <c r="Q78" i="50" s="1"/>
  <c r="Q95" i="50" s="1"/>
  <c r="O18" i="36"/>
  <c r="U19" i="10"/>
  <c r="U19" i="18"/>
  <c r="Y9" i="36"/>
  <c r="Y10" i="17"/>
  <c r="Y9" i="17"/>
  <c r="L8" i="10"/>
  <c r="L8" i="18"/>
  <c r="L36" i="50"/>
  <c r="L53" i="50" s="1"/>
  <c r="K43" i="35"/>
  <c r="D35" i="51"/>
  <c r="D52" i="51" s="1"/>
  <c r="H35" i="50"/>
  <c r="H52" i="50" s="1"/>
  <c r="G26" i="35"/>
  <c r="W154" i="17"/>
  <c r="W159" i="17" s="1"/>
  <c r="W175" i="17" s="1"/>
  <c r="W54" i="36"/>
  <c r="W53" i="36"/>
  <c r="F35" i="51"/>
  <c r="F52" i="51" s="1"/>
  <c r="R35" i="50"/>
  <c r="R52" i="50" s="1"/>
  <c r="Q26" i="35"/>
  <c r="N74" i="1"/>
  <c r="O74" i="1" s="1"/>
  <c r="AC154" i="17"/>
  <c r="AC159" i="17" s="1"/>
  <c r="AC175" i="17" s="1"/>
  <c r="AC53" i="36"/>
  <c r="AC54" i="36"/>
  <c r="S32" i="10"/>
  <c r="S33" i="18"/>
  <c r="U55" i="17"/>
  <c r="U53" i="17"/>
  <c r="U26" i="36"/>
  <c r="U56" i="17"/>
  <c r="U54" i="17"/>
  <c r="G18" i="36"/>
  <c r="H18" i="10"/>
  <c r="I114" i="50" s="1"/>
  <c r="H18" i="18"/>
  <c r="I78" i="50" s="1"/>
  <c r="I95" i="50" s="1"/>
  <c r="I8" i="17"/>
  <c r="I8" i="36"/>
  <c r="AA151" i="17"/>
  <c r="AA156" i="17" s="1"/>
  <c r="AA172" i="17" s="1"/>
  <c r="AA56" i="36"/>
  <c r="Y28" i="36"/>
  <c r="Y59" i="17"/>
  <c r="K26" i="35"/>
  <c r="L35" i="50"/>
  <c r="L52" i="50" s="1"/>
  <c r="AC152" i="17"/>
  <c r="AC157" i="17" s="1"/>
  <c r="AC173" i="17" s="1"/>
  <c r="AC55" i="36"/>
  <c r="M153" i="17"/>
  <c r="M158" i="17" s="1"/>
  <c r="M174" i="17" s="1"/>
  <c r="E28" i="17"/>
  <c r="E15" i="36"/>
  <c r="I57" i="10"/>
  <c r="J123" i="50" s="1"/>
  <c r="I68" i="18"/>
  <c r="J87" i="50" s="1"/>
  <c r="J104" i="50" s="1"/>
  <c r="AA31" i="17"/>
  <c r="AA30" i="17"/>
  <c r="AA16" i="36"/>
  <c r="Y152" i="17"/>
  <c r="Y157" i="17" s="1"/>
  <c r="Y173" i="17" s="1"/>
  <c r="Y55" i="36"/>
  <c r="K54" i="10"/>
  <c r="K65" i="18"/>
  <c r="Q50" i="17"/>
  <c r="Q24" i="36"/>
  <c r="AC28" i="36"/>
  <c r="AC59" i="17"/>
  <c r="AE27" i="50"/>
  <c r="AE44" i="50" s="1"/>
  <c r="AD16" i="35"/>
  <c r="E34" i="36"/>
  <c r="E70" i="17"/>
  <c r="E49" i="36"/>
  <c r="E71" i="15" s="1"/>
  <c r="E153" i="17"/>
  <c r="E158" i="17" s="1"/>
  <c r="E174" i="17" s="1"/>
  <c r="P61" i="10"/>
  <c r="P72" i="18"/>
  <c r="P35" i="50"/>
  <c r="P52" i="50" s="1"/>
  <c r="O26" i="35"/>
  <c r="AF24" i="50"/>
  <c r="AF41" i="50" s="1"/>
  <c r="AE8" i="35"/>
  <c r="I43" i="35"/>
  <c r="J36" i="50"/>
  <c r="J53" i="50" s="1"/>
  <c r="U57" i="10"/>
  <c r="V123" i="50" s="1"/>
  <c r="U68" i="18"/>
  <c r="V87" i="50" s="1"/>
  <c r="V104" i="50" s="1"/>
  <c r="U28" i="17"/>
  <c r="U15" i="36"/>
  <c r="AA23" i="36"/>
  <c r="AA48" i="17"/>
  <c r="AA9" i="36"/>
  <c r="AA9" i="17"/>
  <c r="AA10" i="17"/>
  <c r="M8" i="17"/>
  <c r="M8" i="36"/>
  <c r="Y55" i="17"/>
  <c r="Y54" i="17"/>
  <c r="Y26" i="36"/>
  <c r="Y53" i="17"/>
  <c r="Y56" i="17"/>
  <c r="Y18" i="36"/>
  <c r="K40" i="36"/>
  <c r="K78" i="17"/>
  <c r="K77" i="17"/>
  <c r="K152" i="17"/>
  <c r="K157" i="17" s="1"/>
  <c r="K173" i="17" s="1"/>
  <c r="K55" i="36"/>
  <c r="G151" i="17"/>
  <c r="G156" i="17" s="1"/>
  <c r="G172" i="17" s="1"/>
  <c r="G56" i="36"/>
  <c r="W23" i="36"/>
  <c r="W48" i="17"/>
  <c r="W151" i="17"/>
  <c r="W156" i="17" s="1"/>
  <c r="W172" i="17" s="1"/>
  <c r="W56" i="36"/>
  <c r="I87" i="11"/>
  <c r="I88" i="11" s="1"/>
  <c r="F60" i="50"/>
  <c r="T14" i="11"/>
  <c r="Q48" i="17"/>
  <c r="Q23" i="36"/>
  <c r="Q31" i="17"/>
  <c r="Q30" i="17"/>
  <c r="Q16" i="36"/>
  <c r="C54" i="10"/>
  <c r="C65" i="18"/>
  <c r="AC151" i="17"/>
  <c r="AC156" i="17" s="1"/>
  <c r="AC172" i="17" s="1"/>
  <c r="AC56" i="36"/>
  <c r="O8" i="17"/>
  <c r="O8" i="36"/>
  <c r="Y19" i="10"/>
  <c r="Y19" i="18"/>
  <c r="C152" i="17"/>
  <c r="C157" i="17" s="1"/>
  <c r="C173" i="17" s="1"/>
  <c r="C55" i="36"/>
  <c r="C48" i="36"/>
  <c r="C70" i="15" s="1"/>
  <c r="AC28" i="17"/>
  <c r="AC15" i="36"/>
  <c r="AD31" i="10"/>
  <c r="AD32" i="18"/>
  <c r="AC27" i="50"/>
  <c r="AC44" i="50" s="1"/>
  <c r="AB16" i="35"/>
  <c r="E54" i="10"/>
  <c r="E65" i="18"/>
  <c r="E154" i="17"/>
  <c r="E159" i="17" s="1"/>
  <c r="E175" i="17" s="1"/>
  <c r="E54" i="36"/>
  <c r="E53" i="36"/>
  <c r="E50" i="36"/>
  <c r="E72" i="15" s="1"/>
  <c r="S54" i="10"/>
  <c r="S65" i="18"/>
  <c r="X53" i="10"/>
  <c r="X64" i="18"/>
  <c r="E119" i="51"/>
  <c r="O153" i="17"/>
  <c r="O158" i="17" s="1"/>
  <c r="O174" i="17" s="1"/>
  <c r="AE25" i="35"/>
  <c r="I19" i="10"/>
  <c r="I19" i="18"/>
  <c r="U32" i="10"/>
  <c r="U33" i="18"/>
  <c r="H36" i="51"/>
  <c r="H53" i="51" s="1"/>
  <c r="AB36" i="50"/>
  <c r="AB53" i="50" s="1"/>
  <c r="AA43" i="35"/>
  <c r="AA10" i="36"/>
  <c r="AA18" i="36"/>
  <c r="N36" i="50"/>
  <c r="N53" i="50" s="1"/>
  <c r="M43" i="35"/>
  <c r="M9" i="36"/>
  <c r="M10" i="17"/>
  <c r="M9" i="17"/>
  <c r="O74" i="11"/>
  <c r="O75" i="11" s="1"/>
  <c r="O13" i="11"/>
  <c r="O14" i="11" s="1"/>
  <c r="O26" i="11"/>
  <c r="O27" i="11" s="1"/>
  <c r="O49" i="11"/>
  <c r="O50" i="11" s="1"/>
  <c r="Y8" i="17"/>
  <c r="Y8" i="36"/>
  <c r="Y154" i="17"/>
  <c r="Y159" i="17" s="1"/>
  <c r="Y175" i="17" s="1"/>
  <c r="Y53" i="36"/>
  <c r="Y54" i="36"/>
  <c r="K70" i="17"/>
  <c r="K34" i="36"/>
  <c r="K28" i="36"/>
  <c r="K59" i="17"/>
  <c r="G19" i="10"/>
  <c r="G19" i="18"/>
  <c r="G24" i="36"/>
  <c r="G50" i="17"/>
  <c r="D39" i="35"/>
  <c r="E31" i="50"/>
  <c r="E48" i="50" s="1"/>
  <c r="W57" i="10"/>
  <c r="X123" i="50" s="1"/>
  <c r="W68" i="18"/>
  <c r="X87" i="50" s="1"/>
  <c r="X104" i="50" s="1"/>
  <c r="W9" i="36"/>
  <c r="W9" i="17"/>
  <c r="W10" i="17"/>
  <c r="Q77" i="17"/>
  <c r="Q40" i="36"/>
  <c r="Q78" i="17"/>
  <c r="Q152" i="17"/>
  <c r="Q157" i="17" s="1"/>
  <c r="Q173" i="17" s="1"/>
  <c r="Q55" i="36"/>
  <c r="C19" i="10"/>
  <c r="C19" i="18"/>
  <c r="AC32" i="10"/>
  <c r="AC33" i="18"/>
  <c r="AC24" i="36"/>
  <c r="AC50" i="17"/>
  <c r="AD8" i="10"/>
  <c r="AE111" i="50" s="1"/>
  <c r="AD8" i="18"/>
  <c r="AE75" i="50" s="1"/>
  <c r="AE92" i="50" s="1"/>
  <c r="S19" i="10"/>
  <c r="S19" i="18"/>
  <c r="H31" i="10"/>
  <c r="H32" i="18"/>
  <c r="P36" i="50"/>
  <c r="P53" i="50" s="1"/>
  <c r="O43" i="35"/>
  <c r="I10" i="17"/>
  <c r="I9" i="17"/>
  <c r="I9" i="36"/>
  <c r="I28" i="36"/>
  <c r="I59" i="17"/>
  <c r="U31" i="50"/>
  <c r="U48" i="50" s="1"/>
  <c r="T39" i="35"/>
  <c r="K154" i="17"/>
  <c r="K159" i="17" s="1"/>
  <c r="K175" i="17" s="1"/>
  <c r="K54" i="36"/>
  <c r="K53" i="36"/>
  <c r="G153" i="17"/>
  <c r="G158" i="17" s="1"/>
  <c r="G174" i="17" s="1"/>
  <c r="C70" i="17"/>
  <c r="C34" i="36"/>
  <c r="AD53" i="10"/>
  <c r="AD64" i="18"/>
  <c r="E32" i="10"/>
  <c r="E33" i="18"/>
  <c r="T36" i="50"/>
  <c r="T53" i="50" s="1"/>
  <c r="S43" i="35"/>
  <c r="S28" i="17"/>
  <c r="S15" i="36"/>
  <c r="S10" i="17"/>
  <c r="S9" i="36"/>
  <c r="S9" i="17"/>
  <c r="X8" i="10"/>
  <c r="Y111" i="50" s="1"/>
  <c r="X8" i="18"/>
  <c r="Y75" i="50" s="1"/>
  <c r="Y92" i="50" s="1"/>
  <c r="O151" i="17"/>
  <c r="O156" i="17" s="1"/>
  <c r="O172" i="17" s="1"/>
  <c r="O56" i="36"/>
  <c r="AE53" i="10"/>
  <c r="AE64" i="18"/>
  <c r="I23" i="36"/>
  <c r="I48" i="17"/>
  <c r="I153" i="17"/>
  <c r="I158" i="17" s="1"/>
  <c r="I174" i="17" s="1"/>
  <c r="U154" i="17"/>
  <c r="U159" i="17" s="1"/>
  <c r="U175" i="17" s="1"/>
  <c r="U53" i="36"/>
  <c r="U54" i="36"/>
  <c r="AA19" i="10"/>
  <c r="AA19" i="18"/>
  <c r="M19" i="10"/>
  <c r="M19" i="18"/>
  <c r="G23" i="36"/>
  <c r="G48" i="17"/>
  <c r="D8" i="10"/>
  <c r="E111" i="50" s="1"/>
  <c r="D8" i="18"/>
  <c r="E75" i="50" s="1"/>
  <c r="E92" i="50" s="1"/>
  <c r="C16" i="36"/>
  <c r="C30" i="17"/>
  <c r="C31" i="17"/>
  <c r="AC43" i="35"/>
  <c r="AD36" i="50"/>
  <c r="AD53" i="50" s="1"/>
  <c r="AC10" i="36"/>
  <c r="AD30" i="35"/>
  <c r="E28" i="36"/>
  <c r="E59" i="17"/>
  <c r="Y27" i="50"/>
  <c r="Y44" i="50" s="1"/>
  <c r="X16" i="35"/>
  <c r="O10" i="17"/>
  <c r="O9" i="36"/>
  <c r="O9" i="17"/>
  <c r="M53" i="17"/>
  <c r="M26" i="36"/>
  <c r="M54" i="17"/>
  <c r="M55" i="17"/>
  <c r="M56" i="17"/>
  <c r="M18" i="36"/>
  <c r="W53" i="17"/>
  <c r="W55" i="17"/>
  <c r="W54" i="17"/>
  <c r="W26" i="36"/>
  <c r="W56" i="17"/>
  <c r="W18" i="36"/>
  <c r="C151" i="17"/>
  <c r="C156" i="17" s="1"/>
  <c r="C172" i="17" s="1"/>
  <c r="C56" i="36"/>
  <c r="C47" i="36"/>
  <c r="C69" i="15" s="1"/>
  <c r="AB8" i="10"/>
  <c r="AC111" i="50" s="1"/>
  <c r="AB8" i="18"/>
  <c r="AC75" i="50" s="1"/>
  <c r="AC92" i="50" s="1"/>
  <c r="E10" i="36"/>
  <c r="S151" i="17"/>
  <c r="S156" i="17" s="1"/>
  <c r="S172" i="17" s="1"/>
  <c r="S56" i="36"/>
  <c r="H53" i="10"/>
  <c r="H64" i="18"/>
  <c r="U28" i="36"/>
  <c r="U59" i="17"/>
  <c r="W8" i="17"/>
  <c r="W8" i="36"/>
  <c r="F36" i="51"/>
  <c r="F53" i="51" s="1"/>
  <c r="N75" i="1"/>
  <c r="O75" i="1" s="1"/>
  <c r="R36" i="50"/>
  <c r="R53" i="50" s="1"/>
  <c r="Q43" i="35"/>
  <c r="C57" i="10"/>
  <c r="D123" i="50" s="1"/>
  <c r="C68" i="18"/>
  <c r="D87" i="50" s="1"/>
  <c r="D104" i="50" s="1"/>
  <c r="M31" i="50"/>
  <c r="M48" i="50" s="1"/>
  <c r="E31" i="51"/>
  <c r="E48" i="51" s="1"/>
  <c r="Q54" i="10"/>
  <c r="Q65" i="18"/>
  <c r="C153" i="17"/>
  <c r="C158" i="17" s="1"/>
  <c r="C174" i="17" s="1"/>
  <c r="C49" i="36"/>
  <c r="C71" i="15" s="1"/>
  <c r="H8" i="10"/>
  <c r="I111" i="50" s="1"/>
  <c r="H8" i="18"/>
  <c r="I75" i="50" s="1"/>
  <c r="I92" i="50" s="1"/>
  <c r="J35" i="50"/>
  <c r="J52" i="50" s="1"/>
  <c r="I26" i="35"/>
  <c r="AA54" i="10"/>
  <c r="AA65" i="18"/>
  <c r="M54" i="10"/>
  <c r="M65" i="18"/>
  <c r="Y23" i="36"/>
  <c r="Y48" i="17"/>
  <c r="G154" i="17"/>
  <c r="G159" i="17" s="1"/>
  <c r="G175" i="17" s="1"/>
  <c r="G54" i="36"/>
  <c r="G53" i="36"/>
  <c r="G50" i="36"/>
  <c r="G72" i="15" s="1"/>
  <c r="AC26" i="35"/>
  <c r="AD35" i="50"/>
  <c r="AD52" i="50" s="1"/>
  <c r="I16" i="36"/>
  <c r="I30" i="17"/>
  <c r="I31" i="17"/>
  <c r="K10" i="17"/>
  <c r="K9" i="36"/>
  <c r="K9" i="17"/>
  <c r="G78" i="17"/>
  <c r="G77" i="17"/>
  <c r="G40" i="36"/>
  <c r="I78" i="17"/>
  <c r="I77" i="17"/>
  <c r="I40" i="36"/>
  <c r="U31" i="17"/>
  <c r="U30" i="17"/>
  <c r="U16" i="36"/>
  <c r="AA32" i="10"/>
  <c r="AA33" i="18"/>
  <c r="M32" i="10"/>
  <c r="M33" i="18"/>
  <c r="AC78" i="17"/>
  <c r="AC77" i="17"/>
  <c r="AC40" i="36"/>
  <c r="AD18" i="10"/>
  <c r="AE114" i="50" s="1"/>
  <c r="AD18" i="18"/>
  <c r="AE78" i="50" s="1"/>
  <c r="AE95" i="50" s="1"/>
  <c r="AC24" i="50"/>
  <c r="AC41" i="50" s="1"/>
  <c r="AB8" i="35"/>
  <c r="E18" i="36"/>
  <c r="U48" i="17"/>
  <c r="U23" i="36"/>
  <c r="U151" i="17"/>
  <c r="U156" i="17" s="1"/>
  <c r="U172" i="17" s="1"/>
  <c r="U56" i="36"/>
  <c r="AA70" i="17"/>
  <c r="AA34" i="36"/>
  <c r="M15" i="36"/>
  <c r="M28" i="17"/>
  <c r="G28" i="36"/>
  <c r="G59" i="17"/>
  <c r="D31" i="10"/>
  <c r="D32" i="18"/>
  <c r="W28" i="36"/>
  <c r="W59" i="17"/>
  <c r="Q70" i="17"/>
  <c r="Q34" i="36"/>
  <c r="E123" i="51"/>
  <c r="M123" i="50"/>
  <c r="O28" i="17"/>
  <c r="O15" i="36"/>
  <c r="E23" i="36"/>
  <c r="E48" i="17"/>
  <c r="E152" i="17"/>
  <c r="E157" i="17" s="1"/>
  <c r="E173" i="17" s="1"/>
  <c r="E55" i="36"/>
  <c r="E48" i="36"/>
  <c r="E70" i="15" s="1"/>
  <c r="S28" i="36"/>
  <c r="S59" i="17"/>
  <c r="P8" i="10"/>
  <c r="Q111" i="50" s="1"/>
  <c r="P8" i="18"/>
  <c r="Q75" i="50" s="1"/>
  <c r="Q92" i="50" s="1"/>
  <c r="O19" i="10"/>
  <c r="O19" i="18"/>
  <c r="AE8" i="10"/>
  <c r="AF111" i="50" s="1"/>
  <c r="AE8" i="18"/>
  <c r="AF75" i="50" s="1"/>
  <c r="AF92" i="50" s="1"/>
  <c r="P74" i="11"/>
  <c r="P75" i="11" s="1"/>
  <c r="P26" i="11"/>
  <c r="P27" i="11" s="1"/>
  <c r="P13" i="11"/>
  <c r="P14" i="11" s="1"/>
  <c r="P49" i="11"/>
  <c r="P50" i="11" s="1"/>
  <c r="U43" i="35"/>
  <c r="V36" i="50"/>
  <c r="V53" i="50" s="1"/>
  <c r="U8" i="17"/>
  <c r="U8" i="36"/>
  <c r="AA15" i="36"/>
  <c r="AA28" i="17"/>
  <c r="AA50" i="17"/>
  <c r="AA24" i="36"/>
  <c r="M70" i="17"/>
  <c r="M34" i="36"/>
  <c r="M59" i="17"/>
  <c r="M28" i="36"/>
  <c r="Y10" i="36"/>
  <c r="K10" i="36"/>
  <c r="K18" i="36"/>
  <c r="G57" i="10"/>
  <c r="G68" i="18"/>
  <c r="W28" i="17"/>
  <c r="W15" i="36"/>
  <c r="Q57" i="10"/>
  <c r="Q68" i="18"/>
  <c r="Q28" i="17"/>
  <c r="Q15" i="36"/>
  <c r="Q9" i="17"/>
  <c r="Q10" i="17"/>
  <c r="Q9" i="36"/>
  <c r="D36" i="50"/>
  <c r="D53" i="50" s="1"/>
  <c r="C43" i="35"/>
  <c r="AC40" i="35"/>
  <c r="O70" i="17"/>
  <c r="O34" i="36"/>
  <c r="AF27" i="50"/>
  <c r="AF44" i="50" s="1"/>
  <c r="AE16" i="35"/>
  <c r="U40" i="35"/>
  <c r="Q40" i="35"/>
  <c r="C10" i="36"/>
  <c r="AC8" i="17"/>
  <c r="AC8" i="36"/>
  <c r="E57" i="10"/>
  <c r="F123" i="50" s="1"/>
  <c r="E68" i="18"/>
  <c r="F87" i="50" s="1"/>
  <c r="F104" i="50" s="1"/>
  <c r="E10" i="17"/>
  <c r="E9" i="17"/>
  <c r="E9" i="36"/>
  <c r="E79" i="51"/>
  <c r="E96" i="51" s="1"/>
  <c r="M79" i="50"/>
  <c r="M96" i="50" s="1"/>
  <c r="S40" i="36"/>
  <c r="S78" i="17"/>
  <c r="S77" i="17"/>
  <c r="S152" i="17"/>
  <c r="S157" i="17" s="1"/>
  <c r="S173" i="17" s="1"/>
  <c r="S55" i="36"/>
  <c r="Y31" i="50"/>
  <c r="Y48" i="50" s="1"/>
  <c r="X39" i="35"/>
  <c r="O40" i="36"/>
  <c r="O77" i="17"/>
  <c r="O78" i="17"/>
  <c r="O152" i="17"/>
  <c r="O157" i="17" s="1"/>
  <c r="O173" i="17" s="1"/>
  <c r="O55" i="36"/>
  <c r="I32" i="10"/>
  <c r="I33" i="18"/>
  <c r="U26" i="35"/>
  <c r="V35" i="50"/>
  <c r="V52" i="50" s="1"/>
  <c r="T18" i="10"/>
  <c r="U114" i="50" s="1"/>
  <c r="T18" i="18"/>
  <c r="U78" i="50" s="1"/>
  <c r="U95" i="50" s="1"/>
  <c r="AA40" i="35"/>
  <c r="AA55" i="17"/>
  <c r="AA54" i="17"/>
  <c r="AA26" i="36"/>
  <c r="AA53" i="17"/>
  <c r="AA56" i="17"/>
  <c r="M40" i="35"/>
  <c r="M50" i="17"/>
  <c r="M24" i="36"/>
  <c r="Y70" i="17"/>
  <c r="Y34" i="36"/>
  <c r="Y31" i="17"/>
  <c r="Y30" i="17"/>
  <c r="Y16" i="36"/>
  <c r="K23" i="36"/>
  <c r="K48" i="17"/>
  <c r="K151" i="17"/>
  <c r="K156" i="17" s="1"/>
  <c r="K172" i="17" s="1"/>
  <c r="K56" i="36"/>
  <c r="G32" i="10"/>
  <c r="G33" i="18"/>
  <c r="G16" i="36"/>
  <c r="G31" i="17"/>
  <c r="G30" i="17"/>
  <c r="D53" i="10"/>
  <c r="D64" i="18"/>
  <c r="W40" i="35"/>
  <c r="W50" i="17"/>
  <c r="W24" i="36"/>
  <c r="Q32" i="10"/>
  <c r="Q33" i="18"/>
  <c r="Q55" i="17"/>
  <c r="Q53" i="17"/>
  <c r="Q26" i="36"/>
  <c r="Q54" i="17"/>
  <c r="Q56" i="17"/>
  <c r="Q18" i="36"/>
  <c r="D35" i="50"/>
  <c r="D52" i="50" s="1"/>
  <c r="C26" i="35"/>
  <c r="AC19" i="10"/>
  <c r="AC19" i="18"/>
  <c r="AC30" i="17"/>
  <c r="AC16" i="36"/>
  <c r="AC31" i="17"/>
  <c r="AE24" i="50"/>
  <c r="AE41" i="50" s="1"/>
  <c r="AD8" i="35"/>
  <c r="I24" i="36"/>
  <c r="I50" i="17"/>
  <c r="I151" i="17"/>
  <c r="I156" i="17" s="1"/>
  <c r="I172" i="17" s="1"/>
  <c r="I56" i="36"/>
  <c r="U40" i="36"/>
  <c r="U78" i="17"/>
  <c r="U77" i="17"/>
  <c r="U152" i="17"/>
  <c r="U157" i="17" s="1"/>
  <c r="U173" i="17" s="1"/>
  <c r="U55" i="36"/>
  <c r="K31" i="17"/>
  <c r="K30" i="17"/>
  <c r="K16" i="36"/>
  <c r="G54" i="17"/>
  <c r="G26" i="36"/>
  <c r="G55" i="17"/>
  <c r="G56" i="17"/>
  <c r="G53" i="17"/>
  <c r="G152" i="17"/>
  <c r="G157" i="17" s="1"/>
  <c r="G173" i="17" s="1"/>
  <c r="G55" i="36"/>
  <c r="C23" i="36"/>
  <c r="C48" i="17"/>
  <c r="F35" i="50"/>
  <c r="F52" i="50" s="1"/>
  <c r="E26" i="35"/>
  <c r="S57" i="10"/>
  <c r="T123" i="50" s="1"/>
  <c r="S68" i="18"/>
  <c r="T87" i="50" s="1"/>
  <c r="T104" i="50" s="1"/>
  <c r="S8" i="17"/>
  <c r="S8" i="36"/>
  <c r="S154" i="17"/>
  <c r="S159" i="17" s="1"/>
  <c r="S175" i="17" s="1"/>
  <c r="S53" i="36"/>
  <c r="S54" i="36"/>
  <c r="O40" i="35"/>
  <c r="I28" i="17"/>
  <c r="I15" i="36"/>
  <c r="I54" i="17"/>
  <c r="I26" i="36"/>
  <c r="I53" i="17"/>
  <c r="I55" i="17"/>
  <c r="I56" i="17"/>
  <c r="I152" i="17"/>
  <c r="I157" i="17" s="1"/>
  <c r="I173" i="17" s="1"/>
  <c r="I55" i="36"/>
  <c r="U50" i="17"/>
  <c r="U24" i="36"/>
  <c r="AA28" i="36"/>
  <c r="AA59" i="17"/>
  <c r="Y54" i="10"/>
  <c r="Y65" i="18"/>
  <c r="K32" i="10"/>
  <c r="K33" i="18"/>
  <c r="G28" i="17"/>
  <c r="G15" i="36"/>
  <c r="E24" i="50"/>
  <c r="E41" i="50" s="1"/>
  <c r="D8" i="35"/>
  <c r="W32" i="10"/>
  <c r="W33" i="18"/>
  <c r="C154" i="17"/>
  <c r="C159" i="17" s="1"/>
  <c r="C175" i="17" s="1"/>
  <c r="C50" i="36"/>
  <c r="C72" i="15" s="1"/>
  <c r="C54" i="36"/>
  <c r="C53" i="36"/>
  <c r="AC57" i="10"/>
  <c r="AD123" i="50" s="1"/>
  <c r="AC68" i="18"/>
  <c r="AD87" i="50" s="1"/>
  <c r="AD104" i="50" s="1"/>
  <c r="E151" i="17"/>
  <c r="E156" i="17" s="1"/>
  <c r="E172" i="17" s="1"/>
  <c r="E56" i="36"/>
  <c r="E47" i="36"/>
  <c r="E69" i="15" s="1"/>
  <c r="X18" i="10"/>
  <c r="Y114" i="50" s="1"/>
  <c r="X18" i="18"/>
  <c r="Y78" i="50" s="1"/>
  <c r="Y95" i="50" s="1"/>
  <c r="O154" i="17"/>
  <c r="O159" i="17" s="1"/>
  <c r="O175" i="17" s="1"/>
  <c r="O54" i="36"/>
  <c r="O53" i="36"/>
  <c r="M10" i="36"/>
  <c r="W10" i="36"/>
  <c r="Q24" i="50" l="1"/>
  <c r="Q41" i="50" s="1"/>
  <c r="P43" i="18"/>
  <c r="P46" i="18" s="1"/>
  <c r="L9" i="35"/>
  <c r="X206" i="17"/>
  <c r="I24" i="50"/>
  <c r="I41" i="50" s="1"/>
  <c r="AB53" i="10"/>
  <c r="L20" i="18"/>
  <c r="AG28" i="17"/>
  <c r="Y24" i="50"/>
  <c r="Y41" i="50" s="1"/>
  <c r="P71" i="18"/>
  <c r="X25" i="35"/>
  <c r="X32" i="18"/>
  <c r="AB39" i="35"/>
  <c r="X42" i="10"/>
  <c r="X31" i="35"/>
  <c r="P42" i="10"/>
  <c r="D64" i="50"/>
  <c r="AG31" i="17"/>
  <c r="F71" i="18"/>
  <c r="AG19" i="18"/>
  <c r="AG54" i="17"/>
  <c r="AG59" i="17"/>
  <c r="H72" i="18"/>
  <c r="AG53" i="17"/>
  <c r="AG70" i="17"/>
  <c r="AG30" i="17"/>
  <c r="AG29" i="17"/>
  <c r="AG78" i="17"/>
  <c r="AG10" i="17"/>
  <c r="AG8" i="17"/>
  <c r="AG77" i="17"/>
  <c r="AG50" i="17"/>
  <c r="AG48" i="17"/>
  <c r="AG9" i="17"/>
  <c r="AG65" i="18"/>
  <c r="AG33" i="18"/>
  <c r="AG68" i="18"/>
  <c r="P37" i="18"/>
  <c r="L10" i="18"/>
  <c r="P29" i="35"/>
  <c r="P38" i="10"/>
  <c r="P57" i="17"/>
  <c r="P41" i="18" s="1"/>
  <c r="O168" i="17"/>
  <c r="F8" i="18"/>
  <c r="G75" i="50" s="1"/>
  <c r="G92" i="50" s="1"/>
  <c r="E87" i="51"/>
  <c r="E104" i="51" s="1"/>
  <c r="G27" i="50"/>
  <c r="G44" i="50" s="1"/>
  <c r="H168" i="17"/>
  <c r="H169" i="17" s="1"/>
  <c r="H178" i="17" s="1"/>
  <c r="H81" i="15" s="1"/>
  <c r="P38" i="18"/>
  <c r="Q83" i="50" s="1"/>
  <c r="Q100" i="50" s="1"/>
  <c r="L32" i="18"/>
  <c r="L25" i="35"/>
  <c r="P39" i="35"/>
  <c r="L38" i="10"/>
  <c r="P64" i="18"/>
  <c r="H45" i="35"/>
  <c r="F8" i="10"/>
  <c r="G111" i="50" s="1"/>
  <c r="H38" i="10"/>
  <c r="H60" i="10"/>
  <c r="H71" i="18"/>
  <c r="M32" i="50"/>
  <c r="M49" i="50" s="1"/>
  <c r="F72" i="18"/>
  <c r="F45" i="35"/>
  <c r="L38" i="18"/>
  <c r="M83" i="50" s="1"/>
  <c r="M100" i="50" s="1"/>
  <c r="H37" i="18"/>
  <c r="G31" i="50"/>
  <c r="G48" i="50" s="1"/>
  <c r="T42" i="10"/>
  <c r="T43" i="18"/>
  <c r="T46" i="18" s="1"/>
  <c r="M118" i="50"/>
  <c r="F77" i="15"/>
  <c r="F168" i="17"/>
  <c r="F169" i="17" s="1"/>
  <c r="F180" i="17" s="1"/>
  <c r="F83" i="15" s="1"/>
  <c r="X45" i="35"/>
  <c r="F38" i="18"/>
  <c r="G83" i="50" s="1"/>
  <c r="G100" i="50" s="1"/>
  <c r="T16" i="35"/>
  <c r="L34" i="18"/>
  <c r="M82" i="50" s="1"/>
  <c r="M99" i="50" s="1"/>
  <c r="T37" i="18"/>
  <c r="F9" i="35"/>
  <c r="F10" i="10"/>
  <c r="L27" i="35"/>
  <c r="X39" i="18"/>
  <c r="H39" i="35"/>
  <c r="T60" i="10"/>
  <c r="T39" i="18"/>
  <c r="AB71" i="18"/>
  <c r="T45" i="35"/>
  <c r="AB45" i="35"/>
  <c r="H40" i="18"/>
  <c r="L57" i="17"/>
  <c r="L41" i="18" s="1"/>
  <c r="F21" i="18"/>
  <c r="G79" i="50" s="1"/>
  <c r="G96" i="50" s="1"/>
  <c r="AB42" i="10"/>
  <c r="F17" i="35"/>
  <c r="L40" i="18"/>
  <c r="F39" i="18"/>
  <c r="F57" i="17"/>
  <c r="F41" i="18" s="1"/>
  <c r="F37" i="18"/>
  <c r="AB61" i="10"/>
  <c r="F36" i="10"/>
  <c r="X36" i="10"/>
  <c r="E27" i="51"/>
  <c r="E44" i="51" s="1"/>
  <c r="H29" i="35"/>
  <c r="AB29" i="35"/>
  <c r="AB38" i="10"/>
  <c r="X37" i="18"/>
  <c r="X10" i="18"/>
  <c r="X10" i="10"/>
  <c r="X9" i="18"/>
  <c r="X9" i="10"/>
  <c r="M27" i="50"/>
  <c r="M44" i="50" s="1"/>
  <c r="AB57" i="17"/>
  <c r="AB41" i="18" s="1"/>
  <c r="AB37" i="18"/>
  <c r="AB37" i="10"/>
  <c r="AC119" i="50" s="1"/>
  <c r="F9" i="18"/>
  <c r="X40" i="18"/>
  <c r="AB43" i="18"/>
  <c r="AB46" i="18" s="1"/>
  <c r="H57" i="17"/>
  <c r="H41" i="18" s="1"/>
  <c r="T57" i="17"/>
  <c r="T41" i="18" s="1"/>
  <c r="T29" i="35"/>
  <c r="T38" i="18"/>
  <c r="U83" i="50" s="1"/>
  <c r="U100" i="50" s="1"/>
  <c r="X57" i="17"/>
  <c r="X41" i="18" s="1"/>
  <c r="F75" i="15"/>
  <c r="X71" i="18"/>
  <c r="T8" i="18"/>
  <c r="U75" i="50" s="1"/>
  <c r="U92" i="50" s="1"/>
  <c r="T8" i="35"/>
  <c r="L39" i="35"/>
  <c r="L64" i="18"/>
  <c r="L72" i="18"/>
  <c r="L71" i="18"/>
  <c r="L45" i="35"/>
  <c r="F67" i="50"/>
  <c r="AF206" i="17"/>
  <c r="T27" i="11"/>
  <c r="T87" i="11" s="1"/>
  <c r="T88" i="11" s="1"/>
  <c r="N206" i="17"/>
  <c r="B206" i="17"/>
  <c r="Q206" i="17"/>
  <c r="Y92" i="16"/>
  <c r="AA92" i="16" s="1"/>
  <c r="AB92" i="16" s="1"/>
  <c r="AC92" i="16" s="1"/>
  <c r="AD92" i="16" s="1"/>
  <c r="AE92" i="16" s="1"/>
  <c r="AF92" i="16" s="1"/>
  <c r="AG92" i="16" s="1"/>
  <c r="AH92" i="16" s="1"/>
  <c r="AI92" i="16" s="1"/>
  <c r="AJ92" i="16" s="1"/>
  <c r="AK92" i="16" s="1"/>
  <c r="AL92" i="16" s="1"/>
  <c r="AM92" i="16" s="1"/>
  <c r="AN92" i="16" s="1"/>
  <c r="AO92" i="16" s="1"/>
  <c r="AP92" i="16" s="1"/>
  <c r="AQ92" i="16" s="1"/>
  <c r="AR92" i="16" s="1"/>
  <c r="AS92" i="16" s="1"/>
  <c r="AT92" i="16" s="1"/>
  <c r="AU92" i="16" s="1"/>
  <c r="U83" i="11"/>
  <c r="AF123" i="14"/>
  <c r="AG123" i="14" s="1"/>
  <c r="O64" i="1" s="1"/>
  <c r="Y54" i="8"/>
  <c r="J50" i="36" s="1"/>
  <c r="J72" i="15" s="1"/>
  <c r="J78" i="15" s="1"/>
  <c r="Y98" i="16"/>
  <c r="Y82" i="11" s="1"/>
  <c r="W53" i="8"/>
  <c r="H49" i="36" s="1"/>
  <c r="H71" i="15" s="1"/>
  <c r="H77" i="15" s="1"/>
  <c r="W52" i="8"/>
  <c r="H48" i="36" s="1"/>
  <c r="H70" i="15" s="1"/>
  <c r="H76" i="15" s="1"/>
  <c r="W96" i="16"/>
  <c r="W80" i="11" s="1"/>
  <c r="W97" i="16"/>
  <c r="W81" i="11" s="1"/>
  <c r="X90" i="16"/>
  <c r="Y90" i="16" s="1"/>
  <c r="V52" i="8"/>
  <c r="G48" i="36" s="1"/>
  <c r="G70" i="15" s="1"/>
  <c r="G76" i="15" s="1"/>
  <c r="V53" i="8"/>
  <c r="G49" i="36" s="1"/>
  <c r="G71" i="15" s="1"/>
  <c r="G77" i="15" s="1"/>
  <c r="V96" i="16"/>
  <c r="V80" i="11" s="1"/>
  <c r="V97" i="16"/>
  <c r="V81" i="11" s="1"/>
  <c r="W51" i="8"/>
  <c r="H47" i="36" s="1"/>
  <c r="H69" i="15" s="1"/>
  <c r="H75" i="15" s="1"/>
  <c r="H72" i="10"/>
  <c r="W95" i="16"/>
  <c r="W79" i="11" s="1"/>
  <c r="X89" i="16"/>
  <c r="S206" i="17"/>
  <c r="K206" i="17"/>
  <c r="AA206" i="17"/>
  <c r="U206" i="17"/>
  <c r="R206" i="17"/>
  <c r="G206" i="17"/>
  <c r="O206" i="17"/>
  <c r="C206" i="17"/>
  <c r="AC206" i="17"/>
  <c r="J206" i="17"/>
  <c r="I206" i="17"/>
  <c r="W206" i="17"/>
  <c r="Z206" i="17"/>
  <c r="E206" i="17"/>
  <c r="Y206" i="17"/>
  <c r="M206" i="17"/>
  <c r="J104" i="17"/>
  <c r="J109" i="17" s="1"/>
  <c r="K103" i="17"/>
  <c r="R14" i="11"/>
  <c r="R87" i="11" s="1"/>
  <c r="R88" i="11" s="1"/>
  <c r="W82" i="50"/>
  <c r="W99" i="50" s="1"/>
  <c r="C60" i="50"/>
  <c r="C60" i="51"/>
  <c r="E64" i="50"/>
  <c r="D30" i="35"/>
  <c r="T177" i="17"/>
  <c r="T80" i="15" s="1"/>
  <c r="E67" i="50"/>
  <c r="Q50" i="11"/>
  <c r="I38" i="1" s="1"/>
  <c r="E60" i="50"/>
  <c r="W118" i="50"/>
  <c r="C67" i="51"/>
  <c r="AE30" i="35"/>
  <c r="V30" i="35"/>
  <c r="AB180" i="17"/>
  <c r="AB83" i="15" s="1"/>
  <c r="T180" i="17"/>
  <c r="T83" i="15" s="1"/>
  <c r="G119" i="51"/>
  <c r="G83" i="51"/>
  <c r="G100" i="51" s="1"/>
  <c r="Q27" i="11"/>
  <c r="I37" i="1" s="1"/>
  <c r="G79" i="51"/>
  <c r="G96" i="51" s="1"/>
  <c r="T181" i="17"/>
  <c r="T84" i="15" s="1"/>
  <c r="C64" i="50"/>
  <c r="AE180" i="17"/>
  <c r="AE83" i="15" s="1"/>
  <c r="AB177" i="17"/>
  <c r="AB80" i="15" s="1"/>
  <c r="AB181" i="17"/>
  <c r="AB84" i="15" s="1"/>
  <c r="P168" i="17"/>
  <c r="P169" i="17" s="1"/>
  <c r="P180" i="17" s="1"/>
  <c r="P83" i="15" s="1"/>
  <c r="D168" i="17"/>
  <c r="D169" i="17" s="1"/>
  <c r="D181" i="17" s="1"/>
  <c r="D84" i="15" s="1"/>
  <c r="V178" i="17"/>
  <c r="V81" i="15" s="1"/>
  <c r="AD180" i="17"/>
  <c r="AD83" i="15" s="1"/>
  <c r="L180" i="17"/>
  <c r="L83" i="15" s="1"/>
  <c r="L181" i="17"/>
  <c r="L84" i="15" s="1"/>
  <c r="AE181" i="17"/>
  <c r="AE84" i="15" s="1"/>
  <c r="AE177" i="17"/>
  <c r="AE80" i="15" s="1"/>
  <c r="L177" i="17"/>
  <c r="L80" i="15" s="1"/>
  <c r="S87" i="11"/>
  <c r="S88" i="11" s="1"/>
  <c r="W115" i="50"/>
  <c r="X181" i="17"/>
  <c r="X84" i="15" s="1"/>
  <c r="AD177" i="17"/>
  <c r="AD80" i="15" s="1"/>
  <c r="X177" i="17"/>
  <c r="X80" i="15" s="1"/>
  <c r="X178" i="17"/>
  <c r="X81" i="15" s="1"/>
  <c r="AD181" i="17"/>
  <c r="AD84" i="15" s="1"/>
  <c r="Z27" i="35"/>
  <c r="J168" i="17"/>
  <c r="J169" i="17" s="1"/>
  <c r="J178" i="17" s="1"/>
  <c r="J81" i="15" s="1"/>
  <c r="O9" i="35"/>
  <c r="V181" i="17"/>
  <c r="V84" i="15" s="1"/>
  <c r="AC27" i="35"/>
  <c r="V177" i="17"/>
  <c r="V80" i="15" s="1"/>
  <c r="N27" i="35"/>
  <c r="R31" i="35"/>
  <c r="J27" i="35"/>
  <c r="AF25" i="35"/>
  <c r="I27" i="35"/>
  <c r="G27" i="35"/>
  <c r="B31" i="35"/>
  <c r="Q31" i="35"/>
  <c r="B78" i="15"/>
  <c r="E25" i="35"/>
  <c r="Q25" i="35"/>
  <c r="O27" i="35"/>
  <c r="AF31" i="35"/>
  <c r="Z31" i="35"/>
  <c r="R45" i="35"/>
  <c r="B27" i="35"/>
  <c r="W27" i="35"/>
  <c r="M27" i="35"/>
  <c r="Q9" i="35"/>
  <c r="M31" i="35"/>
  <c r="AA27" i="35"/>
  <c r="W25" i="35"/>
  <c r="AC25" i="35"/>
  <c r="AF168" i="17"/>
  <c r="AF169" i="17" s="1"/>
  <c r="AF180" i="17" s="1"/>
  <c r="AF83" i="15" s="1"/>
  <c r="K9" i="35"/>
  <c r="B8" i="35"/>
  <c r="C24" i="50"/>
  <c r="C41" i="50" s="1"/>
  <c r="C24" i="51"/>
  <c r="C41" i="51" s="1"/>
  <c r="Z32" i="18"/>
  <c r="Z31" i="10"/>
  <c r="R38" i="18"/>
  <c r="S83" i="50" s="1"/>
  <c r="S100" i="50" s="1"/>
  <c r="R37" i="10"/>
  <c r="S119" i="50" s="1"/>
  <c r="R57" i="17"/>
  <c r="R39" i="10"/>
  <c r="R40" i="18"/>
  <c r="AF38" i="10"/>
  <c r="AF39" i="18"/>
  <c r="Z9" i="10"/>
  <c r="Z9" i="18"/>
  <c r="AG31" i="50"/>
  <c r="AG48" i="50" s="1"/>
  <c r="AF39" i="35"/>
  <c r="I31" i="51"/>
  <c r="I48" i="51" s="1"/>
  <c r="N8" i="10"/>
  <c r="O111" i="50" s="1"/>
  <c r="N8" i="18"/>
  <c r="O75" i="50" s="1"/>
  <c r="O92" i="50" s="1"/>
  <c r="J61" i="10"/>
  <c r="J72" i="18"/>
  <c r="AF20" i="10"/>
  <c r="AF20" i="18"/>
  <c r="N39" i="18"/>
  <c r="N38" i="10"/>
  <c r="J31" i="10"/>
  <c r="J32" i="18"/>
  <c r="R9" i="10"/>
  <c r="R9" i="18"/>
  <c r="AF8" i="10"/>
  <c r="AF8" i="18"/>
  <c r="O27" i="50"/>
  <c r="O44" i="50" s="1"/>
  <c r="N16" i="35"/>
  <c r="G78" i="51"/>
  <c r="G95" i="51" s="1"/>
  <c r="W78" i="50"/>
  <c r="W95" i="50" s="1"/>
  <c r="B29" i="35"/>
  <c r="B36" i="10"/>
  <c r="B37" i="18"/>
  <c r="B53" i="10"/>
  <c r="B64" i="18"/>
  <c r="AF61" i="10"/>
  <c r="AF72" i="18"/>
  <c r="Z21" i="10"/>
  <c r="AA115" i="50" s="1"/>
  <c r="Z21" i="18"/>
  <c r="AA79" i="50" s="1"/>
  <c r="AA96" i="50" s="1"/>
  <c r="J37" i="10"/>
  <c r="K119" i="50" s="1"/>
  <c r="J57" i="17"/>
  <c r="J41" i="18" s="1"/>
  <c r="J38" i="18"/>
  <c r="K83" i="50" s="1"/>
  <c r="K100" i="50" s="1"/>
  <c r="AA27" i="50"/>
  <c r="AA44" i="50" s="1"/>
  <c r="Z16" i="35"/>
  <c r="R31" i="10"/>
  <c r="R32" i="18"/>
  <c r="I87" i="51"/>
  <c r="I104" i="51" s="1"/>
  <c r="AG87" i="50"/>
  <c r="AG104" i="50" s="1"/>
  <c r="B9" i="10"/>
  <c r="B9" i="18"/>
  <c r="J10" i="10"/>
  <c r="J10" i="18"/>
  <c r="N53" i="10"/>
  <c r="N64" i="18"/>
  <c r="O28" i="50"/>
  <c r="O45" i="50" s="1"/>
  <c r="N17" i="35"/>
  <c r="Z36" i="10"/>
  <c r="Z37" i="18"/>
  <c r="Z29" i="35"/>
  <c r="R168" i="17"/>
  <c r="R169" i="17" s="1"/>
  <c r="AF10" i="10"/>
  <c r="AF10" i="18"/>
  <c r="N168" i="17"/>
  <c r="N169" i="17" s="1"/>
  <c r="B60" i="10"/>
  <c r="B71" i="18"/>
  <c r="B8" i="10"/>
  <c r="B8" i="18"/>
  <c r="Z25" i="35"/>
  <c r="R29" i="35"/>
  <c r="R36" i="10"/>
  <c r="R37" i="18"/>
  <c r="R64" i="18"/>
  <c r="R53" i="10"/>
  <c r="AF40" i="18"/>
  <c r="AF39" i="10"/>
  <c r="Z10" i="10"/>
  <c r="Z10" i="18"/>
  <c r="R33" i="10"/>
  <c r="S118" i="50" s="1"/>
  <c r="R34" i="18"/>
  <c r="S82" i="50" s="1"/>
  <c r="S99" i="50" s="1"/>
  <c r="AF53" i="10"/>
  <c r="AF64" i="18"/>
  <c r="O24" i="50"/>
  <c r="O41" i="50" s="1"/>
  <c r="N8" i="35"/>
  <c r="J45" i="35"/>
  <c r="B77" i="15"/>
  <c r="N29" i="35"/>
  <c r="N36" i="10"/>
  <c r="N37" i="18"/>
  <c r="N57" i="17"/>
  <c r="N38" i="18"/>
  <c r="O83" i="50" s="1"/>
  <c r="O100" i="50" s="1"/>
  <c r="N37" i="10"/>
  <c r="O119" i="50" s="1"/>
  <c r="Z53" i="10"/>
  <c r="Z64" i="18"/>
  <c r="R8" i="10"/>
  <c r="S111" i="50" s="1"/>
  <c r="R8" i="18"/>
  <c r="S75" i="50" s="1"/>
  <c r="S92" i="50" s="1"/>
  <c r="B21" i="10"/>
  <c r="B21" i="18"/>
  <c r="J17" i="35"/>
  <c r="K28" i="50"/>
  <c r="K45" i="50" s="1"/>
  <c r="J25" i="35"/>
  <c r="R10" i="10"/>
  <c r="R10" i="18"/>
  <c r="N9" i="18"/>
  <c r="N9" i="10"/>
  <c r="G114" i="51"/>
  <c r="W114" i="50"/>
  <c r="Z71" i="18"/>
  <c r="Z60" i="10"/>
  <c r="R43" i="18"/>
  <c r="R46" i="18" s="1"/>
  <c r="R42" i="10"/>
  <c r="C32" i="51"/>
  <c r="C49" i="51" s="1"/>
  <c r="K71" i="1"/>
  <c r="L71" i="1" s="1"/>
  <c r="C32" i="50"/>
  <c r="C49" i="50" s="1"/>
  <c r="C31" i="51"/>
  <c r="C48" i="51" s="1"/>
  <c r="C31" i="50"/>
  <c r="C48" i="50" s="1"/>
  <c r="B39" i="35"/>
  <c r="Z8" i="18"/>
  <c r="AA75" i="50" s="1"/>
  <c r="AA92" i="50" s="1"/>
  <c r="Z8" i="10"/>
  <c r="AA111" i="50" s="1"/>
  <c r="R60" i="10"/>
  <c r="R71" i="18"/>
  <c r="J33" i="10"/>
  <c r="K118" i="50" s="1"/>
  <c r="J34" i="18"/>
  <c r="K82" i="50" s="1"/>
  <c r="K99" i="50" s="1"/>
  <c r="Z20" i="10"/>
  <c r="Z20" i="18"/>
  <c r="AF16" i="35"/>
  <c r="I27" i="51"/>
  <c r="I44" i="51" s="1"/>
  <c r="AG27" i="50"/>
  <c r="AG44" i="50" s="1"/>
  <c r="N32" i="18"/>
  <c r="N31" i="10"/>
  <c r="K32" i="50"/>
  <c r="K49" i="50" s="1"/>
  <c r="J37" i="18"/>
  <c r="J29" i="35"/>
  <c r="J36" i="10"/>
  <c r="AF33" i="10"/>
  <c r="AF34" i="18"/>
  <c r="C27" i="51"/>
  <c r="C44" i="51" s="1"/>
  <c r="C27" i="50"/>
  <c r="C44" i="50" s="1"/>
  <c r="B16" i="35"/>
  <c r="N71" i="18"/>
  <c r="N60" i="10"/>
  <c r="Z18" i="10"/>
  <c r="AA114" i="50" s="1"/>
  <c r="Z18" i="18"/>
  <c r="AA78" i="50" s="1"/>
  <c r="AA95" i="50" s="1"/>
  <c r="R25" i="35"/>
  <c r="I123" i="51"/>
  <c r="AG123" i="50"/>
  <c r="B75" i="15"/>
  <c r="B168" i="17"/>
  <c r="B169" i="17" s="1"/>
  <c r="J64" i="18"/>
  <c r="J53" i="10"/>
  <c r="R17" i="35"/>
  <c r="S28" i="50"/>
  <c r="S45" i="50" s="1"/>
  <c r="AF31" i="10"/>
  <c r="AF32" i="18"/>
  <c r="O31" i="50"/>
  <c r="O48" i="50" s="1"/>
  <c r="N39" i="35"/>
  <c r="AF9" i="35"/>
  <c r="K27" i="35"/>
  <c r="B61" i="10"/>
  <c r="B72" i="18"/>
  <c r="R38" i="10"/>
  <c r="R39" i="18"/>
  <c r="S31" i="50"/>
  <c r="S48" i="50" s="1"/>
  <c r="R39" i="35"/>
  <c r="AF36" i="10"/>
  <c r="AF37" i="18"/>
  <c r="AG37" i="18" s="1"/>
  <c r="AF29" i="35"/>
  <c r="J16" i="35"/>
  <c r="J18" i="10"/>
  <c r="K114" i="50" s="1"/>
  <c r="J18" i="18"/>
  <c r="K78" i="50" s="1"/>
  <c r="K95" i="50" s="1"/>
  <c r="Z9" i="35"/>
  <c r="R27" i="35"/>
  <c r="C87" i="50"/>
  <c r="C104" i="50" s="1"/>
  <c r="C87" i="51"/>
  <c r="C104" i="51" s="1"/>
  <c r="N33" i="10"/>
  <c r="O118" i="50" s="1"/>
  <c r="N34" i="18"/>
  <c r="O82" i="50" s="1"/>
  <c r="O99" i="50" s="1"/>
  <c r="AF21" i="10"/>
  <c r="AF21" i="18"/>
  <c r="AG21" i="18" s="1"/>
  <c r="B31" i="10"/>
  <c r="B32" i="18"/>
  <c r="Z168" i="17"/>
  <c r="Z169" i="17" s="1"/>
  <c r="AA31" i="50"/>
  <c r="AA48" i="50" s="1"/>
  <c r="Z39" i="35"/>
  <c r="S24" i="50"/>
  <c r="S41" i="50" s="1"/>
  <c r="R8" i="35"/>
  <c r="B20" i="18"/>
  <c r="B20" i="10"/>
  <c r="B43" i="18"/>
  <c r="B46" i="18" s="1"/>
  <c r="B42" i="10"/>
  <c r="J21" i="18"/>
  <c r="K79" i="50" s="1"/>
  <c r="K96" i="50" s="1"/>
  <c r="J21" i="10"/>
  <c r="K115" i="50" s="1"/>
  <c r="R9" i="35"/>
  <c r="N10" i="10"/>
  <c r="N10" i="18"/>
  <c r="Z61" i="10"/>
  <c r="Z72" i="18"/>
  <c r="N43" i="18"/>
  <c r="N46" i="18" s="1"/>
  <c r="N42" i="10"/>
  <c r="B76" i="15"/>
  <c r="B38" i="10"/>
  <c r="B39" i="18"/>
  <c r="AA24" i="50"/>
  <c r="AA41" i="50" s="1"/>
  <c r="Z8" i="35"/>
  <c r="R16" i="35"/>
  <c r="R18" i="10"/>
  <c r="S114" i="50" s="1"/>
  <c r="R18" i="18"/>
  <c r="S78" i="50" s="1"/>
  <c r="S95" i="50" s="1"/>
  <c r="AF45" i="35"/>
  <c r="J8" i="35"/>
  <c r="J8" i="10"/>
  <c r="K111" i="50" s="1"/>
  <c r="J8" i="18"/>
  <c r="K75" i="50" s="1"/>
  <c r="K92" i="50" s="1"/>
  <c r="Z17" i="35"/>
  <c r="AA28" i="50"/>
  <c r="AA45" i="50" s="1"/>
  <c r="AF18" i="10"/>
  <c r="AF18" i="18"/>
  <c r="N25" i="35"/>
  <c r="J38" i="10"/>
  <c r="J39" i="18"/>
  <c r="AF27" i="35"/>
  <c r="J43" i="18"/>
  <c r="J46" i="18" s="1"/>
  <c r="J42" i="10"/>
  <c r="B18" i="10"/>
  <c r="B18" i="18"/>
  <c r="N61" i="10"/>
  <c r="N72" i="18"/>
  <c r="G75" i="51"/>
  <c r="G92" i="51" s="1"/>
  <c r="W75" i="50"/>
  <c r="W92" i="50" s="1"/>
  <c r="B10" i="10"/>
  <c r="B10" i="18"/>
  <c r="J9" i="10"/>
  <c r="J9" i="18"/>
  <c r="K31" i="50"/>
  <c r="K48" i="50" s="1"/>
  <c r="J39" i="35"/>
  <c r="R21" i="18"/>
  <c r="S79" i="50" s="1"/>
  <c r="S96" i="50" s="1"/>
  <c r="R21" i="10"/>
  <c r="S115" i="50" s="1"/>
  <c r="N21" i="10"/>
  <c r="O115" i="50" s="1"/>
  <c r="N21" i="18"/>
  <c r="O79" i="50" s="1"/>
  <c r="O96" i="50" s="1"/>
  <c r="Z39" i="18"/>
  <c r="Z38" i="10"/>
  <c r="AF42" i="10"/>
  <c r="AF43" i="18"/>
  <c r="AG43" i="18" s="1"/>
  <c r="B45" i="35"/>
  <c r="AF37" i="10"/>
  <c r="AF38" i="18"/>
  <c r="AF57" i="17"/>
  <c r="Q71" i="1"/>
  <c r="R71" i="1" s="1"/>
  <c r="AG32" i="50"/>
  <c r="AG49" i="50" s="1"/>
  <c r="I32" i="51"/>
  <c r="I49" i="51" s="1"/>
  <c r="C123" i="51"/>
  <c r="C123" i="50"/>
  <c r="J71" i="18"/>
  <c r="J60" i="10"/>
  <c r="AF17" i="35"/>
  <c r="AG28" i="50"/>
  <c r="AG45" i="50" s="1"/>
  <c r="I28" i="51"/>
  <c r="I45" i="51" s="1"/>
  <c r="B25" i="35"/>
  <c r="N39" i="10"/>
  <c r="N40" i="18"/>
  <c r="B17" i="35"/>
  <c r="C28" i="51"/>
  <c r="C45" i="51" s="1"/>
  <c r="C28" i="50"/>
  <c r="C45" i="50" s="1"/>
  <c r="J20" i="10"/>
  <c r="J20" i="18"/>
  <c r="AG24" i="50"/>
  <c r="AG41" i="50" s="1"/>
  <c r="AF8" i="35"/>
  <c r="I24" i="51"/>
  <c r="I41" i="51" s="1"/>
  <c r="N18" i="10"/>
  <c r="O114" i="50" s="1"/>
  <c r="N18" i="18"/>
  <c r="O78" i="50" s="1"/>
  <c r="O95" i="50" s="1"/>
  <c r="N9" i="35"/>
  <c r="Z45" i="35"/>
  <c r="N31" i="35"/>
  <c r="B39" i="10"/>
  <c r="B40" i="18"/>
  <c r="B38" i="18"/>
  <c r="B37" i="10"/>
  <c r="B57" i="17"/>
  <c r="Z42" i="10"/>
  <c r="Z43" i="18"/>
  <c r="Z46" i="18" s="1"/>
  <c r="R61" i="10"/>
  <c r="R72" i="18"/>
  <c r="AF60" i="10"/>
  <c r="AF71" i="18"/>
  <c r="B34" i="18"/>
  <c r="B33" i="10"/>
  <c r="J39" i="10"/>
  <c r="J40" i="18"/>
  <c r="J31" i="35"/>
  <c r="N45" i="35"/>
  <c r="G111" i="51"/>
  <c r="W111" i="50"/>
  <c r="B9" i="35"/>
  <c r="J9" i="35"/>
  <c r="Z33" i="10"/>
  <c r="AA118" i="50" s="1"/>
  <c r="Z34" i="18"/>
  <c r="AA82" i="50" s="1"/>
  <c r="AA99" i="50" s="1"/>
  <c r="R20" i="10"/>
  <c r="R20" i="18"/>
  <c r="N20" i="10"/>
  <c r="N20" i="18"/>
  <c r="Z40" i="18"/>
  <c r="Z39" i="10"/>
  <c r="Z38" i="18"/>
  <c r="AA83" i="50" s="1"/>
  <c r="AA100" i="50" s="1"/>
  <c r="Z37" i="10"/>
  <c r="AA119" i="50" s="1"/>
  <c r="Z57" i="17"/>
  <c r="AF9" i="10"/>
  <c r="AF9" i="18"/>
  <c r="AA25" i="35"/>
  <c r="Y9" i="35"/>
  <c r="U9" i="35"/>
  <c r="AC9" i="35"/>
  <c r="AA9" i="35"/>
  <c r="G31" i="35"/>
  <c r="S25" i="35"/>
  <c r="G45" i="35"/>
  <c r="C76" i="15"/>
  <c r="AA31" i="35"/>
  <c r="S45" i="35"/>
  <c r="I25" i="35"/>
  <c r="S9" i="35"/>
  <c r="M9" i="35"/>
  <c r="K45" i="35"/>
  <c r="E77" i="15"/>
  <c r="Y31" i="35"/>
  <c r="M25" i="35"/>
  <c r="W45" i="35"/>
  <c r="O31" i="35"/>
  <c r="Y27" i="35"/>
  <c r="E45" i="35"/>
  <c r="G78" i="15"/>
  <c r="E75" i="15"/>
  <c r="E168" i="17"/>
  <c r="E169" i="17" s="1"/>
  <c r="U27" i="35"/>
  <c r="J32" i="50"/>
  <c r="J49" i="50" s="1"/>
  <c r="S8" i="10"/>
  <c r="T111" i="50" s="1"/>
  <c r="S8" i="18"/>
  <c r="T75" i="50" s="1"/>
  <c r="T92" i="50" s="1"/>
  <c r="G38" i="10"/>
  <c r="G39" i="18"/>
  <c r="K20" i="10"/>
  <c r="K20" i="18"/>
  <c r="U45" i="35"/>
  <c r="I34" i="18"/>
  <c r="J82" i="50" s="1"/>
  <c r="J99" i="50" s="1"/>
  <c r="I33" i="10"/>
  <c r="J118" i="50" s="1"/>
  <c r="N71" i="1"/>
  <c r="O71" i="1" s="1"/>
  <c r="F32" i="51"/>
  <c r="F49" i="51" s="1"/>
  <c r="R32" i="50"/>
  <c r="R49" i="50" s="1"/>
  <c r="K168" i="17"/>
  <c r="K169" i="17" s="1"/>
  <c r="Z31" i="50"/>
  <c r="Z48" i="50" s="1"/>
  <c r="Y39" i="35"/>
  <c r="AA37" i="10"/>
  <c r="AA57" i="17"/>
  <c r="AA41" i="18" s="1"/>
  <c r="AA38" i="18"/>
  <c r="O61" i="10"/>
  <c r="O72" i="18"/>
  <c r="S61" i="10"/>
  <c r="S72" i="18"/>
  <c r="E9" i="35"/>
  <c r="AC8" i="10"/>
  <c r="AD111" i="50" s="1"/>
  <c r="AC8" i="18"/>
  <c r="AD75" i="50" s="1"/>
  <c r="AD92" i="50" s="1"/>
  <c r="Q16" i="35"/>
  <c r="R27" i="50"/>
  <c r="R44" i="50" s="1"/>
  <c r="F27" i="51"/>
  <c r="F44" i="51" s="1"/>
  <c r="M42" i="10"/>
  <c r="M43" i="18"/>
  <c r="M46" i="18" s="1"/>
  <c r="AA33" i="10"/>
  <c r="AA34" i="18"/>
  <c r="U8" i="10"/>
  <c r="V111" i="50" s="1"/>
  <c r="U8" i="18"/>
  <c r="V75" i="50" s="1"/>
  <c r="V92" i="50" s="1"/>
  <c r="P87" i="11"/>
  <c r="P88" i="11" s="1"/>
  <c r="E31" i="10"/>
  <c r="E32" i="18"/>
  <c r="W31" i="35"/>
  <c r="G42" i="10"/>
  <c r="G43" i="18"/>
  <c r="G46" i="18" s="1"/>
  <c r="AA53" i="10"/>
  <c r="AA64" i="18"/>
  <c r="U25" i="35"/>
  <c r="AC45" i="35"/>
  <c r="I45" i="35"/>
  <c r="K9" i="10"/>
  <c r="K9" i="18"/>
  <c r="I20" i="10"/>
  <c r="I20" i="18"/>
  <c r="S168" i="17"/>
  <c r="S169" i="17" s="1"/>
  <c r="W39" i="10"/>
  <c r="W40" i="18"/>
  <c r="W36" i="10"/>
  <c r="W37" i="18"/>
  <c r="W29" i="35"/>
  <c r="M38" i="10"/>
  <c r="M39" i="18"/>
  <c r="I9" i="10"/>
  <c r="I9" i="18"/>
  <c r="AC33" i="10"/>
  <c r="AD118" i="50" s="1"/>
  <c r="AC34" i="18"/>
  <c r="AD82" i="50" s="1"/>
  <c r="AD99" i="50" s="1"/>
  <c r="Q60" i="10"/>
  <c r="Q71" i="18"/>
  <c r="G33" i="10"/>
  <c r="G34" i="18"/>
  <c r="K53" i="10"/>
  <c r="K64" i="18"/>
  <c r="M9" i="10"/>
  <c r="M9" i="18"/>
  <c r="O8" i="10"/>
  <c r="P111" i="50" s="1"/>
  <c r="O8" i="18"/>
  <c r="P75" i="50" s="1"/>
  <c r="P92" i="50" s="1"/>
  <c r="F28" i="51"/>
  <c r="F45" i="51" s="1"/>
  <c r="Q17" i="35"/>
  <c r="R28" i="50"/>
  <c r="R45" i="50" s="1"/>
  <c r="Q31" i="10"/>
  <c r="Q32" i="18"/>
  <c r="W31" i="10"/>
  <c r="W32" i="18"/>
  <c r="K60" i="10"/>
  <c r="K71" i="18"/>
  <c r="Z32" i="50"/>
  <c r="Z49" i="50" s="1"/>
  <c r="M8" i="10"/>
  <c r="N111" i="50" s="1"/>
  <c r="M8" i="18"/>
  <c r="N75" i="50" s="1"/>
  <c r="N92" i="50" s="1"/>
  <c r="AA31" i="10"/>
  <c r="AA32" i="18"/>
  <c r="U16" i="35"/>
  <c r="V27" i="50"/>
  <c r="V44" i="50" s="1"/>
  <c r="Q27" i="35"/>
  <c r="H28" i="51"/>
  <c r="H45" i="51" s="1"/>
  <c r="AB28" i="50"/>
  <c r="AB45" i="50" s="1"/>
  <c r="AA17" i="35"/>
  <c r="E18" i="10"/>
  <c r="F114" i="50" s="1"/>
  <c r="E18" i="18"/>
  <c r="F78" i="50" s="1"/>
  <c r="F95" i="50" s="1"/>
  <c r="I8" i="10"/>
  <c r="J111" i="50" s="1"/>
  <c r="I8" i="18"/>
  <c r="J75" i="50" s="1"/>
  <c r="J92" i="50" s="1"/>
  <c r="V32" i="50"/>
  <c r="V49" i="50" s="1"/>
  <c r="Y10" i="10"/>
  <c r="Y10" i="18"/>
  <c r="E27" i="35"/>
  <c r="O31" i="10"/>
  <c r="O32" i="18"/>
  <c r="K37" i="10"/>
  <c r="L119" i="50" s="1"/>
  <c r="K57" i="17"/>
  <c r="K41" i="18" s="1"/>
  <c r="K38" i="18"/>
  <c r="L83" i="50" s="1"/>
  <c r="L100" i="50" s="1"/>
  <c r="M168" i="17"/>
  <c r="M169" i="17" s="1"/>
  <c r="AA8" i="10"/>
  <c r="AA8" i="18"/>
  <c r="C43" i="18"/>
  <c r="C46" i="18" s="1"/>
  <c r="C42" i="10"/>
  <c r="W61" i="10"/>
  <c r="W72" i="18"/>
  <c r="O21" i="10"/>
  <c r="P115" i="50" s="1"/>
  <c r="O21" i="18"/>
  <c r="P79" i="50" s="1"/>
  <c r="P96" i="50" s="1"/>
  <c r="AC38" i="10"/>
  <c r="AC39" i="18"/>
  <c r="C33" i="10"/>
  <c r="D118" i="50" s="1"/>
  <c r="C34" i="18"/>
  <c r="D82" i="50" s="1"/>
  <c r="D99" i="50" s="1"/>
  <c r="H31" i="50"/>
  <c r="H48" i="50" s="1"/>
  <c r="G39" i="35"/>
  <c r="D31" i="51"/>
  <c r="D48" i="51" s="1"/>
  <c r="E78" i="51"/>
  <c r="E95" i="51" s="1"/>
  <c r="M78" i="50"/>
  <c r="M95" i="50" s="1"/>
  <c r="Y168" i="17"/>
  <c r="Y169" i="17" s="1"/>
  <c r="U9" i="10"/>
  <c r="U9" i="18"/>
  <c r="C16" i="35"/>
  <c r="D27" i="50"/>
  <c r="D44" i="50" s="1"/>
  <c r="Q168" i="17"/>
  <c r="Q169" i="17" s="1"/>
  <c r="K33" i="10"/>
  <c r="L118" i="50" s="1"/>
  <c r="K34" i="18"/>
  <c r="L82" i="50" s="1"/>
  <c r="L99" i="50" s="1"/>
  <c r="AC9" i="10"/>
  <c r="AC9" i="18"/>
  <c r="W21" i="10"/>
  <c r="X115" i="50" s="1"/>
  <c r="W21" i="18"/>
  <c r="X79" i="50" s="1"/>
  <c r="X96" i="50" s="1"/>
  <c r="G9" i="10"/>
  <c r="G9" i="18"/>
  <c r="Y33" i="10"/>
  <c r="Z118" i="50" s="1"/>
  <c r="Y34" i="18"/>
  <c r="Z82" i="50" s="1"/>
  <c r="Z99" i="50" s="1"/>
  <c r="M21" i="10"/>
  <c r="N115" i="50" s="1"/>
  <c r="M21" i="18"/>
  <c r="N79" i="50" s="1"/>
  <c r="N96" i="50" s="1"/>
  <c r="AA61" i="10"/>
  <c r="AA72" i="18"/>
  <c r="E20" i="10"/>
  <c r="E20" i="18"/>
  <c r="C39" i="10"/>
  <c r="C40" i="18"/>
  <c r="W53" i="10"/>
  <c r="W64" i="18"/>
  <c r="Y45" i="35"/>
  <c r="C9" i="10"/>
  <c r="C9" i="18"/>
  <c r="S33" i="10"/>
  <c r="T118" i="50" s="1"/>
  <c r="S34" i="18"/>
  <c r="T82" i="50" s="1"/>
  <c r="T99" i="50" s="1"/>
  <c r="I36" i="1"/>
  <c r="Q42" i="10"/>
  <c r="Q43" i="18"/>
  <c r="Q46" i="18" s="1"/>
  <c r="P32" i="50"/>
  <c r="P49" i="50" s="1"/>
  <c r="T32" i="50"/>
  <c r="T49" i="50" s="1"/>
  <c r="E39" i="10"/>
  <c r="E40" i="18"/>
  <c r="E37" i="10"/>
  <c r="F119" i="50" s="1"/>
  <c r="E57" i="17"/>
  <c r="E41" i="18" s="1"/>
  <c r="E38" i="18"/>
  <c r="F83" i="50" s="1"/>
  <c r="F100" i="50" s="1"/>
  <c r="C78" i="15"/>
  <c r="AA42" i="10"/>
  <c r="AA43" i="18"/>
  <c r="AA46" i="18" s="1"/>
  <c r="U33" i="10"/>
  <c r="V118" i="50" s="1"/>
  <c r="U34" i="18"/>
  <c r="V82" i="50" s="1"/>
  <c r="V99" i="50" s="1"/>
  <c r="I39" i="10"/>
  <c r="I40" i="18"/>
  <c r="I57" i="17"/>
  <c r="I41" i="18" s="1"/>
  <c r="I37" i="10"/>
  <c r="J119" i="50" s="1"/>
  <c r="I38" i="18"/>
  <c r="J83" i="50" s="1"/>
  <c r="J100" i="50" s="1"/>
  <c r="C31" i="10"/>
  <c r="C32" i="18"/>
  <c r="D32" i="51"/>
  <c r="D49" i="51" s="1"/>
  <c r="H32" i="50"/>
  <c r="H49" i="50" s="1"/>
  <c r="K21" i="10"/>
  <c r="L115" i="50" s="1"/>
  <c r="K21" i="18"/>
  <c r="L79" i="50" s="1"/>
  <c r="L96" i="50" s="1"/>
  <c r="AC21" i="10"/>
  <c r="AD115" i="50" s="1"/>
  <c r="AC21" i="18"/>
  <c r="AD79" i="50" s="1"/>
  <c r="AD96" i="50" s="1"/>
  <c r="Q36" i="10"/>
  <c r="Q37" i="18"/>
  <c r="Q29" i="35"/>
  <c r="G20" i="18"/>
  <c r="G20" i="10"/>
  <c r="K31" i="10"/>
  <c r="K32" i="18"/>
  <c r="Y17" i="35"/>
  <c r="Z28" i="50"/>
  <c r="Z45" i="50" s="1"/>
  <c r="Y53" i="10"/>
  <c r="Y64" i="18"/>
  <c r="AA39" i="10"/>
  <c r="AA40" i="18"/>
  <c r="AA38" i="10"/>
  <c r="AA39" i="18"/>
  <c r="O60" i="10"/>
  <c r="O71" i="18"/>
  <c r="E9" i="10"/>
  <c r="E9" i="18"/>
  <c r="Q18" i="10"/>
  <c r="Q18" i="18"/>
  <c r="D87" i="51"/>
  <c r="D104" i="51" s="1"/>
  <c r="H87" i="50"/>
  <c r="H104" i="50" s="1"/>
  <c r="N31" i="50"/>
  <c r="N48" i="50" s="1"/>
  <c r="M39" i="35"/>
  <c r="AA18" i="10"/>
  <c r="AA18" i="18"/>
  <c r="S42" i="10"/>
  <c r="S43" i="18"/>
  <c r="S46" i="18" s="1"/>
  <c r="Q39" i="35"/>
  <c r="F31" i="51"/>
  <c r="F48" i="51" s="1"/>
  <c r="R31" i="50"/>
  <c r="R48" i="50" s="1"/>
  <c r="M18" i="10"/>
  <c r="N114" i="50" s="1"/>
  <c r="M18" i="18"/>
  <c r="N78" i="50" s="1"/>
  <c r="N95" i="50" s="1"/>
  <c r="U31" i="10"/>
  <c r="U32" i="18"/>
  <c r="AC60" i="10"/>
  <c r="AC71" i="18"/>
  <c r="U17" i="35"/>
  <c r="V28" i="50"/>
  <c r="V45" i="50" s="1"/>
  <c r="I60" i="10"/>
  <c r="I71" i="18"/>
  <c r="J28" i="50"/>
  <c r="J45" i="50" s="1"/>
  <c r="I17" i="35"/>
  <c r="Y31" i="10"/>
  <c r="Y32" i="18"/>
  <c r="U42" i="10"/>
  <c r="U43" i="18"/>
  <c r="U46" i="18" s="1"/>
  <c r="X32" i="50"/>
  <c r="X49" i="50" s="1"/>
  <c r="M37" i="10"/>
  <c r="N119" i="50" s="1"/>
  <c r="M57" i="17"/>
  <c r="M41" i="18" s="1"/>
  <c r="M38" i="18"/>
  <c r="N83" i="50" s="1"/>
  <c r="N100" i="50" s="1"/>
  <c r="O9" i="10"/>
  <c r="O9" i="18"/>
  <c r="C21" i="10"/>
  <c r="D115" i="50" s="1"/>
  <c r="C21" i="18"/>
  <c r="D79" i="50" s="1"/>
  <c r="D96" i="50" s="1"/>
  <c r="G31" i="10"/>
  <c r="G32" i="18"/>
  <c r="O169" i="17"/>
  <c r="S10" i="10"/>
  <c r="S10" i="18"/>
  <c r="I42" i="10"/>
  <c r="I43" i="18"/>
  <c r="I46" i="18" s="1"/>
  <c r="I10" i="18"/>
  <c r="I10" i="10"/>
  <c r="W10" i="10"/>
  <c r="W10" i="18"/>
  <c r="K42" i="10"/>
  <c r="K43" i="18"/>
  <c r="K46" i="18" s="1"/>
  <c r="Z24" i="50"/>
  <c r="Z41" i="50" s="1"/>
  <c r="Y8" i="35"/>
  <c r="O87" i="11"/>
  <c r="O88" i="11" s="1"/>
  <c r="M10" i="10"/>
  <c r="M10" i="18"/>
  <c r="AC16" i="35"/>
  <c r="AD27" i="50"/>
  <c r="AD44" i="50" s="1"/>
  <c r="Q20" i="10"/>
  <c r="Q20" i="18"/>
  <c r="K61" i="10"/>
  <c r="K72" i="18"/>
  <c r="Y37" i="10"/>
  <c r="Z119" i="50" s="1"/>
  <c r="Y57" i="17"/>
  <c r="Y41" i="18" s="1"/>
  <c r="Y38" i="18"/>
  <c r="Z83" i="50" s="1"/>
  <c r="Z100" i="50" s="1"/>
  <c r="AA10" i="10"/>
  <c r="AA10" i="18"/>
  <c r="U18" i="10"/>
  <c r="V114" i="50" s="1"/>
  <c r="U18" i="18"/>
  <c r="V78" i="50" s="1"/>
  <c r="V95" i="50" s="1"/>
  <c r="E53" i="10"/>
  <c r="E64" i="18"/>
  <c r="Q33" i="10"/>
  <c r="Q34" i="18"/>
  <c r="AA20" i="10"/>
  <c r="AA20" i="18"/>
  <c r="Y42" i="10"/>
  <c r="Y43" i="18"/>
  <c r="Y46" i="18" s="1"/>
  <c r="U36" i="10"/>
  <c r="U37" i="18"/>
  <c r="U29" i="35"/>
  <c r="E75" i="51"/>
  <c r="E92" i="51" s="1"/>
  <c r="M75" i="50"/>
  <c r="M92" i="50" s="1"/>
  <c r="AD31" i="50"/>
  <c r="AD48" i="50" s="1"/>
  <c r="AC39" i="35"/>
  <c r="K39" i="10"/>
  <c r="K40" i="18"/>
  <c r="K36" i="10"/>
  <c r="K37" i="18"/>
  <c r="K29" i="35"/>
  <c r="M32" i="18"/>
  <c r="M31" i="10"/>
  <c r="U39" i="35"/>
  <c r="V31" i="50"/>
  <c r="V48" i="50" s="1"/>
  <c r="C31" i="35"/>
  <c r="W60" i="10"/>
  <c r="W71" i="18"/>
  <c r="M61" i="10"/>
  <c r="M72" i="18"/>
  <c r="AD32" i="50"/>
  <c r="AD49" i="50" s="1"/>
  <c r="C27" i="35"/>
  <c r="E114" i="51"/>
  <c r="M114" i="50"/>
  <c r="I64" i="18"/>
  <c r="I53" i="10"/>
  <c r="O42" i="10"/>
  <c r="O43" i="18"/>
  <c r="O46" i="18" s="1"/>
  <c r="S17" i="35"/>
  <c r="T28" i="50"/>
  <c r="T45" i="50" s="1"/>
  <c r="S31" i="10"/>
  <c r="S32" i="18"/>
  <c r="C18" i="10"/>
  <c r="D114" i="50" s="1"/>
  <c r="C18" i="18"/>
  <c r="D78" i="50" s="1"/>
  <c r="D95" i="50" s="1"/>
  <c r="I78" i="15"/>
  <c r="AC10" i="10"/>
  <c r="AC10" i="18"/>
  <c r="G10" i="10"/>
  <c r="G10" i="18"/>
  <c r="Y18" i="10"/>
  <c r="Z114" i="50" s="1"/>
  <c r="Y18" i="18"/>
  <c r="Z78" i="50" s="1"/>
  <c r="Z95" i="50" s="1"/>
  <c r="M20" i="10"/>
  <c r="M20" i="18"/>
  <c r="AB87" i="50"/>
  <c r="AB104" i="50" s="1"/>
  <c r="H87" i="51"/>
  <c r="H104" i="51" s="1"/>
  <c r="E17" i="35"/>
  <c r="F28" i="50"/>
  <c r="F45" i="50" s="1"/>
  <c r="D32" i="50"/>
  <c r="D49" i="50" s="1"/>
  <c r="Y61" i="10"/>
  <c r="Y72" i="18"/>
  <c r="E60" i="10"/>
  <c r="E71" i="18"/>
  <c r="C10" i="10"/>
  <c r="C10" i="18"/>
  <c r="L27" i="50"/>
  <c r="L44" i="50" s="1"/>
  <c r="K16" i="35"/>
  <c r="O36" i="10"/>
  <c r="O37" i="18"/>
  <c r="O29" i="35"/>
  <c r="S36" i="10"/>
  <c r="S37" i="18"/>
  <c r="S29" i="35"/>
  <c r="C45" i="35"/>
  <c r="E36" i="10"/>
  <c r="E37" i="18"/>
  <c r="E29" i="35"/>
  <c r="G16" i="35"/>
  <c r="H27" i="50"/>
  <c r="H44" i="50" s="1"/>
  <c r="D27" i="51"/>
  <c r="D44" i="51" s="1"/>
  <c r="I38" i="10"/>
  <c r="I39" i="18"/>
  <c r="I16" i="35"/>
  <c r="J27" i="50"/>
  <c r="J44" i="50" s="1"/>
  <c r="C25" i="35"/>
  <c r="G37" i="18"/>
  <c r="G36" i="10"/>
  <c r="G29" i="35"/>
  <c r="G37" i="10"/>
  <c r="G57" i="17"/>
  <c r="G41" i="18" s="1"/>
  <c r="G38" i="18"/>
  <c r="U60" i="10"/>
  <c r="U71" i="18"/>
  <c r="AC17" i="35"/>
  <c r="AD28" i="50"/>
  <c r="AD45" i="50" s="1"/>
  <c r="Q39" i="10"/>
  <c r="Q40" i="18"/>
  <c r="Q38" i="10"/>
  <c r="Q39" i="18"/>
  <c r="W33" i="10"/>
  <c r="X118" i="50" s="1"/>
  <c r="W34" i="18"/>
  <c r="X82" i="50" s="1"/>
  <c r="X99" i="50" s="1"/>
  <c r="G21" i="10"/>
  <c r="G21" i="18"/>
  <c r="K25" i="35"/>
  <c r="Y20" i="10"/>
  <c r="Y20" i="18"/>
  <c r="AA36" i="10"/>
  <c r="AA37" i="18"/>
  <c r="AA29" i="35"/>
  <c r="O45" i="35"/>
  <c r="E10" i="10"/>
  <c r="E10" i="18"/>
  <c r="P31" i="50"/>
  <c r="P48" i="50" s="1"/>
  <c r="O39" i="35"/>
  <c r="Q10" i="10"/>
  <c r="Q10" i="18"/>
  <c r="F87" i="51"/>
  <c r="F104" i="51" s="1"/>
  <c r="R87" i="50"/>
  <c r="R104" i="50" s="1"/>
  <c r="X27" i="50"/>
  <c r="X44" i="50" s="1"/>
  <c r="W16" i="35"/>
  <c r="D123" i="51"/>
  <c r="H123" i="50"/>
  <c r="M53" i="10"/>
  <c r="M64" i="18"/>
  <c r="AB27" i="50"/>
  <c r="AB44" i="50" s="1"/>
  <c r="H27" i="51"/>
  <c r="H44" i="51" s="1"/>
  <c r="AA16" i="35"/>
  <c r="S31" i="35"/>
  <c r="O16" i="35"/>
  <c r="P27" i="50"/>
  <c r="P44" i="50" s="1"/>
  <c r="Q53" i="10"/>
  <c r="Q64" i="18"/>
  <c r="N27" i="50"/>
  <c r="N44" i="50" s="1"/>
  <c r="M16" i="35"/>
  <c r="AC61" i="10"/>
  <c r="AC72" i="18"/>
  <c r="U20" i="10"/>
  <c r="U20" i="18"/>
  <c r="I61" i="10"/>
  <c r="I72" i="18"/>
  <c r="G60" i="10"/>
  <c r="G71" i="18"/>
  <c r="K10" i="10"/>
  <c r="K10" i="18"/>
  <c r="Y25" i="35"/>
  <c r="C77" i="15"/>
  <c r="X24" i="50"/>
  <c r="X41" i="50" s="1"/>
  <c r="W8" i="35"/>
  <c r="U31" i="35"/>
  <c r="W37" i="10"/>
  <c r="X119" i="50" s="1"/>
  <c r="W57" i="17"/>
  <c r="W41" i="18" s="1"/>
  <c r="W38" i="18"/>
  <c r="X83" i="50" s="1"/>
  <c r="X100" i="50" s="1"/>
  <c r="N32" i="50"/>
  <c r="N49" i="50" s="1"/>
  <c r="E42" i="10"/>
  <c r="E43" i="18"/>
  <c r="E46" i="18" s="1"/>
  <c r="C20" i="10"/>
  <c r="C20" i="18"/>
  <c r="G25" i="35"/>
  <c r="S16" i="35"/>
  <c r="T27" i="50"/>
  <c r="T44" i="50" s="1"/>
  <c r="D31" i="50"/>
  <c r="D48" i="50" s="1"/>
  <c r="C39" i="35"/>
  <c r="I31" i="35"/>
  <c r="Q61" i="10"/>
  <c r="Q72" i="18"/>
  <c r="W9" i="10"/>
  <c r="W9" i="18"/>
  <c r="K31" i="35"/>
  <c r="Y8" i="10"/>
  <c r="Z111" i="50" s="1"/>
  <c r="Y8" i="18"/>
  <c r="Z75" i="50" s="1"/>
  <c r="Z92" i="50" s="1"/>
  <c r="AC18" i="10"/>
  <c r="AD114" i="50" s="1"/>
  <c r="AC18" i="18"/>
  <c r="AD78" i="50" s="1"/>
  <c r="AD95" i="50" s="1"/>
  <c r="Q21" i="10"/>
  <c r="Q21" i="18"/>
  <c r="G168" i="17"/>
  <c r="G169" i="17" s="1"/>
  <c r="G75" i="15"/>
  <c r="Y39" i="10"/>
  <c r="Y40" i="18"/>
  <c r="Y38" i="10"/>
  <c r="Y39" i="18"/>
  <c r="AA9" i="10"/>
  <c r="AA9" i="18"/>
  <c r="E39" i="35"/>
  <c r="F31" i="50"/>
  <c r="F48" i="50" s="1"/>
  <c r="AC42" i="10"/>
  <c r="AC43" i="18"/>
  <c r="AC46" i="18" s="1"/>
  <c r="AA21" i="10"/>
  <c r="AA21" i="18"/>
  <c r="AA168" i="17"/>
  <c r="AA169" i="17" s="1"/>
  <c r="U37" i="10"/>
  <c r="V119" i="50" s="1"/>
  <c r="U57" i="17"/>
  <c r="U41" i="18" s="1"/>
  <c r="U38" i="18"/>
  <c r="V83" i="50" s="1"/>
  <c r="V100" i="50" s="1"/>
  <c r="U38" i="10"/>
  <c r="U39" i="18"/>
  <c r="M111" i="50"/>
  <c r="E111" i="51"/>
  <c r="AC53" i="10"/>
  <c r="AC64" i="18"/>
  <c r="K38" i="10"/>
  <c r="K39" i="18"/>
  <c r="U53" i="10"/>
  <c r="U64" i="18"/>
  <c r="E8" i="35"/>
  <c r="F24" i="50"/>
  <c r="F41" i="50" s="1"/>
  <c r="M60" i="10"/>
  <c r="M71" i="18"/>
  <c r="O17" i="35"/>
  <c r="P28" i="50"/>
  <c r="P45" i="50" s="1"/>
  <c r="AC37" i="10"/>
  <c r="AD119" i="50" s="1"/>
  <c r="AC57" i="17"/>
  <c r="AC41" i="18" s="1"/>
  <c r="AC38" i="18"/>
  <c r="AD83" i="50" s="1"/>
  <c r="AD100" i="50" s="1"/>
  <c r="U10" i="10"/>
  <c r="U10" i="18"/>
  <c r="J31" i="50"/>
  <c r="J48" i="50" s="1"/>
  <c r="I39" i="35"/>
  <c r="S20" i="10"/>
  <c r="S20" i="18"/>
  <c r="X28" i="50"/>
  <c r="X45" i="50" s="1"/>
  <c r="W17" i="35"/>
  <c r="L24" i="50"/>
  <c r="L41" i="50" s="1"/>
  <c r="K8" i="35"/>
  <c r="Z27" i="50"/>
  <c r="Z44" i="50" s="1"/>
  <c r="Y16" i="35"/>
  <c r="AA60" i="10"/>
  <c r="AA71" i="18"/>
  <c r="H123" i="51"/>
  <c r="AB123" i="50"/>
  <c r="N87" i="11"/>
  <c r="N88" i="11" s="1"/>
  <c r="AC31" i="10"/>
  <c r="AC32" i="18"/>
  <c r="C38" i="10"/>
  <c r="C39" i="18"/>
  <c r="C37" i="10"/>
  <c r="D119" i="50" s="1"/>
  <c r="C57" i="17"/>
  <c r="C41" i="18" s="1"/>
  <c r="C38" i="18"/>
  <c r="D83" i="50" s="1"/>
  <c r="D100" i="50" s="1"/>
  <c r="E61" i="10"/>
  <c r="E72" i="18"/>
  <c r="O33" i="10"/>
  <c r="P118" i="50" s="1"/>
  <c r="O34" i="18"/>
  <c r="P82" i="50" s="1"/>
  <c r="P99" i="50" s="1"/>
  <c r="G8" i="35"/>
  <c r="H24" i="50"/>
  <c r="H41" i="50" s="1"/>
  <c r="D24" i="51"/>
  <c r="D41" i="51" s="1"/>
  <c r="T31" i="50"/>
  <c r="T48" i="50" s="1"/>
  <c r="S39" i="35"/>
  <c r="D24" i="50"/>
  <c r="D41" i="50" s="1"/>
  <c r="C8" i="35"/>
  <c r="K18" i="10"/>
  <c r="L114" i="50" s="1"/>
  <c r="K18" i="18"/>
  <c r="L78" i="50" s="1"/>
  <c r="L95" i="50" s="1"/>
  <c r="O37" i="10"/>
  <c r="P119" i="50" s="1"/>
  <c r="O57" i="17"/>
  <c r="O41" i="18" s="1"/>
  <c r="O38" i="18"/>
  <c r="P83" i="50" s="1"/>
  <c r="P100" i="50" s="1"/>
  <c r="S37" i="10"/>
  <c r="T119" i="50" s="1"/>
  <c r="S57" i="17"/>
  <c r="S41" i="18" s="1"/>
  <c r="S38" i="18"/>
  <c r="T83" i="50" s="1"/>
  <c r="T100" i="50" s="1"/>
  <c r="S38" i="10"/>
  <c r="S39" i="18"/>
  <c r="C61" i="10"/>
  <c r="C72" i="18"/>
  <c r="F24" i="51"/>
  <c r="F41" i="51" s="1"/>
  <c r="Q8" i="35"/>
  <c r="R24" i="50"/>
  <c r="R41" i="50" s="1"/>
  <c r="E38" i="10"/>
  <c r="E39" i="18"/>
  <c r="G18" i="10"/>
  <c r="G18" i="18"/>
  <c r="I36" i="10"/>
  <c r="I37" i="18"/>
  <c r="I29" i="35"/>
  <c r="I18" i="18"/>
  <c r="J78" i="50" s="1"/>
  <c r="J95" i="50" s="1"/>
  <c r="I18" i="10"/>
  <c r="J114" i="50" s="1"/>
  <c r="T24" i="50"/>
  <c r="T41" i="50" s="1"/>
  <c r="S8" i="35"/>
  <c r="G39" i="10"/>
  <c r="G40" i="18"/>
  <c r="K17" i="35"/>
  <c r="L28" i="50"/>
  <c r="L45" i="50" s="1"/>
  <c r="U61" i="10"/>
  <c r="U72" i="18"/>
  <c r="I168" i="17"/>
  <c r="I169" i="17" s="1"/>
  <c r="AC20" i="10"/>
  <c r="AC20" i="18"/>
  <c r="Q37" i="10"/>
  <c r="Q57" i="17"/>
  <c r="Q41" i="18" s="1"/>
  <c r="Q38" i="18"/>
  <c r="H28" i="50"/>
  <c r="H45" i="50" s="1"/>
  <c r="G17" i="35"/>
  <c r="D28" i="51"/>
  <c r="D45" i="51" s="1"/>
  <c r="Y21" i="10"/>
  <c r="Z115" i="50" s="1"/>
  <c r="Y21" i="18"/>
  <c r="Z79" i="50" s="1"/>
  <c r="Z96" i="50" s="1"/>
  <c r="M33" i="10"/>
  <c r="N118" i="50" s="1"/>
  <c r="M34" i="18"/>
  <c r="N82" i="50" s="1"/>
  <c r="N99" i="50" s="1"/>
  <c r="AB32" i="50"/>
  <c r="AB49" i="50" s="1"/>
  <c r="H32" i="51"/>
  <c r="H49" i="51" s="1"/>
  <c r="S60" i="10"/>
  <c r="S71" i="18"/>
  <c r="AD24" i="50"/>
  <c r="AD41" i="50" s="1"/>
  <c r="AC8" i="35"/>
  <c r="O53" i="10"/>
  <c r="O64" i="18"/>
  <c r="Q9" i="10"/>
  <c r="Q9" i="18"/>
  <c r="F123" i="51"/>
  <c r="R123" i="50"/>
  <c r="W18" i="10"/>
  <c r="X114" i="50" s="1"/>
  <c r="W18" i="18"/>
  <c r="X78" i="50" s="1"/>
  <c r="X95" i="50" s="1"/>
  <c r="V24" i="50"/>
  <c r="V41" i="50" s="1"/>
  <c r="U8" i="35"/>
  <c r="E76" i="15"/>
  <c r="O18" i="10"/>
  <c r="P114" i="50" s="1"/>
  <c r="O18" i="18"/>
  <c r="P78" i="50" s="1"/>
  <c r="P95" i="50" s="1"/>
  <c r="W42" i="10"/>
  <c r="W43" i="18"/>
  <c r="W46" i="18" s="1"/>
  <c r="AA39" i="35"/>
  <c r="H31" i="51"/>
  <c r="H48" i="51" s="1"/>
  <c r="AB31" i="50"/>
  <c r="AB48" i="50" s="1"/>
  <c r="U168" i="17"/>
  <c r="U169" i="17" s="1"/>
  <c r="U21" i="10"/>
  <c r="V115" i="50" s="1"/>
  <c r="U21" i="18"/>
  <c r="V79" i="50" s="1"/>
  <c r="V96" i="50" s="1"/>
  <c r="G61" i="10"/>
  <c r="G72" i="18"/>
  <c r="I21" i="10"/>
  <c r="J115" i="50" s="1"/>
  <c r="I21" i="18"/>
  <c r="J79" i="50" s="1"/>
  <c r="J96" i="50" s="1"/>
  <c r="W8" i="10"/>
  <c r="X111" i="50" s="1"/>
  <c r="W8" i="18"/>
  <c r="X75" i="50" s="1"/>
  <c r="X92" i="50" s="1"/>
  <c r="C75" i="15"/>
  <c r="C168" i="17"/>
  <c r="C169" i="17" s="1"/>
  <c r="W38" i="10"/>
  <c r="W39" i="18"/>
  <c r="M39" i="10"/>
  <c r="M40" i="18"/>
  <c r="M36" i="10"/>
  <c r="M37" i="18"/>
  <c r="M29" i="35"/>
  <c r="O10" i="10"/>
  <c r="O10" i="18"/>
  <c r="E31" i="35"/>
  <c r="C17" i="35"/>
  <c r="D28" i="50"/>
  <c r="D45" i="50" s="1"/>
  <c r="I31" i="10"/>
  <c r="I32" i="18"/>
  <c r="S9" i="10"/>
  <c r="S9" i="18"/>
  <c r="S18" i="10"/>
  <c r="T114" i="50" s="1"/>
  <c r="S18" i="18"/>
  <c r="T78" i="50" s="1"/>
  <c r="T95" i="50" s="1"/>
  <c r="C53" i="10"/>
  <c r="C64" i="18"/>
  <c r="I9" i="35"/>
  <c r="Q45" i="35"/>
  <c r="W9" i="35"/>
  <c r="K39" i="35"/>
  <c r="L31" i="50"/>
  <c r="L48" i="50" s="1"/>
  <c r="E78" i="15"/>
  <c r="P24" i="50"/>
  <c r="P41" i="50" s="1"/>
  <c r="O8" i="35"/>
  <c r="AC168" i="17"/>
  <c r="AC169" i="17" s="1"/>
  <c r="W168" i="17"/>
  <c r="W169" i="17" s="1"/>
  <c r="Y36" i="10"/>
  <c r="Y37" i="18"/>
  <c r="Y29" i="35"/>
  <c r="N24" i="50"/>
  <c r="N41" i="50" s="1"/>
  <c r="M8" i="35"/>
  <c r="AC31" i="35"/>
  <c r="F27" i="50"/>
  <c r="F44" i="50" s="1"/>
  <c r="E16" i="35"/>
  <c r="I8" i="35"/>
  <c r="J24" i="50"/>
  <c r="J41" i="50" s="1"/>
  <c r="U39" i="10"/>
  <c r="U40" i="18"/>
  <c r="Y9" i="10"/>
  <c r="Y9" i="18"/>
  <c r="E33" i="10"/>
  <c r="F118" i="50" s="1"/>
  <c r="E34" i="18"/>
  <c r="F82" i="50" s="1"/>
  <c r="F99" i="50" s="1"/>
  <c r="O25" i="35"/>
  <c r="L32" i="50"/>
  <c r="L49" i="50" s="1"/>
  <c r="AA8" i="35"/>
  <c r="H24" i="51"/>
  <c r="H41" i="51" s="1"/>
  <c r="AB24" i="50"/>
  <c r="AB41" i="50" s="1"/>
  <c r="E8" i="10"/>
  <c r="F111" i="50" s="1"/>
  <c r="E8" i="18"/>
  <c r="F75" i="50" s="1"/>
  <c r="F92" i="50" s="1"/>
  <c r="M45" i="35"/>
  <c r="O20" i="10"/>
  <c r="O20" i="18"/>
  <c r="AC39" i="10"/>
  <c r="AC40" i="18"/>
  <c r="AC36" i="10"/>
  <c r="AC37" i="18"/>
  <c r="AC29" i="35"/>
  <c r="G64" i="18"/>
  <c r="G53" i="10"/>
  <c r="S21" i="10"/>
  <c r="T115" i="50" s="1"/>
  <c r="S21" i="18"/>
  <c r="T79" i="50" s="1"/>
  <c r="T96" i="50" s="1"/>
  <c r="W20" i="10"/>
  <c r="W20" i="18"/>
  <c r="G9" i="35"/>
  <c r="K8" i="10"/>
  <c r="L111" i="50" s="1"/>
  <c r="K8" i="18"/>
  <c r="L75" i="50" s="1"/>
  <c r="L92" i="50" s="1"/>
  <c r="M17" i="35"/>
  <c r="N28" i="50"/>
  <c r="N45" i="50" s="1"/>
  <c r="AA45" i="35"/>
  <c r="E21" i="10"/>
  <c r="F115" i="50" s="1"/>
  <c r="E21" i="18"/>
  <c r="F79" i="50" s="1"/>
  <c r="F96" i="50" s="1"/>
  <c r="C36" i="10"/>
  <c r="C37" i="18"/>
  <c r="C29" i="35"/>
  <c r="X31" i="50"/>
  <c r="X48" i="50" s="1"/>
  <c r="W39" i="35"/>
  <c r="Y60" i="10"/>
  <c r="Y71" i="18"/>
  <c r="C9" i="35"/>
  <c r="G8" i="18"/>
  <c r="G8" i="10"/>
  <c r="S27" i="35"/>
  <c r="S53" i="10"/>
  <c r="S64" i="18"/>
  <c r="C8" i="10"/>
  <c r="D111" i="50" s="1"/>
  <c r="C8" i="18"/>
  <c r="D75" i="50" s="1"/>
  <c r="D92" i="50" s="1"/>
  <c r="O39" i="10"/>
  <c r="O40" i="18"/>
  <c r="O38" i="10"/>
  <c r="O39" i="18"/>
  <c r="S39" i="10"/>
  <c r="S40" i="18"/>
  <c r="C60" i="10"/>
  <c r="C71" i="18"/>
  <c r="Q8" i="10"/>
  <c r="Q8" i="18"/>
  <c r="F32" i="50"/>
  <c r="F49" i="50" s="1"/>
  <c r="AG64" i="18" l="1"/>
  <c r="AG9" i="18"/>
  <c r="AG71" i="18"/>
  <c r="AG57" i="17"/>
  <c r="AG18" i="18"/>
  <c r="AG32" i="18"/>
  <c r="AG72" i="18"/>
  <c r="AG34" i="18"/>
  <c r="AG38" i="18"/>
  <c r="AG10" i="18"/>
  <c r="AG8" i="18"/>
  <c r="AG20" i="18"/>
  <c r="P30" i="35"/>
  <c r="F177" i="17"/>
  <c r="F80" i="15" s="1"/>
  <c r="F178" i="17"/>
  <c r="F81" i="15" s="1"/>
  <c r="E83" i="51"/>
  <c r="E100" i="51" s="1"/>
  <c r="AF41" i="18"/>
  <c r="F181" i="17"/>
  <c r="F84" i="15" s="1"/>
  <c r="H177" i="17"/>
  <c r="H80" i="15" s="1"/>
  <c r="H180" i="17"/>
  <c r="H83" i="15" s="1"/>
  <c r="H181" i="17"/>
  <c r="H84" i="15" s="1"/>
  <c r="E82" i="51"/>
  <c r="E99" i="51" s="1"/>
  <c r="F30" i="35"/>
  <c r="L30" i="35"/>
  <c r="T30" i="35"/>
  <c r="H30" i="35"/>
  <c r="AB30" i="35"/>
  <c r="X30" i="35"/>
  <c r="W83" i="11"/>
  <c r="W74" i="11" s="1"/>
  <c r="W75" i="11" s="1"/>
  <c r="V83" i="11"/>
  <c r="V13" i="11" s="1"/>
  <c r="Y52" i="8"/>
  <c r="J48" i="36" s="1"/>
  <c r="J70" i="15" s="1"/>
  <c r="J76" i="15" s="1"/>
  <c r="Y53" i="8"/>
  <c r="J49" i="36" s="1"/>
  <c r="J71" i="15" s="1"/>
  <c r="J77" i="15" s="1"/>
  <c r="Y97" i="16"/>
  <c r="Y81" i="11" s="1"/>
  <c r="Y96" i="16"/>
  <c r="Y80" i="11" s="1"/>
  <c r="W77" i="11"/>
  <c r="X51" i="8"/>
  <c r="I47" i="36" s="1"/>
  <c r="I69" i="15" s="1"/>
  <c r="I75" i="15" s="1"/>
  <c r="I72" i="10"/>
  <c r="X95" i="16"/>
  <c r="X79" i="11" s="1"/>
  <c r="Y89" i="16"/>
  <c r="U26" i="11"/>
  <c r="U13" i="11"/>
  <c r="U74" i="11"/>
  <c r="U75" i="11" s="1"/>
  <c r="U49" i="11"/>
  <c r="X52" i="8"/>
  <c r="I48" i="36" s="1"/>
  <c r="I70" i="15" s="1"/>
  <c r="I76" i="15" s="1"/>
  <c r="X53" i="8"/>
  <c r="I49" i="36" s="1"/>
  <c r="I71" i="15" s="1"/>
  <c r="I77" i="15" s="1"/>
  <c r="X96" i="16"/>
  <c r="X80" i="11" s="1"/>
  <c r="X97" i="16"/>
  <c r="X81" i="11" s="1"/>
  <c r="AA91" i="16"/>
  <c r="Z54" i="8"/>
  <c r="K50" i="36" s="1"/>
  <c r="K72" i="15" s="1"/>
  <c r="K78" i="15" s="1"/>
  <c r="Z98" i="16"/>
  <c r="Z82" i="11" s="1"/>
  <c r="K104" i="17"/>
  <c r="K109" i="17" s="1"/>
  <c r="L103" i="17"/>
  <c r="P178" i="17"/>
  <c r="P81" i="15" s="1"/>
  <c r="AF178" i="17"/>
  <c r="AF81" i="15" s="1"/>
  <c r="Q87" i="11"/>
  <c r="Q88" i="11" s="1"/>
  <c r="I40" i="1" s="1"/>
  <c r="J177" i="17"/>
  <c r="J80" i="15" s="1"/>
  <c r="AF177" i="17"/>
  <c r="AF80" i="15" s="1"/>
  <c r="AF181" i="17"/>
  <c r="AF84" i="15" s="1"/>
  <c r="P181" i="17"/>
  <c r="P84" i="15" s="1"/>
  <c r="P177" i="17"/>
  <c r="P80" i="15" s="1"/>
  <c r="T185" i="17"/>
  <c r="AE185" i="17"/>
  <c r="AD185" i="17"/>
  <c r="V185" i="17"/>
  <c r="AB185" i="17"/>
  <c r="X185" i="17"/>
  <c r="L185" i="17"/>
  <c r="D177" i="17"/>
  <c r="D180" i="17"/>
  <c r="D83" i="15" s="1"/>
  <c r="D178" i="17"/>
  <c r="D81" i="15" s="1"/>
  <c r="AA30" i="35"/>
  <c r="K30" i="35"/>
  <c r="J30" i="35"/>
  <c r="AF46" i="18"/>
  <c r="AG46" i="18" s="1"/>
  <c r="J180" i="17"/>
  <c r="J181" i="17"/>
  <c r="J84" i="15" s="1"/>
  <c r="AF30" i="35"/>
  <c r="C119" i="51"/>
  <c r="C119" i="50"/>
  <c r="I119" i="51"/>
  <c r="AG119" i="50"/>
  <c r="I118" i="51"/>
  <c r="AG118" i="50"/>
  <c r="I75" i="51"/>
  <c r="I92" i="51" s="1"/>
  <c r="AG75" i="50"/>
  <c r="AG92" i="50" s="1"/>
  <c r="Z41" i="18"/>
  <c r="Z30" i="35"/>
  <c r="C118" i="51"/>
  <c r="C118" i="50"/>
  <c r="C83" i="51"/>
  <c r="C100" i="51" s="1"/>
  <c r="C83" i="50"/>
  <c r="C100" i="50" s="1"/>
  <c r="I78" i="51"/>
  <c r="I95" i="51" s="1"/>
  <c r="AG78" i="50"/>
  <c r="AG95" i="50" s="1"/>
  <c r="I79" i="51"/>
  <c r="I96" i="51" s="1"/>
  <c r="AG79" i="50"/>
  <c r="AG96" i="50" s="1"/>
  <c r="B181" i="17"/>
  <c r="B84" i="15" s="1"/>
  <c r="B177" i="17"/>
  <c r="B178" i="17"/>
  <c r="B81" i="15" s="1"/>
  <c r="B180" i="17"/>
  <c r="B83" i="15" s="1"/>
  <c r="C79" i="51"/>
  <c r="C96" i="51" s="1"/>
  <c r="C79" i="50"/>
  <c r="C96" i="50" s="1"/>
  <c r="N41" i="18"/>
  <c r="N30" i="35"/>
  <c r="C75" i="50"/>
  <c r="C92" i="50" s="1"/>
  <c r="C75" i="51"/>
  <c r="C92" i="51" s="1"/>
  <c r="R180" i="17"/>
  <c r="R83" i="15" s="1"/>
  <c r="R181" i="17"/>
  <c r="R84" i="15" s="1"/>
  <c r="R177" i="17"/>
  <c r="R178" i="17"/>
  <c r="R81" i="15" s="1"/>
  <c r="AG111" i="50"/>
  <c r="I111" i="51"/>
  <c r="R41" i="18"/>
  <c r="R30" i="35"/>
  <c r="C82" i="51"/>
  <c r="C99" i="51" s="1"/>
  <c r="C82" i="50"/>
  <c r="C99" i="50" s="1"/>
  <c r="C78" i="51"/>
  <c r="C95" i="51" s="1"/>
  <c r="C78" i="50"/>
  <c r="C95" i="50" s="1"/>
  <c r="I114" i="51"/>
  <c r="AG114" i="50"/>
  <c r="I115" i="51"/>
  <c r="AG115" i="50"/>
  <c r="C115" i="50"/>
  <c r="C115" i="51"/>
  <c r="C111" i="50"/>
  <c r="C111" i="51"/>
  <c r="N180" i="17"/>
  <c r="N83" i="15" s="1"/>
  <c r="N178" i="17"/>
  <c r="N81" i="15" s="1"/>
  <c r="N177" i="17"/>
  <c r="N181" i="17"/>
  <c r="N84" i="15" s="1"/>
  <c r="M30" i="35"/>
  <c r="B41" i="18"/>
  <c r="B30" i="35"/>
  <c r="I83" i="51"/>
  <c r="I100" i="51" s="1"/>
  <c r="AG83" i="50"/>
  <c r="AG100" i="50" s="1"/>
  <c r="C114" i="51"/>
  <c r="C114" i="50"/>
  <c r="Z178" i="17"/>
  <c r="Z81" i="15" s="1"/>
  <c r="Z177" i="17"/>
  <c r="Z181" i="17"/>
  <c r="Z84" i="15" s="1"/>
  <c r="Z180" i="17"/>
  <c r="Z83" i="15" s="1"/>
  <c r="I82" i="51"/>
  <c r="I99" i="51" s="1"/>
  <c r="AG82" i="50"/>
  <c r="AG99" i="50" s="1"/>
  <c r="E30" i="35"/>
  <c r="F111" i="51"/>
  <c r="R111" i="50"/>
  <c r="D75" i="51"/>
  <c r="D92" i="51" s="1"/>
  <c r="H75" i="50"/>
  <c r="H92" i="50" s="1"/>
  <c r="W178" i="17"/>
  <c r="W81" i="15" s="1"/>
  <c r="W181" i="17"/>
  <c r="W84" i="15" s="1"/>
  <c r="W180" i="17"/>
  <c r="W83" i="15" s="1"/>
  <c r="W177" i="17"/>
  <c r="C177" i="17"/>
  <c r="C180" i="17"/>
  <c r="C83" i="15" s="1"/>
  <c r="C178" i="17"/>
  <c r="C81" i="15" s="1"/>
  <c r="C181" i="17"/>
  <c r="C84" i="15" s="1"/>
  <c r="F83" i="51"/>
  <c r="F100" i="51" s="1"/>
  <c r="R83" i="50"/>
  <c r="R100" i="50" s="1"/>
  <c r="D114" i="51"/>
  <c r="H114" i="50"/>
  <c r="H115" i="51"/>
  <c r="AB115" i="50"/>
  <c r="G178" i="17"/>
  <c r="G81" i="15" s="1"/>
  <c r="G180" i="17"/>
  <c r="G83" i="15" s="1"/>
  <c r="G181" i="17"/>
  <c r="G84" i="15" s="1"/>
  <c r="G177" i="17"/>
  <c r="F79" i="51"/>
  <c r="F96" i="51" s="1"/>
  <c r="R79" i="50"/>
  <c r="R96" i="50" s="1"/>
  <c r="D79" i="51"/>
  <c r="D96" i="51" s="1"/>
  <c r="H79" i="50"/>
  <c r="H96" i="50" s="1"/>
  <c r="AC30" i="35"/>
  <c r="F82" i="51"/>
  <c r="F99" i="51" s="1"/>
  <c r="R82" i="50"/>
  <c r="R99" i="50" s="1"/>
  <c r="O180" i="17"/>
  <c r="O83" i="15" s="1"/>
  <c r="O177" i="17"/>
  <c r="O181" i="17"/>
  <c r="O84" i="15" s="1"/>
  <c r="O178" i="17"/>
  <c r="O81" i="15" s="1"/>
  <c r="H78" i="51"/>
  <c r="H95" i="51" s="1"/>
  <c r="AB78" i="50"/>
  <c r="AB95" i="50" s="1"/>
  <c r="F78" i="51"/>
  <c r="F95" i="51" s="1"/>
  <c r="R78" i="50"/>
  <c r="R95" i="50" s="1"/>
  <c r="G30" i="35"/>
  <c r="Q180" i="17"/>
  <c r="Q83" i="15" s="1"/>
  <c r="Q181" i="17"/>
  <c r="Q84" i="15" s="1"/>
  <c r="Q177" i="17"/>
  <c r="Q178" i="17"/>
  <c r="Q81" i="15" s="1"/>
  <c r="H75" i="51"/>
  <c r="H92" i="51" s="1"/>
  <c r="AB75" i="50"/>
  <c r="AB92" i="50" s="1"/>
  <c r="S180" i="17"/>
  <c r="S83" i="15" s="1"/>
  <c r="S177" i="17"/>
  <c r="S178" i="17"/>
  <c r="S81" i="15" s="1"/>
  <c r="S181" i="17"/>
  <c r="S84" i="15" s="1"/>
  <c r="H82" i="51"/>
  <c r="H99" i="51" s="1"/>
  <c r="AB82" i="50"/>
  <c r="AB99" i="50" s="1"/>
  <c r="H119" i="51"/>
  <c r="AB119" i="50"/>
  <c r="K181" i="17"/>
  <c r="K84" i="15" s="1"/>
  <c r="K180" i="17"/>
  <c r="K83" i="15" s="1"/>
  <c r="K178" i="17"/>
  <c r="K81" i="15" s="1"/>
  <c r="K177" i="17"/>
  <c r="U178" i="17"/>
  <c r="U81" i="15" s="1"/>
  <c r="U177" i="17"/>
  <c r="U181" i="17"/>
  <c r="U84" i="15" s="1"/>
  <c r="U180" i="17"/>
  <c r="U83" i="15" s="1"/>
  <c r="F115" i="51"/>
  <c r="R115" i="50"/>
  <c r="D115" i="51"/>
  <c r="H115" i="50"/>
  <c r="D83" i="51"/>
  <c r="D100" i="51" s="1"/>
  <c r="H83" i="50"/>
  <c r="H100" i="50" s="1"/>
  <c r="C30" i="35"/>
  <c r="F118" i="51"/>
  <c r="R118" i="50"/>
  <c r="H114" i="51"/>
  <c r="AB114" i="50"/>
  <c r="F114" i="51"/>
  <c r="R114" i="50"/>
  <c r="Y177" i="17"/>
  <c r="Y181" i="17"/>
  <c r="Y84" i="15" s="1"/>
  <c r="Y180" i="17"/>
  <c r="Y83" i="15" s="1"/>
  <c r="Y178" i="17"/>
  <c r="Y81" i="15" s="1"/>
  <c r="H111" i="51"/>
  <c r="AB111" i="50"/>
  <c r="H118" i="51"/>
  <c r="AB118" i="50"/>
  <c r="I30" i="35"/>
  <c r="E181" i="17"/>
  <c r="E84" i="15" s="1"/>
  <c r="E178" i="17"/>
  <c r="E81" i="15" s="1"/>
  <c r="E177" i="17"/>
  <c r="E180" i="17"/>
  <c r="E83" i="15" s="1"/>
  <c r="F119" i="51"/>
  <c r="R119" i="50"/>
  <c r="AA180" i="17"/>
  <c r="AA83" i="15" s="1"/>
  <c r="AA181" i="17"/>
  <c r="AA84" i="15" s="1"/>
  <c r="AA177" i="17"/>
  <c r="AA178" i="17"/>
  <c r="AA81" i="15" s="1"/>
  <c r="W30" i="35"/>
  <c r="O30" i="35"/>
  <c r="D82" i="51"/>
  <c r="D99" i="51" s="1"/>
  <c r="H82" i="50"/>
  <c r="H99" i="50" s="1"/>
  <c r="H83" i="51"/>
  <c r="H100" i="51" s="1"/>
  <c r="AB83" i="50"/>
  <c r="AB100" i="50" s="1"/>
  <c r="F75" i="51"/>
  <c r="F92" i="51" s="1"/>
  <c r="R75" i="50"/>
  <c r="R92" i="50" s="1"/>
  <c r="D111" i="51"/>
  <c r="H111" i="50"/>
  <c r="AC178" i="17"/>
  <c r="AC81" i="15" s="1"/>
  <c r="AC177" i="17"/>
  <c r="AC180" i="17"/>
  <c r="AC83" i="15" s="1"/>
  <c r="AC181" i="17"/>
  <c r="AC84" i="15" s="1"/>
  <c r="I180" i="17"/>
  <c r="I83" i="15" s="1"/>
  <c r="I178" i="17"/>
  <c r="I81" i="15" s="1"/>
  <c r="I181" i="17"/>
  <c r="I84" i="15" s="1"/>
  <c r="I177" i="17"/>
  <c r="D78" i="51"/>
  <c r="D95" i="51" s="1"/>
  <c r="H78" i="50"/>
  <c r="H95" i="50" s="1"/>
  <c r="H79" i="51"/>
  <c r="H96" i="51" s="1"/>
  <c r="AB79" i="50"/>
  <c r="AB96" i="50" s="1"/>
  <c r="D119" i="51"/>
  <c r="H119" i="50"/>
  <c r="S30" i="35"/>
  <c r="M180" i="17"/>
  <c r="M83" i="15" s="1"/>
  <c r="M177" i="17"/>
  <c r="M178" i="17"/>
  <c r="M81" i="15" s="1"/>
  <c r="M181" i="17"/>
  <c r="M84" i="15" s="1"/>
  <c r="U30" i="35"/>
  <c r="Y30" i="35"/>
  <c r="D118" i="51"/>
  <c r="H118" i="50"/>
  <c r="Q30" i="35"/>
  <c r="W13" i="11" l="1"/>
  <c r="W14" i="11" s="1"/>
  <c r="H88" i="15"/>
  <c r="H90" i="15" s="1"/>
  <c r="H30" i="15" s="1"/>
  <c r="H65" i="17" s="1"/>
  <c r="H66" i="17" s="1"/>
  <c r="AG41" i="18"/>
  <c r="F185" i="17"/>
  <c r="F88" i="15"/>
  <c r="F90" i="15" s="1"/>
  <c r="F30" i="15" s="1"/>
  <c r="F65" i="17" s="1"/>
  <c r="H185" i="17"/>
  <c r="I43" i="1"/>
  <c r="V26" i="11"/>
  <c r="H64" i="50" s="1"/>
  <c r="W26" i="11"/>
  <c r="I64" i="50" s="1"/>
  <c r="V74" i="11"/>
  <c r="V75" i="11" s="1"/>
  <c r="W49" i="11"/>
  <c r="I67" i="50" s="1"/>
  <c r="V49" i="11"/>
  <c r="V50" i="11" s="1"/>
  <c r="W27" i="11"/>
  <c r="X83" i="11"/>
  <c r="AB91" i="16"/>
  <c r="AA54" i="8"/>
  <c r="L50" i="36" s="1"/>
  <c r="L72" i="15" s="1"/>
  <c r="L78" i="15" s="1"/>
  <c r="AA98" i="16"/>
  <c r="AA82" i="11" s="1"/>
  <c r="U14" i="11"/>
  <c r="G60" i="50"/>
  <c r="AA90" i="16"/>
  <c r="Z53" i="8"/>
  <c r="K49" i="36" s="1"/>
  <c r="K71" i="15" s="1"/>
  <c r="K77" i="15" s="1"/>
  <c r="Z52" i="8"/>
  <c r="K48" i="36" s="1"/>
  <c r="K70" i="15" s="1"/>
  <c r="K76" i="15" s="1"/>
  <c r="Z97" i="16"/>
  <c r="Z81" i="11" s="1"/>
  <c r="Z96" i="16"/>
  <c r="Z80" i="11" s="1"/>
  <c r="G64" i="50"/>
  <c r="U27" i="11"/>
  <c r="H60" i="50"/>
  <c r="D60" i="51"/>
  <c r="V14" i="11"/>
  <c r="U50" i="11"/>
  <c r="G67" i="50"/>
  <c r="Y51" i="8"/>
  <c r="J47" i="36" s="1"/>
  <c r="J69" i="15" s="1"/>
  <c r="J75" i="15" s="1"/>
  <c r="J72" i="10"/>
  <c r="Y95" i="16"/>
  <c r="Y79" i="11" s="1"/>
  <c r="Y83" i="11" s="1"/>
  <c r="M103" i="17"/>
  <c r="L104" i="17"/>
  <c r="L109" i="17" s="1"/>
  <c r="H41" i="36"/>
  <c r="AF185" i="17"/>
  <c r="P185" i="17"/>
  <c r="D185" i="17"/>
  <c r="D80" i="15"/>
  <c r="D88" i="15" s="1"/>
  <c r="D90" i="15" s="1"/>
  <c r="J83" i="15"/>
  <c r="J185" i="17"/>
  <c r="Z80" i="15"/>
  <c r="Z185" i="17"/>
  <c r="N80" i="15"/>
  <c r="N185" i="17"/>
  <c r="R185" i="17"/>
  <c r="R80" i="15"/>
  <c r="B80" i="15"/>
  <c r="B88" i="15" s="1"/>
  <c r="B90" i="15" s="1"/>
  <c r="B185" i="17"/>
  <c r="I80" i="15"/>
  <c r="I88" i="15" s="1"/>
  <c r="I90" i="15" s="1"/>
  <c r="I185" i="17"/>
  <c r="AA80" i="15"/>
  <c r="AA185" i="17"/>
  <c r="G80" i="15"/>
  <c r="G88" i="15" s="1"/>
  <c r="G90" i="15" s="1"/>
  <c r="G11" i="15" s="1"/>
  <c r="G185" i="17"/>
  <c r="AC80" i="15"/>
  <c r="AC185" i="17"/>
  <c r="U80" i="15"/>
  <c r="U185" i="17"/>
  <c r="O80" i="15"/>
  <c r="O185" i="17"/>
  <c r="C80" i="15"/>
  <c r="C88" i="15" s="1"/>
  <c r="C90" i="15" s="1"/>
  <c r="C185" i="17"/>
  <c r="M80" i="15"/>
  <c r="M185" i="17"/>
  <c r="Y80" i="15"/>
  <c r="Y185" i="17"/>
  <c r="F30" i="36"/>
  <c r="F19" i="36"/>
  <c r="F40" i="17" s="1"/>
  <c r="F41" i="17" s="1"/>
  <c r="F11" i="36"/>
  <c r="F11" i="15"/>
  <c r="F41" i="15"/>
  <c r="F19" i="15"/>
  <c r="Q80" i="15"/>
  <c r="Q185" i="17"/>
  <c r="W80" i="15"/>
  <c r="W185" i="17"/>
  <c r="E80" i="15"/>
  <c r="E88" i="15" s="1"/>
  <c r="E90" i="15" s="1"/>
  <c r="E19" i="15" s="1"/>
  <c r="E185" i="17"/>
  <c r="K80" i="15"/>
  <c r="K185" i="17"/>
  <c r="S80" i="15"/>
  <c r="S185" i="17"/>
  <c r="H30" i="36" l="1"/>
  <c r="I60" i="50"/>
  <c r="H34" i="35"/>
  <c r="H35" i="35" s="1"/>
  <c r="F41" i="36"/>
  <c r="H19" i="36"/>
  <c r="H40" i="17" s="1"/>
  <c r="H41" i="17" s="1"/>
  <c r="H43" i="17" s="1"/>
  <c r="H44" i="17" s="1"/>
  <c r="H33" i="17" s="1"/>
  <c r="H19" i="15"/>
  <c r="H11" i="36"/>
  <c r="H17" i="17" s="1"/>
  <c r="H18" i="17" s="1"/>
  <c r="H23" i="17" s="1"/>
  <c r="H24" i="17" s="1"/>
  <c r="H11" i="17" s="1"/>
  <c r="H41" i="15"/>
  <c r="H11" i="15"/>
  <c r="V27" i="11"/>
  <c r="V87" i="11" s="1"/>
  <c r="V88" i="11" s="1"/>
  <c r="W50" i="11"/>
  <c r="W87" i="11" s="1"/>
  <c r="W88" i="11" s="1"/>
  <c r="F17" i="17"/>
  <c r="F18" i="17" s="1"/>
  <c r="F23" i="17" s="1"/>
  <c r="F24" i="17" s="1"/>
  <c r="F11" i="17" s="1"/>
  <c r="F110" i="17"/>
  <c r="H67" i="50"/>
  <c r="D64" i="51"/>
  <c r="D67" i="51"/>
  <c r="J88" i="15"/>
  <c r="J90" i="15" s="1"/>
  <c r="J30" i="36" s="1"/>
  <c r="AA89" i="16"/>
  <c r="Z51" i="8"/>
  <c r="K47" i="36" s="1"/>
  <c r="K69" i="15" s="1"/>
  <c r="K75" i="15" s="1"/>
  <c r="K88" i="15" s="1"/>
  <c r="K90" i="15" s="1"/>
  <c r="Z95" i="16"/>
  <c r="Z79" i="11" s="1"/>
  <c r="Z83" i="11" s="1"/>
  <c r="K72" i="10"/>
  <c r="AC91" i="16"/>
  <c r="AB54" i="8"/>
  <c r="M50" i="36" s="1"/>
  <c r="M72" i="15" s="1"/>
  <c r="M78" i="15" s="1"/>
  <c r="AB98" i="16"/>
  <c r="AB82" i="11" s="1"/>
  <c r="Y74" i="11"/>
  <c r="Y75" i="11" s="1"/>
  <c r="Y13" i="11"/>
  <c r="Y26" i="11"/>
  <c r="Y49" i="11"/>
  <c r="X13" i="11"/>
  <c r="X74" i="11"/>
  <c r="X75" i="11" s="1"/>
  <c r="X26" i="11"/>
  <c r="X49" i="11"/>
  <c r="AB90" i="16"/>
  <c r="AA52" i="8"/>
  <c r="L48" i="36" s="1"/>
  <c r="L70" i="15" s="1"/>
  <c r="L76" i="15" s="1"/>
  <c r="AA53" i="8"/>
  <c r="L49" i="36" s="1"/>
  <c r="L71" i="15" s="1"/>
  <c r="L77" i="15" s="1"/>
  <c r="AA96" i="16"/>
  <c r="AA97" i="16"/>
  <c r="AA81" i="11" s="1"/>
  <c r="U87" i="11"/>
  <c r="U88" i="11" s="1"/>
  <c r="F42" i="17"/>
  <c r="F36" i="17" s="1"/>
  <c r="F20" i="35" s="1"/>
  <c r="F43" i="17"/>
  <c r="F44" i="17" s="1"/>
  <c r="F33" i="17" s="1"/>
  <c r="N103" i="17"/>
  <c r="M104" i="17"/>
  <c r="M109" i="17" s="1"/>
  <c r="I26" i="50"/>
  <c r="I43" i="50" s="1"/>
  <c r="I33" i="50"/>
  <c r="I50" i="50" s="1"/>
  <c r="D11" i="36"/>
  <c r="D41" i="15"/>
  <c r="D19" i="36"/>
  <c r="D40" i="17" s="1"/>
  <c r="D41" i="17" s="1"/>
  <c r="D30" i="36"/>
  <c r="D19" i="15"/>
  <c r="D11" i="15"/>
  <c r="D30" i="15"/>
  <c r="D65" i="17" s="1"/>
  <c r="D66" i="17" s="1"/>
  <c r="D41" i="36"/>
  <c r="B30" i="15"/>
  <c r="B65" i="17" s="1"/>
  <c r="B66" i="17" s="1"/>
  <c r="B19" i="36"/>
  <c r="B40" i="17" s="1"/>
  <c r="B41" i="17" s="1"/>
  <c r="B30" i="36"/>
  <c r="B19" i="15"/>
  <c r="B11" i="15"/>
  <c r="B41" i="15"/>
  <c r="B41" i="36"/>
  <c r="B11" i="36"/>
  <c r="C30" i="15"/>
  <c r="C65" i="17" s="1"/>
  <c r="C30" i="36"/>
  <c r="C19" i="36"/>
  <c r="C40" i="17" s="1"/>
  <c r="C41" i="17" s="1"/>
  <c r="C11" i="36"/>
  <c r="C41" i="36"/>
  <c r="C11" i="15"/>
  <c r="C19" i="15"/>
  <c r="C41" i="15"/>
  <c r="G26" i="50"/>
  <c r="G43" i="50" s="1"/>
  <c r="G30" i="50"/>
  <c r="G47" i="50" s="1"/>
  <c r="G30" i="15"/>
  <c r="G65" i="17" s="1"/>
  <c r="G30" i="36"/>
  <c r="G11" i="36"/>
  <c r="G19" i="36"/>
  <c r="G40" i="17" s="1"/>
  <c r="G41" i="17" s="1"/>
  <c r="G41" i="36"/>
  <c r="G19" i="15"/>
  <c r="G41" i="15"/>
  <c r="F34" i="35"/>
  <c r="F35" i="35" s="1"/>
  <c r="G33" i="50"/>
  <c r="G50" i="50" s="1"/>
  <c r="E30" i="15"/>
  <c r="E65" i="17" s="1"/>
  <c r="E30" i="36"/>
  <c r="E11" i="36"/>
  <c r="E19" i="36"/>
  <c r="E40" i="17" s="1"/>
  <c r="E41" i="17" s="1"/>
  <c r="E41" i="36"/>
  <c r="E41" i="15"/>
  <c r="E11" i="15"/>
  <c r="F66" i="17"/>
  <c r="I30" i="15"/>
  <c r="I65" i="17" s="1"/>
  <c r="I30" i="36"/>
  <c r="I19" i="36"/>
  <c r="I40" i="17" s="1"/>
  <c r="I41" i="17" s="1"/>
  <c r="I11" i="36"/>
  <c r="I41" i="36"/>
  <c r="I19" i="15"/>
  <c r="I11" i="15"/>
  <c r="I41" i="15"/>
  <c r="H110" i="17" l="1"/>
  <c r="I30" i="50"/>
  <c r="I47" i="50" s="1"/>
  <c r="H42" i="17"/>
  <c r="H36" i="17" s="1"/>
  <c r="H20" i="35" s="1"/>
  <c r="AA80" i="11"/>
  <c r="H19" i="17"/>
  <c r="H13" i="17" s="1"/>
  <c r="H11" i="35" s="1"/>
  <c r="F19" i="17"/>
  <c r="F13" i="17" s="1"/>
  <c r="F11" i="35" s="1"/>
  <c r="G17" i="17"/>
  <c r="G18" i="17" s="1"/>
  <c r="G19" i="17" s="1"/>
  <c r="G13" i="17" s="1"/>
  <c r="G11" i="35" s="1"/>
  <c r="G110" i="17"/>
  <c r="D17" i="17"/>
  <c r="D18" i="17" s="1"/>
  <c r="D19" i="17" s="1"/>
  <c r="D13" i="17" s="1"/>
  <c r="D110" i="17"/>
  <c r="E17" i="17"/>
  <c r="E18" i="17" s="1"/>
  <c r="E23" i="17" s="1"/>
  <c r="E24" i="17" s="1"/>
  <c r="E11" i="17" s="1"/>
  <c r="E110" i="17"/>
  <c r="I17" i="17"/>
  <c r="I18" i="17" s="1"/>
  <c r="I23" i="17" s="1"/>
  <c r="I24" i="17" s="1"/>
  <c r="I11" i="17" s="1"/>
  <c r="I110" i="17"/>
  <c r="C17" i="17"/>
  <c r="C18" i="17" s="1"/>
  <c r="C19" i="17" s="1"/>
  <c r="C13" i="17" s="1"/>
  <c r="C11" i="35" s="1"/>
  <c r="C110" i="17"/>
  <c r="B17" i="17"/>
  <c r="B18" i="17" s="1"/>
  <c r="B23" i="17" s="1"/>
  <c r="B24" i="17" s="1"/>
  <c r="B11" i="17" s="1"/>
  <c r="B110" i="17"/>
  <c r="J19" i="36"/>
  <c r="J40" i="17" s="1"/>
  <c r="J41" i="17" s="1"/>
  <c r="J42" i="17" s="1"/>
  <c r="J19" i="15"/>
  <c r="J41" i="36"/>
  <c r="J11" i="36"/>
  <c r="J30" i="15"/>
  <c r="J65" i="17" s="1"/>
  <c r="J66" i="17" s="1"/>
  <c r="J11" i="15"/>
  <c r="J41" i="15"/>
  <c r="K19" i="15"/>
  <c r="K11" i="36"/>
  <c r="K11" i="15"/>
  <c r="K19" i="36"/>
  <c r="K40" i="17" s="1"/>
  <c r="K41" i="17" s="1"/>
  <c r="K42" i="17" s="1"/>
  <c r="K41" i="15"/>
  <c r="K30" i="36"/>
  <c r="L33" i="50" s="1"/>
  <c r="L50" i="50" s="1"/>
  <c r="K30" i="15"/>
  <c r="K65" i="17" s="1"/>
  <c r="K66" i="17" s="1"/>
  <c r="K41" i="36"/>
  <c r="X14" i="11"/>
  <c r="J60" i="50"/>
  <c r="K60" i="50"/>
  <c r="Y14" i="11"/>
  <c r="AC90" i="16"/>
  <c r="AB53" i="8"/>
  <c r="M49" i="36" s="1"/>
  <c r="M71" i="15" s="1"/>
  <c r="M77" i="15" s="1"/>
  <c r="AB52" i="8"/>
  <c r="M48" i="36" s="1"/>
  <c r="M70" i="15" s="1"/>
  <c r="M76" i="15" s="1"/>
  <c r="AB96" i="16"/>
  <c r="AB80" i="11" s="1"/>
  <c r="AB97" i="16"/>
  <c r="AB81" i="11" s="1"/>
  <c r="J67" i="50"/>
  <c r="X50" i="11"/>
  <c r="AD91" i="16"/>
  <c r="AC54" i="8"/>
  <c r="N50" i="36" s="1"/>
  <c r="N72" i="15" s="1"/>
  <c r="N78" i="15" s="1"/>
  <c r="AC98" i="16"/>
  <c r="AC82" i="11" s="1"/>
  <c r="AB89" i="16"/>
  <c r="AA51" i="8"/>
  <c r="L47" i="36" s="1"/>
  <c r="L69" i="15" s="1"/>
  <c r="L75" i="15" s="1"/>
  <c r="L88" i="15" s="1"/>
  <c r="L90" i="15" s="1"/>
  <c r="AA95" i="16"/>
  <c r="AA79" i="11" s="1"/>
  <c r="L72" i="10"/>
  <c r="X27" i="11"/>
  <c r="J64" i="50"/>
  <c r="K67" i="50"/>
  <c r="Y50" i="11"/>
  <c r="Y27" i="11"/>
  <c r="K64" i="50"/>
  <c r="Z49" i="11"/>
  <c r="Z74" i="11"/>
  <c r="Z75" i="11" s="1"/>
  <c r="Z13" i="11"/>
  <c r="Z26" i="11"/>
  <c r="F37" i="17"/>
  <c r="H23" i="10"/>
  <c r="I116" i="50" s="1"/>
  <c r="H19" i="35"/>
  <c r="H23" i="18"/>
  <c r="I80" i="50" s="1"/>
  <c r="I97" i="50" s="1"/>
  <c r="I43" i="17"/>
  <c r="I44" i="17" s="1"/>
  <c r="I33" i="17" s="1"/>
  <c r="I42" i="17"/>
  <c r="I36" i="17" s="1"/>
  <c r="E42" i="17"/>
  <c r="E36" i="17" s="1"/>
  <c r="E20" i="35" s="1"/>
  <c r="E43" i="17"/>
  <c r="E44" i="17" s="1"/>
  <c r="E33" i="17" s="1"/>
  <c r="G43" i="17"/>
  <c r="G44" i="17" s="1"/>
  <c r="G33" i="17" s="1"/>
  <c r="G42" i="17"/>
  <c r="G36" i="17" s="1"/>
  <c r="G20" i="35" s="1"/>
  <c r="D43" i="17"/>
  <c r="D44" i="17" s="1"/>
  <c r="D33" i="17" s="1"/>
  <c r="D42" i="17"/>
  <c r="D36" i="17" s="1"/>
  <c r="H10" i="35"/>
  <c r="H11" i="10"/>
  <c r="I112" i="50" s="1"/>
  <c r="H11" i="18"/>
  <c r="I76" i="50" s="1"/>
  <c r="I93" i="50" s="1"/>
  <c r="F19" i="35"/>
  <c r="F21" i="35" s="1"/>
  <c r="F23" i="10"/>
  <c r="G116" i="50" s="1"/>
  <c r="F23" i="18"/>
  <c r="G80" i="50" s="1"/>
  <c r="G97" i="50" s="1"/>
  <c r="C43" i="17"/>
  <c r="C44" i="17" s="1"/>
  <c r="C33" i="17" s="1"/>
  <c r="C42" i="17"/>
  <c r="C36" i="17" s="1"/>
  <c r="B42" i="17"/>
  <c r="B36" i="17" s="1"/>
  <c r="B43" i="17"/>
  <c r="B44" i="17" s="1"/>
  <c r="B33" i="17" s="1"/>
  <c r="F10" i="35"/>
  <c r="F11" i="10"/>
  <c r="G112" i="50" s="1"/>
  <c r="F11" i="18"/>
  <c r="G76" i="50" s="1"/>
  <c r="G93" i="50" s="1"/>
  <c r="N104" i="17"/>
  <c r="N109" i="17" s="1"/>
  <c r="O103" i="17"/>
  <c r="E33" i="50"/>
  <c r="E50" i="50" s="1"/>
  <c r="D34" i="35"/>
  <c r="D35" i="35" s="1"/>
  <c r="E30" i="50"/>
  <c r="E47" i="50" s="1"/>
  <c r="E26" i="50"/>
  <c r="E43" i="50" s="1"/>
  <c r="K33" i="50"/>
  <c r="K50" i="50" s="1"/>
  <c r="K70" i="1"/>
  <c r="L70" i="1" s="1"/>
  <c r="C26" i="51"/>
  <c r="C43" i="51" s="1"/>
  <c r="C26" i="50"/>
  <c r="C43" i="50" s="1"/>
  <c r="K72" i="1"/>
  <c r="L72" i="1" s="1"/>
  <c r="B34" i="35"/>
  <c r="B35" i="35" s="1"/>
  <c r="J61" i="1" s="1"/>
  <c r="K61" i="1" s="1"/>
  <c r="C33" i="50"/>
  <c r="C50" i="50" s="1"/>
  <c r="C33" i="51"/>
  <c r="C50" i="51" s="1"/>
  <c r="C30" i="50"/>
  <c r="C47" i="50" s="1"/>
  <c r="C30" i="51"/>
  <c r="C47" i="51" s="1"/>
  <c r="J33" i="50"/>
  <c r="J50" i="50" s="1"/>
  <c r="I34" i="35"/>
  <c r="I35" i="35" s="1"/>
  <c r="F33" i="50"/>
  <c r="F50" i="50" s="1"/>
  <c r="E34" i="35"/>
  <c r="E35" i="35" s="1"/>
  <c r="D26" i="51"/>
  <c r="D43" i="51" s="1"/>
  <c r="H26" i="50"/>
  <c r="H43" i="50" s="1"/>
  <c r="C66" i="17"/>
  <c r="I66" i="17"/>
  <c r="E66" i="17"/>
  <c r="D33" i="51"/>
  <c r="D50" i="51" s="1"/>
  <c r="G34" i="35"/>
  <c r="G35" i="35" s="1"/>
  <c r="H33" i="50"/>
  <c r="H50" i="50" s="1"/>
  <c r="D26" i="50"/>
  <c r="D43" i="50" s="1"/>
  <c r="J26" i="50"/>
  <c r="J43" i="50" s="1"/>
  <c r="F30" i="50"/>
  <c r="F47" i="50" s="1"/>
  <c r="G66" i="17"/>
  <c r="D30" i="50"/>
  <c r="D47" i="50" s="1"/>
  <c r="J30" i="50"/>
  <c r="J47" i="50" s="1"/>
  <c r="F26" i="50"/>
  <c r="F43" i="50" s="1"/>
  <c r="D30" i="51"/>
  <c r="D47" i="51" s="1"/>
  <c r="H30" i="50"/>
  <c r="H47" i="50" s="1"/>
  <c r="C34" i="35"/>
  <c r="C35" i="35" s="1"/>
  <c r="D33" i="50"/>
  <c r="D50" i="50" s="1"/>
  <c r="H21" i="35" l="1"/>
  <c r="H37" i="17"/>
  <c r="H14" i="17"/>
  <c r="AA83" i="11"/>
  <c r="AA26" i="11" s="1"/>
  <c r="H12" i="35"/>
  <c r="F14" i="17"/>
  <c r="G23" i="17"/>
  <c r="G24" i="17" s="1"/>
  <c r="G11" i="17" s="1"/>
  <c r="G10" i="35" s="1"/>
  <c r="G12" i="35" s="1"/>
  <c r="E19" i="17"/>
  <c r="E13" i="17" s="1"/>
  <c r="E11" i="35" s="1"/>
  <c r="C23" i="17"/>
  <c r="C24" i="17" s="1"/>
  <c r="C11" i="17" s="1"/>
  <c r="C14" i="17" s="1"/>
  <c r="I19" i="17"/>
  <c r="I13" i="17" s="1"/>
  <c r="I11" i="35" s="1"/>
  <c r="B19" i="17"/>
  <c r="B13" i="17" s="1"/>
  <c r="B11" i="35" s="1"/>
  <c r="D23" i="17"/>
  <c r="D24" i="17" s="1"/>
  <c r="D11" i="17" s="1"/>
  <c r="D14" i="17" s="1"/>
  <c r="J17" i="17"/>
  <c r="J18" i="17" s="1"/>
  <c r="J19" i="17" s="1"/>
  <c r="J13" i="17" s="1"/>
  <c r="J11" i="35" s="1"/>
  <c r="J110" i="17"/>
  <c r="K17" i="17"/>
  <c r="K18" i="17" s="1"/>
  <c r="K110" i="17"/>
  <c r="J36" i="17"/>
  <c r="J20" i="35" s="1"/>
  <c r="K30" i="50"/>
  <c r="K47" i="50" s="1"/>
  <c r="J43" i="17"/>
  <c r="J44" i="17" s="1"/>
  <c r="J33" i="17" s="1"/>
  <c r="J23" i="18" s="1"/>
  <c r="K80" i="50" s="1"/>
  <c r="K97" i="50" s="1"/>
  <c r="L26" i="50"/>
  <c r="L43" i="50" s="1"/>
  <c r="K36" i="17"/>
  <c r="K20" i="35" s="1"/>
  <c r="K26" i="50"/>
  <c r="K43" i="50" s="1"/>
  <c r="J34" i="35"/>
  <c r="J35" i="35" s="1"/>
  <c r="K34" i="35"/>
  <c r="K35" i="35" s="1"/>
  <c r="L30" i="50"/>
  <c r="L47" i="50" s="1"/>
  <c r="K43" i="17"/>
  <c r="K44" i="17" s="1"/>
  <c r="K33" i="17" s="1"/>
  <c r="Z27" i="11"/>
  <c r="L64" i="50"/>
  <c r="L30" i="15"/>
  <c r="L65" i="17" s="1"/>
  <c r="L66" i="17" s="1"/>
  <c r="L41" i="15"/>
  <c r="L41" i="36"/>
  <c r="L19" i="36"/>
  <c r="L11" i="15"/>
  <c r="L30" i="36"/>
  <c r="L19" i="15"/>
  <c r="L11" i="36"/>
  <c r="L110" i="17" s="1"/>
  <c r="AE91" i="16"/>
  <c r="AD54" i="8"/>
  <c r="O50" i="36" s="1"/>
  <c r="O72" i="15" s="1"/>
  <c r="O78" i="15" s="1"/>
  <c r="AD98" i="16"/>
  <c r="AD82" i="11" s="1"/>
  <c r="Y87" i="11"/>
  <c r="Y88" i="11" s="1"/>
  <c r="L60" i="50"/>
  <c r="Z14" i="11"/>
  <c r="AC89" i="16"/>
  <c r="M72" i="10"/>
  <c r="AB51" i="8"/>
  <c r="M47" i="36" s="1"/>
  <c r="M69" i="15" s="1"/>
  <c r="M75" i="15" s="1"/>
  <c r="M88" i="15" s="1"/>
  <c r="M90" i="15" s="1"/>
  <c r="AB95" i="16"/>
  <c r="AB79" i="11" s="1"/>
  <c r="AB83" i="11" s="1"/>
  <c r="X87" i="11"/>
  <c r="X88" i="11" s="1"/>
  <c r="L67" i="50"/>
  <c r="Z50" i="11"/>
  <c r="AD90" i="16"/>
  <c r="AC53" i="8"/>
  <c r="N49" i="36" s="1"/>
  <c r="N71" i="15" s="1"/>
  <c r="N77" i="15" s="1"/>
  <c r="AC52" i="8"/>
  <c r="N48" i="36" s="1"/>
  <c r="N70" i="15" s="1"/>
  <c r="N76" i="15" s="1"/>
  <c r="AC96" i="16"/>
  <c r="AC80" i="11" s="1"/>
  <c r="AC97" i="16"/>
  <c r="AC81" i="11" s="1"/>
  <c r="G37" i="17"/>
  <c r="B37" i="17"/>
  <c r="E37" i="17"/>
  <c r="D37" i="17"/>
  <c r="D20" i="35"/>
  <c r="D11" i="35"/>
  <c r="C20" i="35"/>
  <c r="C37" i="17"/>
  <c r="I37" i="17"/>
  <c r="I20" i="35"/>
  <c r="I19" i="35"/>
  <c r="I23" i="18"/>
  <c r="J80" i="50" s="1"/>
  <c r="J97" i="50" s="1"/>
  <c r="I23" i="10"/>
  <c r="J116" i="50" s="1"/>
  <c r="B19" i="35"/>
  <c r="B23" i="10"/>
  <c r="B23" i="18"/>
  <c r="B11" i="18"/>
  <c r="B10" i="35"/>
  <c r="B11" i="10"/>
  <c r="C23" i="10"/>
  <c r="D116" i="50" s="1"/>
  <c r="C23" i="18"/>
  <c r="D80" i="50" s="1"/>
  <c r="D97" i="50" s="1"/>
  <c r="C19" i="35"/>
  <c r="D23" i="10"/>
  <c r="E116" i="50" s="1"/>
  <c r="D23" i="18"/>
  <c r="E80" i="50" s="1"/>
  <c r="E97" i="50" s="1"/>
  <c r="D19" i="35"/>
  <c r="E23" i="18"/>
  <c r="F80" i="50" s="1"/>
  <c r="F97" i="50" s="1"/>
  <c r="E19" i="35"/>
  <c r="E21" i="35" s="1"/>
  <c r="E23" i="10"/>
  <c r="F116" i="50" s="1"/>
  <c r="B20" i="35"/>
  <c r="G19" i="35"/>
  <c r="G21" i="35" s="1"/>
  <c r="G23" i="18"/>
  <c r="G23" i="10"/>
  <c r="E10" i="35"/>
  <c r="E11" i="10"/>
  <c r="F112" i="50" s="1"/>
  <c r="E11" i="18"/>
  <c r="F76" i="50" s="1"/>
  <c r="F93" i="50" s="1"/>
  <c r="I10" i="35"/>
  <c r="I11" i="10"/>
  <c r="J112" i="50" s="1"/>
  <c r="I11" i="18"/>
  <c r="J76" i="50" s="1"/>
  <c r="J93" i="50" s="1"/>
  <c r="F12" i="35"/>
  <c r="P103" i="17"/>
  <c r="O104" i="17"/>
  <c r="O109" i="17" s="1"/>
  <c r="AA49" i="11" l="1"/>
  <c r="AA13" i="11"/>
  <c r="M60" i="50" s="1"/>
  <c r="AA74" i="11"/>
  <c r="AA75" i="11" s="1"/>
  <c r="B14" i="17"/>
  <c r="E14" i="17"/>
  <c r="C10" i="35"/>
  <c r="C12" i="35" s="1"/>
  <c r="G14" i="17"/>
  <c r="G11" i="18"/>
  <c r="H76" i="50" s="1"/>
  <c r="H93" i="50" s="1"/>
  <c r="G11" i="10"/>
  <c r="D112" i="51" s="1"/>
  <c r="C11" i="18"/>
  <c r="D76" i="50" s="1"/>
  <c r="D93" i="50" s="1"/>
  <c r="C11" i="10"/>
  <c r="D112" i="50" s="1"/>
  <c r="I14" i="17"/>
  <c r="D11" i="10"/>
  <c r="E112" i="50" s="1"/>
  <c r="D10" i="35"/>
  <c r="D12" i="35" s="1"/>
  <c r="D11" i="18"/>
  <c r="E76" i="50" s="1"/>
  <c r="E93" i="50" s="1"/>
  <c r="J23" i="17"/>
  <c r="J24" i="17" s="1"/>
  <c r="J11" i="17" s="1"/>
  <c r="J14" i="17" s="1"/>
  <c r="K37" i="17"/>
  <c r="K19" i="17"/>
  <c r="K13" i="17" s="1"/>
  <c r="K11" i="35" s="1"/>
  <c r="K23" i="17"/>
  <c r="K24" i="17" s="1"/>
  <c r="K11" i="17" s="1"/>
  <c r="J37" i="17"/>
  <c r="J23" i="10"/>
  <c r="K116" i="50" s="1"/>
  <c r="J19" i="35"/>
  <c r="J21" i="35" s="1"/>
  <c r="K23" i="10"/>
  <c r="L116" i="50" s="1"/>
  <c r="K23" i="18"/>
  <c r="L80" i="50" s="1"/>
  <c r="L97" i="50" s="1"/>
  <c r="K19" i="35"/>
  <c r="K21" i="35" s="1"/>
  <c r="AE90" i="16"/>
  <c r="AD53" i="8"/>
  <c r="O49" i="36" s="1"/>
  <c r="O71" i="15" s="1"/>
  <c r="O77" i="15" s="1"/>
  <c r="AD52" i="8"/>
  <c r="O48" i="36" s="1"/>
  <c r="O70" i="15" s="1"/>
  <c r="O76" i="15" s="1"/>
  <c r="AD96" i="16"/>
  <c r="AD80" i="11" s="1"/>
  <c r="AD97" i="16"/>
  <c r="AD81" i="11" s="1"/>
  <c r="AB49" i="11"/>
  <c r="AB13" i="11"/>
  <c r="AB74" i="11"/>
  <c r="AB75" i="11" s="1"/>
  <c r="AB26" i="11"/>
  <c r="Z87" i="11"/>
  <c r="Z88" i="11" s="1"/>
  <c r="L34" i="35"/>
  <c r="L35" i="35" s="1"/>
  <c r="M33" i="50"/>
  <c r="M50" i="50" s="1"/>
  <c r="E33" i="51"/>
  <c r="E50" i="51" s="1"/>
  <c r="AA27" i="11"/>
  <c r="E64" i="51"/>
  <c r="M64" i="50"/>
  <c r="M41" i="15"/>
  <c r="M11" i="36"/>
  <c r="M110" i="17" s="1"/>
  <c r="M41" i="36"/>
  <c r="M30" i="15"/>
  <c r="M65" i="17" s="1"/>
  <c r="M66" i="17" s="1"/>
  <c r="M19" i="15"/>
  <c r="M11" i="15"/>
  <c r="M30" i="36"/>
  <c r="M19" i="36"/>
  <c r="AF91" i="16"/>
  <c r="AE54" i="8"/>
  <c r="P50" i="36" s="1"/>
  <c r="P72" i="15" s="1"/>
  <c r="P78" i="15" s="1"/>
  <c r="AE98" i="16"/>
  <c r="AE82" i="11" s="1"/>
  <c r="E67" i="51"/>
  <c r="AA50" i="11"/>
  <c r="M67" i="50"/>
  <c r="M26" i="50"/>
  <c r="M43" i="50" s="1"/>
  <c r="L12" i="36"/>
  <c r="L17" i="17"/>
  <c r="L18" i="17" s="1"/>
  <c r="E26" i="51"/>
  <c r="E43" i="51" s="1"/>
  <c r="M30" i="50"/>
  <c r="M47" i="50" s="1"/>
  <c r="L40" i="17"/>
  <c r="L41" i="17" s="1"/>
  <c r="E30" i="51"/>
  <c r="E47" i="51" s="1"/>
  <c r="L20" i="36"/>
  <c r="E60" i="51"/>
  <c r="AA14" i="11"/>
  <c r="AD89" i="16"/>
  <c r="AC51" i="8"/>
  <c r="N47" i="36" s="1"/>
  <c r="N69" i="15" s="1"/>
  <c r="N75" i="15" s="1"/>
  <c r="N88" i="15" s="1"/>
  <c r="N90" i="15" s="1"/>
  <c r="N72" i="10"/>
  <c r="AC95" i="16"/>
  <c r="AC79" i="11" s="1"/>
  <c r="AC83" i="11" s="1"/>
  <c r="I21" i="35"/>
  <c r="I12" i="35"/>
  <c r="E12" i="35"/>
  <c r="C112" i="51"/>
  <c r="C112" i="50"/>
  <c r="C21" i="35"/>
  <c r="B21" i="35"/>
  <c r="J60" i="1" s="1"/>
  <c r="K60" i="1" s="1"/>
  <c r="D21" i="35"/>
  <c r="H116" i="50"/>
  <c r="D116" i="51"/>
  <c r="C76" i="51"/>
  <c r="C93" i="51" s="1"/>
  <c r="C76" i="50"/>
  <c r="C93" i="50" s="1"/>
  <c r="C80" i="51"/>
  <c r="C97" i="51" s="1"/>
  <c r="C80" i="50"/>
  <c r="C97" i="50" s="1"/>
  <c r="H80" i="50"/>
  <c r="H97" i="50" s="1"/>
  <c r="D80" i="51"/>
  <c r="D97" i="51" s="1"/>
  <c r="C116" i="51"/>
  <c r="C116" i="50"/>
  <c r="B12" i="35"/>
  <c r="J59" i="1" s="1"/>
  <c r="K59" i="1" s="1"/>
  <c r="Q103" i="17"/>
  <c r="P104" i="17"/>
  <c r="P109" i="17" s="1"/>
  <c r="D76" i="51" l="1"/>
  <c r="D93" i="51" s="1"/>
  <c r="H112" i="50"/>
  <c r="J11" i="10"/>
  <c r="K112" i="50" s="1"/>
  <c r="J10" i="35"/>
  <c r="J12" i="35" s="1"/>
  <c r="J11" i="18"/>
  <c r="K76" i="50" s="1"/>
  <c r="K93" i="50" s="1"/>
  <c r="K14" i="17"/>
  <c r="K10" i="35"/>
  <c r="K12" i="35" s="1"/>
  <c r="K11" i="18"/>
  <c r="L76" i="50" s="1"/>
  <c r="L93" i="50" s="1"/>
  <c r="K11" i="10"/>
  <c r="L112" i="50" s="1"/>
  <c r="AA87" i="11"/>
  <c r="AA88" i="11" s="1"/>
  <c r="L42" i="17"/>
  <c r="L36" i="17" s="1"/>
  <c r="L20" i="35" s="1"/>
  <c r="L43" i="17"/>
  <c r="L44" i="17" s="1"/>
  <c r="L33" i="17" s="1"/>
  <c r="M40" i="17"/>
  <c r="M41" i="17" s="1"/>
  <c r="N30" i="50"/>
  <c r="N47" i="50" s="1"/>
  <c r="N41" i="36"/>
  <c r="N11" i="36"/>
  <c r="N110" i="17" s="1"/>
  <c r="N30" i="36"/>
  <c r="N41" i="15"/>
  <c r="N30" i="15"/>
  <c r="N65" i="17" s="1"/>
  <c r="N66" i="17" s="1"/>
  <c r="N19" i="36"/>
  <c r="N19" i="15"/>
  <c r="N11" i="15"/>
  <c r="N33" i="50"/>
  <c r="N50" i="50" s="1"/>
  <c r="M34" i="35"/>
  <c r="M35" i="35" s="1"/>
  <c r="N60" i="50"/>
  <c r="AB14" i="11"/>
  <c r="AE89" i="16"/>
  <c r="AD51" i="8"/>
  <c r="O47" i="36" s="1"/>
  <c r="O69" i="15" s="1"/>
  <c r="O75" i="15" s="1"/>
  <c r="O88" i="15" s="1"/>
  <c r="O90" i="15" s="1"/>
  <c r="AD95" i="16"/>
  <c r="AD79" i="11" s="1"/>
  <c r="AD83" i="11" s="1"/>
  <c r="O72" i="10"/>
  <c r="M17" i="17"/>
  <c r="M18" i="17" s="1"/>
  <c r="N26" i="50"/>
  <c r="N43" i="50" s="1"/>
  <c r="AB50" i="11"/>
  <c r="N67" i="50"/>
  <c r="AC26" i="11"/>
  <c r="AC74" i="11"/>
  <c r="AC75" i="11" s="1"/>
  <c r="AC49" i="11"/>
  <c r="AC13" i="11"/>
  <c r="L23" i="17"/>
  <c r="L24" i="17" s="1"/>
  <c r="L11" i="17" s="1"/>
  <c r="L19" i="17"/>
  <c r="L13" i="17" s="1"/>
  <c r="L11" i="35" s="1"/>
  <c r="AG91" i="16"/>
  <c r="AF54" i="8"/>
  <c r="Q50" i="36" s="1"/>
  <c r="Q72" i="15" s="1"/>
  <c r="Q78" i="15" s="1"/>
  <c r="AF98" i="16"/>
  <c r="AF82" i="11" s="1"/>
  <c r="N64" i="50"/>
  <c r="AB27" i="11"/>
  <c r="AE97" i="16"/>
  <c r="AE81" i="11" s="1"/>
  <c r="AE96" i="16"/>
  <c r="AE80" i="11" s="1"/>
  <c r="AF90" i="16"/>
  <c r="AE53" i="8"/>
  <c r="P49" i="36" s="1"/>
  <c r="P71" i="15" s="1"/>
  <c r="P77" i="15" s="1"/>
  <c r="AE52" i="8"/>
  <c r="P48" i="36" s="1"/>
  <c r="P70" i="15" s="1"/>
  <c r="P76" i="15" s="1"/>
  <c r="R103" i="17"/>
  <c r="Q104" i="17"/>
  <c r="Q109" i="17" s="1"/>
  <c r="AH91" i="16" l="1"/>
  <c r="AG54" i="8"/>
  <c r="R50" i="36" s="1"/>
  <c r="R72" i="15" s="1"/>
  <c r="R78" i="15" s="1"/>
  <c r="AG98" i="16"/>
  <c r="AG82" i="11" s="1"/>
  <c r="AC50" i="11"/>
  <c r="O67" i="50"/>
  <c r="AB87" i="11"/>
  <c r="AB88" i="11" s="1"/>
  <c r="AF53" i="8"/>
  <c r="Q49" i="36" s="1"/>
  <c r="Q71" i="15" s="1"/>
  <c r="Q77" i="15" s="1"/>
  <c r="AG90" i="16"/>
  <c r="AF52" i="8"/>
  <c r="Q48" i="36" s="1"/>
  <c r="Q70" i="15" s="1"/>
  <c r="Q76" i="15" s="1"/>
  <c r="AF96" i="16"/>
  <c r="AF80" i="11" s="1"/>
  <c r="AF97" i="16"/>
  <c r="AF81" i="11" s="1"/>
  <c r="AD49" i="11"/>
  <c r="AD26" i="11"/>
  <c r="AD13" i="11"/>
  <c r="AD74" i="11"/>
  <c r="AD75" i="11" s="1"/>
  <c r="O33" i="50"/>
  <c r="O50" i="50" s="1"/>
  <c r="N34" i="35"/>
  <c r="N35" i="35" s="1"/>
  <c r="M42" i="17"/>
  <c r="M36" i="17" s="1"/>
  <c r="M20" i="35" s="1"/>
  <c r="M43" i="17"/>
  <c r="M44" i="17" s="1"/>
  <c r="M33" i="17" s="1"/>
  <c r="L11" i="10"/>
  <c r="L10" i="35"/>
  <c r="L12" i="35" s="1"/>
  <c r="L11" i="18"/>
  <c r="L14" i="17"/>
  <c r="AC27" i="11"/>
  <c r="O64" i="50"/>
  <c r="O19" i="15"/>
  <c r="O19" i="36"/>
  <c r="O30" i="36"/>
  <c r="O41" i="15"/>
  <c r="O30" i="15"/>
  <c r="O65" i="17" s="1"/>
  <c r="O66" i="17" s="1"/>
  <c r="O11" i="15"/>
  <c r="O41" i="36"/>
  <c r="O11" i="36"/>
  <c r="O110" i="17" s="1"/>
  <c r="N40" i="17"/>
  <c r="N41" i="17" s="1"/>
  <c r="O30" i="50"/>
  <c r="O47" i="50" s="1"/>
  <c r="N17" i="17"/>
  <c r="N18" i="17" s="1"/>
  <c r="O26" i="50"/>
  <c r="O43" i="50" s="1"/>
  <c r="L23" i="10"/>
  <c r="L23" i="18"/>
  <c r="L19" i="35"/>
  <c r="L21" i="35" s="1"/>
  <c r="L37" i="17"/>
  <c r="AC14" i="11"/>
  <c r="O60" i="50"/>
  <c r="M19" i="17"/>
  <c r="M13" i="17" s="1"/>
  <c r="M11" i="35" s="1"/>
  <c r="M23" i="17"/>
  <c r="M24" i="17" s="1"/>
  <c r="M11" i="17" s="1"/>
  <c r="AF89" i="16"/>
  <c r="AE51" i="8"/>
  <c r="P47" i="36" s="1"/>
  <c r="P69" i="15" s="1"/>
  <c r="P75" i="15" s="1"/>
  <c r="P88" i="15" s="1"/>
  <c r="P90" i="15" s="1"/>
  <c r="P72" i="10"/>
  <c r="AE95" i="16"/>
  <c r="AE79" i="11" s="1"/>
  <c r="AE83" i="11" s="1"/>
  <c r="R104" i="17"/>
  <c r="R109" i="17" s="1"/>
  <c r="S103" i="17"/>
  <c r="AC87" i="11" l="1"/>
  <c r="AC88" i="11" s="1"/>
  <c r="AG89" i="16"/>
  <c r="AF51" i="8"/>
  <c r="Q47" i="36" s="1"/>
  <c r="Q69" i="15" s="1"/>
  <c r="Q75" i="15" s="1"/>
  <c r="Q88" i="15" s="1"/>
  <c r="Q90" i="15" s="1"/>
  <c r="Q72" i="10"/>
  <c r="AF95" i="16"/>
  <c r="AF79" i="11" s="1"/>
  <c r="AF83" i="11" s="1"/>
  <c r="M116" i="50"/>
  <c r="E116" i="51"/>
  <c r="P33" i="50"/>
  <c r="P50" i="50" s="1"/>
  <c r="O34" i="35"/>
  <c r="O35" i="35" s="1"/>
  <c r="M112" i="50"/>
  <c r="E112" i="51"/>
  <c r="AD50" i="11"/>
  <c r="P67" i="50"/>
  <c r="AG96" i="16"/>
  <c r="AG80" i="11" s="1"/>
  <c r="AG53" i="8"/>
  <c r="R49" i="36" s="1"/>
  <c r="R71" i="15" s="1"/>
  <c r="R77" i="15" s="1"/>
  <c r="AG52" i="8"/>
  <c r="R48" i="36" s="1"/>
  <c r="R70" i="15" s="1"/>
  <c r="R76" i="15" s="1"/>
  <c r="AG97" i="16"/>
  <c r="AG81" i="11" s="1"/>
  <c r="AH90" i="16"/>
  <c r="AE74" i="11"/>
  <c r="AE75" i="11" s="1"/>
  <c r="AE13" i="11"/>
  <c r="AE49" i="11"/>
  <c r="AE26" i="11"/>
  <c r="M11" i="18"/>
  <c r="N76" i="50" s="1"/>
  <c r="N93" i="50" s="1"/>
  <c r="M10" i="35"/>
  <c r="M12" i="35" s="1"/>
  <c r="M11" i="10"/>
  <c r="N112" i="50" s="1"/>
  <c r="M14" i="17"/>
  <c r="O40" i="17"/>
  <c r="O41" i="17" s="1"/>
  <c r="P30" i="50"/>
  <c r="P47" i="50" s="1"/>
  <c r="M37" i="17"/>
  <c r="M23" i="10"/>
  <c r="N116" i="50" s="1"/>
  <c r="M23" i="18"/>
  <c r="N80" i="50" s="1"/>
  <c r="N97" i="50" s="1"/>
  <c r="M19" i="35"/>
  <c r="M21" i="35" s="1"/>
  <c r="N43" i="17"/>
  <c r="N44" i="17" s="1"/>
  <c r="N33" i="17" s="1"/>
  <c r="N42" i="17"/>
  <c r="N36" i="17" s="1"/>
  <c r="M76" i="50"/>
  <c r="M93" i="50" s="1"/>
  <c r="E76" i="51"/>
  <c r="E93" i="51" s="1"/>
  <c r="P60" i="50"/>
  <c r="AD14" i="11"/>
  <c r="P41" i="15"/>
  <c r="P41" i="36"/>
  <c r="P30" i="15"/>
  <c r="P65" i="17" s="1"/>
  <c r="P66" i="17" s="1"/>
  <c r="P11" i="36"/>
  <c r="P110" i="17" s="1"/>
  <c r="P19" i="15"/>
  <c r="P30" i="36"/>
  <c r="P19" i="36"/>
  <c r="P11" i="15"/>
  <c r="E80" i="51"/>
  <c r="E97" i="51" s="1"/>
  <c r="M80" i="50"/>
  <c r="M97" i="50" s="1"/>
  <c r="N19" i="17"/>
  <c r="N13" i="17" s="1"/>
  <c r="N11" i="35" s="1"/>
  <c r="N23" i="17"/>
  <c r="N24" i="17" s="1"/>
  <c r="N11" i="17" s="1"/>
  <c r="O17" i="17"/>
  <c r="O18" i="17" s="1"/>
  <c r="P26" i="50"/>
  <c r="P43" i="50" s="1"/>
  <c r="P64" i="50"/>
  <c r="AD27" i="11"/>
  <c r="AI91" i="16"/>
  <c r="AH54" i="8"/>
  <c r="S50" i="36" s="1"/>
  <c r="S72" i="15" s="1"/>
  <c r="S78" i="15" s="1"/>
  <c r="AH98" i="16"/>
  <c r="AH82" i="11" s="1"/>
  <c r="S104" i="17"/>
  <c r="S109" i="17" s="1"/>
  <c r="T103" i="17"/>
  <c r="B111" i="17" l="1"/>
  <c r="B113" i="17" s="1"/>
  <c r="B114" i="17" s="1"/>
  <c r="B91" i="17" s="1"/>
  <c r="AE50" i="11"/>
  <c r="Q67" i="50"/>
  <c r="AF13" i="11"/>
  <c r="AF74" i="11"/>
  <c r="AF75" i="11" s="1"/>
  <c r="N39" i="1" s="1"/>
  <c r="AF49" i="11"/>
  <c r="N42" i="1"/>
  <c r="AF26" i="11"/>
  <c r="AJ91" i="16"/>
  <c r="AI54" i="8"/>
  <c r="T50" i="36" s="1"/>
  <c r="T72" i="15" s="1"/>
  <c r="T78" i="15" s="1"/>
  <c r="AI98" i="16"/>
  <c r="AI82" i="11" s="1"/>
  <c r="O19" i="17"/>
  <c r="O13" i="17" s="1"/>
  <c r="O11" i="35" s="1"/>
  <c r="O23" i="17"/>
  <c r="O24" i="17" s="1"/>
  <c r="O11" i="17" s="1"/>
  <c r="AE14" i="11"/>
  <c r="Q60" i="50"/>
  <c r="Q33" i="50"/>
  <c r="Q50" i="50" s="1"/>
  <c r="P34" i="35"/>
  <c r="P35" i="35" s="1"/>
  <c r="N14" i="17"/>
  <c r="N10" i="35"/>
  <c r="N12" i="35" s="1"/>
  <c r="N11" i="10"/>
  <c r="O112" i="50" s="1"/>
  <c r="N11" i="18"/>
  <c r="O76" i="50" s="1"/>
  <c r="O93" i="50" s="1"/>
  <c r="P17" i="17"/>
  <c r="P18" i="17" s="1"/>
  <c r="Q26" i="50"/>
  <c r="Q43" i="50" s="1"/>
  <c r="AD87" i="11"/>
  <c r="AD88" i="11" s="1"/>
  <c r="N37" i="17"/>
  <c r="N20" i="35"/>
  <c r="O43" i="17"/>
  <c r="O44" i="17" s="1"/>
  <c r="O33" i="17" s="1"/>
  <c r="O42" i="17"/>
  <c r="O36" i="17" s="1"/>
  <c r="O20" i="35" s="1"/>
  <c r="Q11" i="15"/>
  <c r="Q30" i="15"/>
  <c r="Q65" i="17" s="1"/>
  <c r="Q66" i="17" s="1"/>
  <c r="Q30" i="36"/>
  <c r="Q11" i="36"/>
  <c r="Q110" i="17" s="1"/>
  <c r="Q19" i="15"/>
  <c r="Q41" i="15"/>
  <c r="Q41" i="36"/>
  <c r="Q19" i="36"/>
  <c r="P40" i="17"/>
  <c r="P41" i="17" s="1"/>
  <c r="Q30" i="50"/>
  <c r="Q47" i="50" s="1"/>
  <c r="N23" i="18"/>
  <c r="O80" i="50" s="1"/>
  <c r="O97" i="50" s="1"/>
  <c r="N19" i="35"/>
  <c r="N23" i="10"/>
  <c r="O116" i="50" s="1"/>
  <c r="AE27" i="11"/>
  <c r="Q64" i="50"/>
  <c r="AH53" i="8"/>
  <c r="S49" i="36" s="1"/>
  <c r="S71" i="15" s="1"/>
  <c r="S77" i="15" s="1"/>
  <c r="AI90" i="16"/>
  <c r="AH97" i="16"/>
  <c r="AH81" i="11" s="1"/>
  <c r="AH96" i="16"/>
  <c r="AH80" i="11" s="1"/>
  <c r="AH52" i="8"/>
  <c r="S48" i="36" s="1"/>
  <c r="S70" i="15" s="1"/>
  <c r="S76" i="15" s="1"/>
  <c r="AH89" i="16"/>
  <c r="AG51" i="8"/>
  <c r="R47" i="36" s="1"/>
  <c r="R69" i="15" s="1"/>
  <c r="R75" i="15" s="1"/>
  <c r="R88" i="15" s="1"/>
  <c r="R90" i="15" s="1"/>
  <c r="AG95" i="16"/>
  <c r="AG79" i="11" s="1"/>
  <c r="AG83" i="11" s="1"/>
  <c r="R72" i="10"/>
  <c r="U103" i="17"/>
  <c r="T104" i="17"/>
  <c r="T109" i="17" s="1"/>
  <c r="B93" i="17" l="1"/>
  <c r="B94" i="17" s="1"/>
  <c r="B95" i="17" s="1"/>
  <c r="B96" i="17" s="1"/>
  <c r="B99" i="17" s="1"/>
  <c r="C111" i="17"/>
  <c r="N21" i="35"/>
  <c r="Q40" i="17"/>
  <c r="Q41" i="17" s="1"/>
  <c r="F30" i="51"/>
  <c r="F47" i="51" s="1"/>
  <c r="R30" i="50"/>
  <c r="R47" i="50" s="1"/>
  <c r="Q17" i="17"/>
  <c r="Q18" i="17" s="1"/>
  <c r="R26" i="50"/>
  <c r="R43" i="50" s="1"/>
  <c r="N70" i="1"/>
  <c r="O70" i="1" s="1"/>
  <c r="F26" i="51"/>
  <c r="F43" i="51" s="1"/>
  <c r="O10" i="35"/>
  <c r="O12" i="35" s="1"/>
  <c r="O14" i="17"/>
  <c r="O11" i="10"/>
  <c r="P112" i="50" s="1"/>
  <c r="O11" i="18"/>
  <c r="P76" i="50" s="1"/>
  <c r="P93" i="50" s="1"/>
  <c r="AK91" i="16"/>
  <c r="AJ54" i="8"/>
  <c r="U50" i="36" s="1"/>
  <c r="U72" i="15" s="1"/>
  <c r="U78" i="15" s="1"/>
  <c r="AJ98" i="16"/>
  <c r="AJ82" i="11" s="1"/>
  <c r="AG74" i="11"/>
  <c r="AG75" i="11" s="1"/>
  <c r="AG13" i="11"/>
  <c r="AG26" i="11"/>
  <c r="AG49" i="11"/>
  <c r="N72" i="1"/>
  <c r="O72" i="1" s="1"/>
  <c r="R33" i="50"/>
  <c r="R50" i="50" s="1"/>
  <c r="F33" i="51"/>
  <c r="F50" i="51" s="1"/>
  <c r="Q34" i="35"/>
  <c r="Q35" i="35" s="1"/>
  <c r="M61" i="1" s="1"/>
  <c r="N61" i="1" s="1"/>
  <c r="O19" i="35"/>
  <c r="O21" i="35" s="1"/>
  <c r="O37" i="17"/>
  <c r="O23" i="18"/>
  <c r="P80" i="50" s="1"/>
  <c r="P97" i="50" s="1"/>
  <c r="O23" i="10"/>
  <c r="P116" i="50" s="1"/>
  <c r="R64" i="50"/>
  <c r="AF27" i="11"/>
  <c r="N37" i="1" s="1"/>
  <c r="F64" i="51"/>
  <c r="AF14" i="11"/>
  <c r="F60" i="51"/>
  <c r="R60" i="50"/>
  <c r="R30" i="36"/>
  <c r="R41" i="36"/>
  <c r="R19" i="36"/>
  <c r="R30" i="15"/>
  <c r="R65" i="17" s="1"/>
  <c r="R66" i="17" s="1"/>
  <c r="R41" i="15"/>
  <c r="R11" i="36"/>
  <c r="R110" i="17" s="1"/>
  <c r="R11" i="15"/>
  <c r="R19" i="15"/>
  <c r="AI89" i="16"/>
  <c r="AH51" i="8"/>
  <c r="S47" i="36" s="1"/>
  <c r="S69" i="15" s="1"/>
  <c r="S75" i="15" s="1"/>
  <c r="S88" i="15" s="1"/>
  <c r="S90" i="15" s="1"/>
  <c r="S72" i="10"/>
  <c r="AH95" i="16"/>
  <c r="AH79" i="11" s="1"/>
  <c r="AH83" i="11" s="1"/>
  <c r="AI97" i="16"/>
  <c r="AI81" i="11" s="1"/>
  <c r="AI96" i="16"/>
  <c r="AI80" i="11" s="1"/>
  <c r="AI53" i="8"/>
  <c r="T49" i="36" s="1"/>
  <c r="T71" i="15" s="1"/>
  <c r="T77" i="15" s="1"/>
  <c r="AJ90" i="16"/>
  <c r="AI52" i="8"/>
  <c r="T48" i="36" s="1"/>
  <c r="T70" i="15" s="1"/>
  <c r="T76" i="15" s="1"/>
  <c r="P42" i="17"/>
  <c r="P36" i="17" s="1"/>
  <c r="P20" i="35" s="1"/>
  <c r="P43" i="17"/>
  <c r="P44" i="17" s="1"/>
  <c r="P33" i="17" s="1"/>
  <c r="P19" i="17"/>
  <c r="P13" i="17" s="1"/>
  <c r="P11" i="35" s="1"/>
  <c r="P23" i="17"/>
  <c r="P24" i="17" s="1"/>
  <c r="P11" i="17" s="1"/>
  <c r="AE87" i="11"/>
  <c r="AE88" i="11" s="1"/>
  <c r="R67" i="50"/>
  <c r="F67" i="51"/>
  <c r="AF50" i="11"/>
  <c r="N38" i="1" s="1"/>
  <c r="V103" i="17"/>
  <c r="U104" i="17"/>
  <c r="U109" i="17" s="1"/>
  <c r="C113" i="17" l="1"/>
  <c r="B100" i="17"/>
  <c r="B101" i="17" s="1"/>
  <c r="B105" i="17" s="1"/>
  <c r="B72" i="17"/>
  <c r="D111" i="17"/>
  <c r="P37" i="17"/>
  <c r="P19" i="35"/>
  <c r="P21" i="35" s="1"/>
  <c r="P23" i="18"/>
  <c r="Q80" i="50" s="1"/>
  <c r="Q97" i="50" s="1"/>
  <c r="P23" i="10"/>
  <c r="Q116" i="50" s="1"/>
  <c r="R40" i="17"/>
  <c r="R41" i="17" s="1"/>
  <c r="S30" i="50"/>
  <c r="S47" i="50" s="1"/>
  <c r="S11" i="36"/>
  <c r="S110" i="17" s="1"/>
  <c r="E111" i="17" s="1"/>
  <c r="S30" i="36"/>
  <c r="S11" i="15"/>
  <c r="S30" i="15"/>
  <c r="S65" i="17" s="1"/>
  <c r="S66" i="17" s="1"/>
  <c r="S19" i="36"/>
  <c r="S41" i="36"/>
  <c r="S41" i="15"/>
  <c r="S19" i="15"/>
  <c r="R17" i="17"/>
  <c r="R18" i="17" s="1"/>
  <c r="S26" i="50"/>
  <c r="S43" i="50" s="1"/>
  <c r="N36" i="1"/>
  <c r="AF87" i="11"/>
  <c r="AF88" i="11" s="1"/>
  <c r="N40" i="1" s="1"/>
  <c r="S67" i="50"/>
  <c r="AG50" i="11"/>
  <c r="AJ89" i="16"/>
  <c r="AI51" i="8"/>
  <c r="T47" i="36" s="1"/>
  <c r="T69" i="15" s="1"/>
  <c r="T75" i="15" s="1"/>
  <c r="T88" i="15" s="1"/>
  <c r="T90" i="15" s="1"/>
  <c r="T72" i="10"/>
  <c r="AI95" i="16"/>
  <c r="AI79" i="11" s="1"/>
  <c r="AI83" i="11" s="1"/>
  <c r="S33" i="50"/>
  <c r="S50" i="50" s="1"/>
  <c r="R34" i="35"/>
  <c r="R35" i="35" s="1"/>
  <c r="S64" i="50"/>
  <c r="AG27" i="11"/>
  <c r="Q43" i="17"/>
  <c r="Q44" i="17" s="1"/>
  <c r="Q33" i="17" s="1"/>
  <c r="Q42" i="17"/>
  <c r="Q36" i="17" s="1"/>
  <c r="Q20" i="35" s="1"/>
  <c r="P11" i="10"/>
  <c r="Q112" i="50" s="1"/>
  <c r="P14" i="17"/>
  <c r="P10" i="35"/>
  <c r="P12" i="35" s="1"/>
  <c r="P11" i="18"/>
  <c r="Q76" i="50" s="1"/>
  <c r="Q93" i="50" s="1"/>
  <c r="AJ97" i="16"/>
  <c r="AJ81" i="11" s="1"/>
  <c r="AJ53" i="8"/>
  <c r="U49" i="36" s="1"/>
  <c r="U71" i="15" s="1"/>
  <c r="U77" i="15" s="1"/>
  <c r="AK90" i="16"/>
  <c r="AJ52" i="8"/>
  <c r="U48" i="36" s="1"/>
  <c r="U70" i="15" s="1"/>
  <c r="U76" i="15" s="1"/>
  <c r="AJ96" i="16"/>
  <c r="AJ80" i="11" s="1"/>
  <c r="AH49" i="11"/>
  <c r="AH74" i="11"/>
  <c r="AH75" i="11" s="1"/>
  <c r="AH13" i="11"/>
  <c r="AH26" i="11"/>
  <c r="AG14" i="11"/>
  <c r="AG87" i="11" s="1"/>
  <c r="AG88" i="11" s="1"/>
  <c r="S60" i="50"/>
  <c r="AL91" i="16"/>
  <c r="AK54" i="8"/>
  <c r="V50" i="36" s="1"/>
  <c r="V72" i="15" s="1"/>
  <c r="V78" i="15" s="1"/>
  <c r="AK98" i="16"/>
  <c r="AK82" i="11" s="1"/>
  <c r="Q19" i="17"/>
  <c r="Q13" i="17" s="1"/>
  <c r="Q11" i="35" s="1"/>
  <c r="Q23" i="17"/>
  <c r="Q24" i="17" s="1"/>
  <c r="Q11" i="17" s="1"/>
  <c r="W103" i="17"/>
  <c r="V104" i="17"/>
  <c r="V109" i="17" s="1"/>
  <c r="C114" i="17" l="1"/>
  <c r="C91" i="17" s="1"/>
  <c r="C93" i="17" s="1"/>
  <c r="C94" i="17" s="1"/>
  <c r="C95" i="17" s="1"/>
  <c r="C96" i="17" s="1"/>
  <c r="C99" i="17" s="1"/>
  <c r="N43" i="1"/>
  <c r="D113" i="17"/>
  <c r="E113" i="17"/>
  <c r="B66" i="18"/>
  <c r="B55" i="10"/>
  <c r="B66" i="10"/>
  <c r="B41" i="35"/>
  <c r="AH50" i="11"/>
  <c r="T67" i="50"/>
  <c r="AI26" i="11"/>
  <c r="AI49" i="11"/>
  <c r="AI74" i="11"/>
  <c r="AI75" i="11" s="1"/>
  <c r="AI13" i="11"/>
  <c r="T33" i="50"/>
  <c r="T50" i="50" s="1"/>
  <c r="S34" i="35"/>
  <c r="S35" i="35" s="1"/>
  <c r="AH27" i="11"/>
  <c r="T64" i="50"/>
  <c r="R19" i="17"/>
  <c r="R13" i="17" s="1"/>
  <c r="R11" i="35" s="1"/>
  <c r="R23" i="17"/>
  <c r="R24" i="17" s="1"/>
  <c r="R11" i="17" s="1"/>
  <c r="S40" i="17"/>
  <c r="S41" i="17" s="1"/>
  <c r="T30" i="50"/>
  <c r="T47" i="50" s="1"/>
  <c r="S17" i="17"/>
  <c r="S18" i="17" s="1"/>
  <c r="T26" i="50"/>
  <c r="T43" i="50" s="1"/>
  <c r="T30" i="15"/>
  <c r="T65" i="17" s="1"/>
  <c r="T66" i="17" s="1"/>
  <c r="T41" i="15"/>
  <c r="T41" i="36"/>
  <c r="T11" i="15"/>
  <c r="T19" i="15"/>
  <c r="T11" i="36"/>
  <c r="T110" i="17" s="1"/>
  <c r="T19" i="36"/>
  <c r="T30" i="36"/>
  <c r="Q11" i="18"/>
  <c r="Q14" i="17"/>
  <c r="Q11" i="10"/>
  <c r="Q10" i="35"/>
  <c r="Q12" i="35" s="1"/>
  <c r="M59" i="1" s="1"/>
  <c r="N59" i="1" s="1"/>
  <c r="AM91" i="16"/>
  <c r="AL54" i="8"/>
  <c r="W50" i="36" s="1"/>
  <c r="W72" i="15" s="1"/>
  <c r="W78" i="15" s="1"/>
  <c r="AL98" i="16"/>
  <c r="AL82" i="11" s="1"/>
  <c r="T60" i="50"/>
  <c r="AH14" i="11"/>
  <c r="AH87" i="11" s="1"/>
  <c r="AH88" i="11" s="1"/>
  <c r="AK96" i="16"/>
  <c r="AK80" i="11" s="1"/>
  <c r="AK97" i="16"/>
  <c r="AK81" i="11" s="1"/>
  <c r="AK52" i="8"/>
  <c r="V48" i="36" s="1"/>
  <c r="V70" i="15" s="1"/>
  <c r="V76" i="15" s="1"/>
  <c r="AL90" i="16"/>
  <c r="AK53" i="8"/>
  <c r="V49" i="36" s="1"/>
  <c r="V71" i="15" s="1"/>
  <c r="V77" i="15" s="1"/>
  <c r="Q23" i="18"/>
  <c r="Q37" i="17"/>
  <c r="Q19" i="35"/>
  <c r="Q21" i="35" s="1"/>
  <c r="M60" i="1" s="1"/>
  <c r="N60" i="1" s="1"/>
  <c r="Q23" i="10"/>
  <c r="AK89" i="16"/>
  <c r="AJ51" i="8"/>
  <c r="U47" i="36" s="1"/>
  <c r="U69" i="15" s="1"/>
  <c r="U75" i="15" s="1"/>
  <c r="U88" i="15" s="1"/>
  <c r="U90" i="15" s="1"/>
  <c r="U72" i="10"/>
  <c r="AJ95" i="16"/>
  <c r="AJ79" i="11" s="1"/>
  <c r="AJ83" i="11" s="1"/>
  <c r="R42" i="17"/>
  <c r="R36" i="17" s="1"/>
  <c r="R20" i="35" s="1"/>
  <c r="R43" i="17"/>
  <c r="R44" i="17" s="1"/>
  <c r="R33" i="17" s="1"/>
  <c r="X103" i="17"/>
  <c r="W104" i="17"/>
  <c r="W109" i="17" s="1"/>
  <c r="C100" i="17" l="1"/>
  <c r="C101" i="17" s="1"/>
  <c r="C105" i="17" s="1"/>
  <c r="C72" i="17"/>
  <c r="C55" i="10" s="1"/>
  <c r="D122" i="50" s="1"/>
  <c r="D114" i="17"/>
  <c r="D91" i="17" s="1"/>
  <c r="D93" i="17" s="1"/>
  <c r="D94" i="17" s="1"/>
  <c r="E114" i="17"/>
  <c r="E91" i="17" s="1"/>
  <c r="E93" i="17" s="1"/>
  <c r="C86" i="51"/>
  <c r="C103" i="51" s="1"/>
  <c r="C86" i="50"/>
  <c r="C103" i="50" s="1"/>
  <c r="C122" i="50"/>
  <c r="C122" i="51"/>
  <c r="F111" i="17"/>
  <c r="AJ26" i="11"/>
  <c r="AJ49" i="11"/>
  <c r="AJ13" i="11"/>
  <c r="AJ74" i="11"/>
  <c r="AJ75" i="11" s="1"/>
  <c r="F116" i="51"/>
  <c r="R116" i="50"/>
  <c r="U26" i="50"/>
  <c r="U43" i="50" s="1"/>
  <c r="T17" i="17"/>
  <c r="T18" i="17" s="1"/>
  <c r="S19" i="17"/>
  <c r="S13" i="17" s="1"/>
  <c r="S11" i="35" s="1"/>
  <c r="S23" i="17"/>
  <c r="S24" i="17" s="1"/>
  <c r="S11" i="17" s="1"/>
  <c r="R14" i="17"/>
  <c r="R10" i="35"/>
  <c r="R12" i="35" s="1"/>
  <c r="R11" i="10"/>
  <c r="S112" i="50" s="1"/>
  <c r="R11" i="18"/>
  <c r="S76" i="50" s="1"/>
  <c r="S93" i="50" s="1"/>
  <c r="U67" i="50"/>
  <c r="AI50" i="11"/>
  <c r="AL96" i="16"/>
  <c r="AL80" i="11" s="1"/>
  <c r="AL53" i="8"/>
  <c r="W49" i="36" s="1"/>
  <c r="W71" i="15" s="1"/>
  <c r="W77" i="15" s="1"/>
  <c r="AM90" i="16"/>
  <c r="AL52" i="8"/>
  <c r="W48" i="36" s="1"/>
  <c r="W70" i="15" s="1"/>
  <c r="W76" i="15" s="1"/>
  <c r="AL97" i="16"/>
  <c r="AL81" i="11" s="1"/>
  <c r="AN91" i="16"/>
  <c r="AM54" i="8"/>
  <c r="X50" i="36" s="1"/>
  <c r="X72" i="15" s="1"/>
  <c r="X78" i="15" s="1"/>
  <c r="AM98" i="16"/>
  <c r="AM82" i="11" s="1"/>
  <c r="F76" i="51"/>
  <c r="F93" i="51" s="1"/>
  <c r="R76" i="50"/>
  <c r="R93" i="50" s="1"/>
  <c r="U64" i="50"/>
  <c r="AI27" i="11"/>
  <c r="R23" i="18"/>
  <c r="S80" i="50" s="1"/>
  <c r="S97" i="50" s="1"/>
  <c r="R19" i="35"/>
  <c r="R21" i="35" s="1"/>
  <c r="R37" i="17"/>
  <c r="R23" i="10"/>
  <c r="S116" i="50" s="1"/>
  <c r="U11" i="15"/>
  <c r="U19" i="36"/>
  <c r="U41" i="15"/>
  <c r="U11" i="36"/>
  <c r="U110" i="17" s="1"/>
  <c r="G111" i="17" s="1"/>
  <c r="U30" i="15"/>
  <c r="U65" i="17" s="1"/>
  <c r="U66" i="17" s="1"/>
  <c r="U41" i="36"/>
  <c r="U19" i="15"/>
  <c r="U30" i="36"/>
  <c r="U33" i="50"/>
  <c r="U50" i="50" s="1"/>
  <c r="T34" i="35"/>
  <c r="T35" i="35" s="1"/>
  <c r="AI14" i="11"/>
  <c r="U60" i="50"/>
  <c r="AL89" i="16"/>
  <c r="AK51" i="8"/>
  <c r="V47" i="36" s="1"/>
  <c r="V69" i="15" s="1"/>
  <c r="V75" i="15" s="1"/>
  <c r="V88" i="15" s="1"/>
  <c r="V90" i="15" s="1"/>
  <c r="V72" i="10"/>
  <c r="AK95" i="16"/>
  <c r="AK79" i="11" s="1"/>
  <c r="AK83" i="11" s="1"/>
  <c r="F80" i="51"/>
  <c r="F97" i="51" s="1"/>
  <c r="R80" i="50"/>
  <c r="R97" i="50" s="1"/>
  <c r="F112" i="51"/>
  <c r="R112" i="50"/>
  <c r="U30" i="50"/>
  <c r="U47" i="50" s="1"/>
  <c r="T40" i="17"/>
  <c r="T41" i="17" s="1"/>
  <c r="S43" i="17"/>
  <c r="S44" i="17" s="1"/>
  <c r="S33" i="17" s="1"/>
  <c r="S42" i="17"/>
  <c r="S36" i="17" s="1"/>
  <c r="S20" i="35" s="1"/>
  <c r="Y103" i="17"/>
  <c r="X104" i="17"/>
  <c r="X109" i="17" s="1"/>
  <c r="C66" i="10" l="1"/>
  <c r="C41" i="35"/>
  <c r="C66" i="18"/>
  <c r="D86" i="50" s="1"/>
  <c r="D103" i="50" s="1"/>
  <c r="D95" i="17"/>
  <c r="D96" i="17" s="1"/>
  <c r="D99" i="17" s="1"/>
  <c r="D100" i="17" s="1"/>
  <c r="D101" i="17" s="1"/>
  <c r="D105" i="17" s="1"/>
  <c r="E94" i="17"/>
  <c r="E95" i="17" s="1"/>
  <c r="E96" i="17" s="1"/>
  <c r="E99" i="17" s="1"/>
  <c r="E100" i="17" s="1"/>
  <c r="E101" i="17" s="1"/>
  <c r="E105" i="17" s="1"/>
  <c r="G113" i="17"/>
  <c r="F113" i="17"/>
  <c r="S23" i="18"/>
  <c r="T80" i="50" s="1"/>
  <c r="T97" i="50" s="1"/>
  <c r="S23" i="10"/>
  <c r="T116" i="50" s="1"/>
  <c r="S37" i="17"/>
  <c r="S19" i="35"/>
  <c r="S21" i="35" s="1"/>
  <c r="AK74" i="11"/>
  <c r="AK75" i="11" s="1"/>
  <c r="AK26" i="11"/>
  <c r="AK49" i="11"/>
  <c r="AK13" i="11"/>
  <c r="V33" i="50"/>
  <c r="V50" i="50" s="1"/>
  <c r="U34" i="35"/>
  <c r="U35" i="35" s="1"/>
  <c r="U17" i="17"/>
  <c r="U18" i="17" s="1"/>
  <c r="V26" i="50"/>
  <c r="V43" i="50" s="1"/>
  <c r="AI87" i="11"/>
  <c r="AI88" i="11" s="1"/>
  <c r="T19" i="17"/>
  <c r="T13" i="17" s="1"/>
  <c r="T11" i="35" s="1"/>
  <c r="T23" i="17"/>
  <c r="T24" i="17" s="1"/>
  <c r="T11" i="17" s="1"/>
  <c r="AM52" i="8"/>
  <c r="X48" i="36" s="1"/>
  <c r="X70" i="15" s="1"/>
  <c r="X76" i="15" s="1"/>
  <c r="AM97" i="16"/>
  <c r="AM81" i="11" s="1"/>
  <c r="AM96" i="16"/>
  <c r="AM80" i="11" s="1"/>
  <c r="AM53" i="8"/>
  <c r="X49" i="36" s="1"/>
  <c r="X71" i="15" s="1"/>
  <c r="X77" i="15" s="1"/>
  <c r="AN90" i="16"/>
  <c r="AJ14" i="11"/>
  <c r="V60" i="50"/>
  <c r="T42" i="17"/>
  <c r="T36" i="17" s="1"/>
  <c r="T20" i="35" s="1"/>
  <c r="T43" i="17"/>
  <c r="T44" i="17" s="1"/>
  <c r="T33" i="17" s="1"/>
  <c r="V41" i="15"/>
  <c r="V11" i="36"/>
  <c r="V110" i="17" s="1"/>
  <c r="H111" i="17" s="1"/>
  <c r="V30" i="15"/>
  <c r="V65" i="17" s="1"/>
  <c r="V66" i="17" s="1"/>
  <c r="V41" i="36"/>
  <c r="V19" i="15"/>
  <c r="V30" i="36"/>
  <c r="V11" i="15"/>
  <c r="V19" i="36"/>
  <c r="U40" i="17"/>
  <c r="U41" i="17" s="1"/>
  <c r="V30" i="50"/>
  <c r="V47" i="50" s="1"/>
  <c r="AO91" i="16"/>
  <c r="AN54" i="8"/>
  <c r="Y50" i="36" s="1"/>
  <c r="Y72" i="15" s="1"/>
  <c r="Y78" i="15" s="1"/>
  <c r="AN98" i="16"/>
  <c r="AN82" i="11" s="1"/>
  <c r="S14" i="17"/>
  <c r="S11" i="10"/>
  <c r="T112" i="50" s="1"/>
  <c r="S11" i="18"/>
  <c r="T76" i="50" s="1"/>
  <c r="T93" i="50" s="1"/>
  <c r="S10" i="35"/>
  <c r="S12" i="35" s="1"/>
  <c r="AJ50" i="11"/>
  <c r="V67" i="50"/>
  <c r="AM89" i="16"/>
  <c r="AL51" i="8"/>
  <c r="W47" i="36" s="1"/>
  <c r="W69" i="15" s="1"/>
  <c r="W75" i="15" s="1"/>
  <c r="W88" i="15" s="1"/>
  <c r="W90" i="15" s="1"/>
  <c r="AL95" i="16"/>
  <c r="AL79" i="11" s="1"/>
  <c r="AL83" i="11" s="1"/>
  <c r="W72" i="10"/>
  <c r="AJ27" i="11"/>
  <c r="V64" i="50"/>
  <c r="Y104" i="17"/>
  <c r="Y109" i="17" s="1"/>
  <c r="Z103" i="17"/>
  <c r="D72" i="17" l="1"/>
  <c r="D41" i="35" s="1"/>
  <c r="E72" i="17"/>
  <c r="E55" i="10" s="1"/>
  <c r="F122" i="50" s="1"/>
  <c r="G114" i="17"/>
  <c r="G91" i="17" s="1"/>
  <c r="G93" i="17" s="1"/>
  <c r="F114" i="17"/>
  <c r="F91" i="17" s="1"/>
  <c r="F93" i="17" s="1"/>
  <c r="F94" i="17" s="1"/>
  <c r="H113" i="17"/>
  <c r="AP91" i="16"/>
  <c r="AO54" i="8"/>
  <c r="Z50" i="36" s="1"/>
  <c r="Z72" i="15" s="1"/>
  <c r="Z78" i="15" s="1"/>
  <c r="AO98" i="16"/>
  <c r="AO82" i="11" s="1"/>
  <c r="T11" i="18"/>
  <c r="U76" i="50" s="1"/>
  <c r="U93" i="50" s="1"/>
  <c r="T11" i="10"/>
  <c r="U112" i="50" s="1"/>
  <c r="T14" i="17"/>
  <c r="T10" i="35"/>
  <c r="T12" i="35" s="1"/>
  <c r="W60" i="50"/>
  <c r="AK14" i="11"/>
  <c r="G60" i="51"/>
  <c r="AL26" i="11"/>
  <c r="AL49" i="11"/>
  <c r="AL13" i="11"/>
  <c r="AL74" i="11"/>
  <c r="AL75" i="11" s="1"/>
  <c r="V34" i="35"/>
  <c r="V35" i="35" s="1"/>
  <c r="G33" i="51"/>
  <c r="G50" i="51" s="1"/>
  <c r="W33" i="50"/>
  <c r="W50" i="50" s="1"/>
  <c r="V17" i="17"/>
  <c r="V18" i="17" s="1"/>
  <c r="G26" i="51"/>
  <c r="G43" i="51" s="1"/>
  <c r="W26" i="50"/>
  <c r="W43" i="50" s="1"/>
  <c r="U19" i="17"/>
  <c r="U13" i="17" s="1"/>
  <c r="U11" i="35" s="1"/>
  <c r="U23" i="17"/>
  <c r="U24" i="17" s="1"/>
  <c r="U11" i="17" s="1"/>
  <c r="AK50" i="11"/>
  <c r="W67" i="50"/>
  <c r="G67" i="51"/>
  <c r="W19" i="15"/>
  <c r="W41" i="36"/>
  <c r="W19" i="36"/>
  <c r="W41" i="15"/>
  <c r="W11" i="36"/>
  <c r="W110" i="17" s="1"/>
  <c r="I111" i="17" s="1"/>
  <c r="W30" i="36"/>
  <c r="W30" i="15"/>
  <c r="W65" i="17" s="1"/>
  <c r="W66" i="17" s="1"/>
  <c r="W11" i="15"/>
  <c r="U42" i="17"/>
  <c r="U36" i="17" s="1"/>
  <c r="U20" i="35" s="1"/>
  <c r="U43" i="17"/>
  <c r="U44" i="17" s="1"/>
  <c r="U33" i="17" s="1"/>
  <c r="AJ87" i="11"/>
  <c r="AJ88" i="11" s="1"/>
  <c r="G64" i="51"/>
  <c r="W64" i="50"/>
  <c r="AK27" i="11"/>
  <c r="AN89" i="16"/>
  <c r="AM51" i="8"/>
  <c r="X47" i="36" s="1"/>
  <c r="X69" i="15" s="1"/>
  <c r="X75" i="15" s="1"/>
  <c r="X88" i="15" s="1"/>
  <c r="X90" i="15" s="1"/>
  <c r="X72" i="10"/>
  <c r="AM95" i="16"/>
  <c r="AM79" i="11" s="1"/>
  <c r="AM83" i="11" s="1"/>
  <c r="V40" i="17"/>
  <c r="V41" i="17" s="1"/>
  <c r="G30" i="51"/>
  <c r="G47" i="51" s="1"/>
  <c r="W30" i="50"/>
  <c r="W47" i="50" s="1"/>
  <c r="T19" i="35"/>
  <c r="T21" i="35" s="1"/>
  <c r="T23" i="18"/>
  <c r="U80" i="50" s="1"/>
  <c r="U97" i="50" s="1"/>
  <c r="T37" i="17"/>
  <c r="T23" i="10"/>
  <c r="U116" i="50" s="1"/>
  <c r="AN96" i="16"/>
  <c r="AN80" i="11" s="1"/>
  <c r="AO90" i="16"/>
  <c r="AN97" i="16"/>
  <c r="AN81" i="11" s="1"/>
  <c r="AN53" i="8"/>
  <c r="Y49" i="36" s="1"/>
  <c r="Y71" i="15" s="1"/>
  <c r="Y77" i="15" s="1"/>
  <c r="AN52" i="8"/>
  <c r="Y48" i="36" s="1"/>
  <c r="Y70" i="15" s="1"/>
  <c r="Y76" i="15" s="1"/>
  <c r="AA103" i="17"/>
  <c r="Z104" i="17"/>
  <c r="Z109" i="17" s="1"/>
  <c r="E41" i="35" l="1"/>
  <c r="E66" i="18"/>
  <c r="F86" i="50" s="1"/>
  <c r="F103" i="50" s="1"/>
  <c r="D55" i="10"/>
  <c r="E122" i="50" s="1"/>
  <c r="D66" i="18"/>
  <c r="E86" i="50" s="1"/>
  <c r="E103" i="50" s="1"/>
  <c r="D66" i="10"/>
  <c r="E66" i="10"/>
  <c r="F95" i="17"/>
  <c r="F96" i="17" s="1"/>
  <c r="F99" i="17" s="1"/>
  <c r="F100" i="17" s="1"/>
  <c r="F101" i="17" s="1"/>
  <c r="F105" i="17" s="1"/>
  <c r="G94" i="17"/>
  <c r="G95" i="17" s="1"/>
  <c r="G96" i="17" s="1"/>
  <c r="G99" i="17" s="1"/>
  <c r="G72" i="17" s="1"/>
  <c r="H114" i="17"/>
  <c r="H91" i="17" s="1"/>
  <c r="H93" i="17" s="1"/>
  <c r="I113" i="17"/>
  <c r="AO96" i="16"/>
  <c r="AO80" i="11" s="1"/>
  <c r="AO52" i="8"/>
  <c r="Z48" i="36" s="1"/>
  <c r="Z70" i="15" s="1"/>
  <c r="Z76" i="15" s="1"/>
  <c r="AP90" i="16"/>
  <c r="AO97" i="16"/>
  <c r="AO81" i="11" s="1"/>
  <c r="AO53" i="8"/>
  <c r="Z49" i="36" s="1"/>
  <c r="Z71" i="15" s="1"/>
  <c r="Z77" i="15" s="1"/>
  <c r="V43" i="17"/>
  <c r="V44" i="17" s="1"/>
  <c r="V33" i="17" s="1"/>
  <c r="V42" i="17"/>
  <c r="V36" i="17" s="1"/>
  <c r="V20" i="35" s="1"/>
  <c r="AO89" i="16"/>
  <c r="AN51" i="8"/>
  <c r="Y47" i="36" s="1"/>
  <c r="Y69" i="15" s="1"/>
  <c r="Y75" i="15" s="1"/>
  <c r="Y88" i="15" s="1"/>
  <c r="Y90" i="15" s="1"/>
  <c r="Y72" i="10"/>
  <c r="AN95" i="16"/>
  <c r="AN79" i="11" s="1"/>
  <c r="AN83" i="11" s="1"/>
  <c r="X30" i="50"/>
  <c r="X47" i="50" s="1"/>
  <c r="W40" i="17"/>
  <c r="W41" i="17" s="1"/>
  <c r="AL50" i="11"/>
  <c r="X67" i="50"/>
  <c r="AM74" i="11"/>
  <c r="AM75" i="11" s="1"/>
  <c r="AM13" i="11"/>
  <c r="AM26" i="11"/>
  <c r="AM49" i="11"/>
  <c r="U23" i="10"/>
  <c r="V116" i="50" s="1"/>
  <c r="U37" i="17"/>
  <c r="U19" i="35"/>
  <c r="U21" i="35" s="1"/>
  <c r="U23" i="18"/>
  <c r="V80" i="50" s="1"/>
  <c r="V97" i="50" s="1"/>
  <c r="X33" i="50"/>
  <c r="X50" i="50" s="1"/>
  <c r="W34" i="35"/>
  <c r="W35" i="35" s="1"/>
  <c r="X64" i="50"/>
  <c r="AL27" i="11"/>
  <c r="W17" i="17"/>
  <c r="W18" i="17" s="1"/>
  <c r="X26" i="50"/>
  <c r="X43" i="50" s="1"/>
  <c r="U11" i="10"/>
  <c r="V112" i="50" s="1"/>
  <c r="U11" i="18"/>
  <c r="V76" i="50" s="1"/>
  <c r="V93" i="50" s="1"/>
  <c r="U14" i="17"/>
  <c r="U10" i="35"/>
  <c r="U12" i="35" s="1"/>
  <c r="V19" i="17"/>
  <c r="V13" i="17" s="1"/>
  <c r="V11" i="35" s="1"/>
  <c r="V23" i="17"/>
  <c r="V24" i="17" s="1"/>
  <c r="V11" i="17" s="1"/>
  <c r="X11" i="15"/>
  <c r="X41" i="36"/>
  <c r="X19" i="36"/>
  <c r="X30" i="36"/>
  <c r="X30" i="15"/>
  <c r="X65" i="17" s="1"/>
  <c r="X66" i="17" s="1"/>
  <c r="X11" i="36"/>
  <c r="X110" i="17" s="1"/>
  <c r="J111" i="17" s="1"/>
  <c r="X19" i="15"/>
  <c r="X41" i="15"/>
  <c r="X60" i="50"/>
  <c r="AL14" i="11"/>
  <c r="AK87" i="11"/>
  <c r="AK88" i="11" s="1"/>
  <c r="AQ91" i="16"/>
  <c r="AP54" i="8"/>
  <c r="AA50" i="36" s="1"/>
  <c r="AA72" i="15" s="1"/>
  <c r="AA78" i="15" s="1"/>
  <c r="AP98" i="16"/>
  <c r="AP82" i="11" s="1"/>
  <c r="AA104" i="17"/>
  <c r="AA109" i="17" s="1"/>
  <c r="AB103" i="17"/>
  <c r="H94" i="17" l="1"/>
  <c r="H95" i="17" s="1"/>
  <c r="H96" i="17" s="1"/>
  <c r="H99" i="17" s="1"/>
  <c r="H100" i="17" s="1"/>
  <c r="H101" i="17" s="1"/>
  <c r="H105" i="17" s="1"/>
  <c r="G100" i="17"/>
  <c r="G101" i="17" s="1"/>
  <c r="G105" i="17" s="1"/>
  <c r="F72" i="17"/>
  <c r="F41" i="35" s="1"/>
  <c r="I114" i="17"/>
  <c r="I91" i="17" s="1"/>
  <c r="I93" i="17" s="1"/>
  <c r="J113" i="17"/>
  <c r="G66" i="10"/>
  <c r="G66" i="18"/>
  <c r="G41" i="35"/>
  <c r="G55" i="10"/>
  <c r="AL87" i="11"/>
  <c r="AL88" i="11" s="1"/>
  <c r="AR91" i="16"/>
  <c r="AQ54" i="8"/>
  <c r="AB50" i="36" s="1"/>
  <c r="AB72" i="15" s="1"/>
  <c r="AB78" i="15" s="1"/>
  <c r="AQ98" i="16"/>
  <c r="AQ82" i="11" s="1"/>
  <c r="Y33" i="50"/>
  <c r="Y50" i="50" s="1"/>
  <c r="X34" i="35"/>
  <c r="X35" i="35" s="1"/>
  <c r="V10" i="35"/>
  <c r="V12" i="35" s="1"/>
  <c r="V11" i="18"/>
  <c r="V14" i="17"/>
  <c r="V11" i="10"/>
  <c r="W19" i="17"/>
  <c r="W13" i="17" s="1"/>
  <c r="W11" i="35" s="1"/>
  <c r="W23" i="17"/>
  <c r="W24" i="17" s="1"/>
  <c r="W11" i="17" s="1"/>
  <c r="AP89" i="16"/>
  <c r="AO51" i="8"/>
  <c r="Z47" i="36" s="1"/>
  <c r="Z69" i="15" s="1"/>
  <c r="Z75" i="15" s="1"/>
  <c r="Z88" i="15" s="1"/>
  <c r="Z90" i="15" s="1"/>
  <c r="Z72" i="10"/>
  <c r="AO95" i="16"/>
  <c r="AO79" i="11" s="1"/>
  <c r="AO83" i="11" s="1"/>
  <c r="X40" i="17"/>
  <c r="X41" i="17" s="1"/>
  <c r="Y30" i="50"/>
  <c r="Y47" i="50" s="1"/>
  <c r="AM50" i="11"/>
  <c r="Y67" i="50"/>
  <c r="AN13" i="11"/>
  <c r="AN26" i="11"/>
  <c r="AN74" i="11"/>
  <c r="AN75" i="11" s="1"/>
  <c r="AN49" i="11"/>
  <c r="AP52" i="8"/>
  <c r="AA48" i="36" s="1"/>
  <c r="AA70" i="15" s="1"/>
  <c r="AA76" i="15" s="1"/>
  <c r="AQ90" i="16"/>
  <c r="AP97" i="16"/>
  <c r="AP81" i="11" s="1"/>
  <c r="AP96" i="16"/>
  <c r="AP80" i="11" s="1"/>
  <c r="AP53" i="8"/>
  <c r="AA49" i="36" s="1"/>
  <c r="AA71" i="15" s="1"/>
  <c r="AA77" i="15" s="1"/>
  <c r="X17" i="17"/>
  <c r="X18" i="17" s="1"/>
  <c r="Y26" i="50"/>
  <c r="Y43" i="50" s="1"/>
  <c r="AM27" i="11"/>
  <c r="Y64" i="50"/>
  <c r="V23" i="18"/>
  <c r="V37" i="17"/>
  <c r="V19" i="35"/>
  <c r="V21" i="35" s="1"/>
  <c r="V23" i="10"/>
  <c r="Y60" i="50"/>
  <c r="AM14" i="11"/>
  <c r="W43" i="17"/>
  <c r="W44" i="17" s="1"/>
  <c r="W33" i="17" s="1"/>
  <c r="W42" i="17"/>
  <c r="W36" i="17" s="1"/>
  <c r="W20" i="35" s="1"/>
  <c r="Y30" i="15"/>
  <c r="Y65" i="17" s="1"/>
  <c r="Y66" i="17" s="1"/>
  <c r="Y19" i="15"/>
  <c r="Y11" i="15"/>
  <c r="Y19" i="36"/>
  <c r="Y41" i="15"/>
  <c r="Y11" i="36"/>
  <c r="Y110" i="17" s="1"/>
  <c r="K111" i="17" s="1"/>
  <c r="Y41" i="36"/>
  <c r="Y30" i="36"/>
  <c r="AC103" i="17"/>
  <c r="AB104" i="17"/>
  <c r="AB109" i="17" s="1"/>
  <c r="I94" i="17" l="1"/>
  <c r="I95" i="17" s="1"/>
  <c r="I96" i="17" s="1"/>
  <c r="I99" i="17" s="1"/>
  <c r="I100" i="17" s="1"/>
  <c r="I101" i="17" s="1"/>
  <c r="I105" i="17" s="1"/>
  <c r="H72" i="17"/>
  <c r="H66" i="10" s="1"/>
  <c r="F55" i="10"/>
  <c r="G122" i="50" s="1"/>
  <c r="F66" i="18"/>
  <c r="G86" i="50" s="1"/>
  <c r="G103" i="50" s="1"/>
  <c r="F66" i="10"/>
  <c r="J114" i="17"/>
  <c r="J91" i="17" s="1"/>
  <c r="J93" i="17" s="1"/>
  <c r="K113" i="17"/>
  <c r="H122" i="50"/>
  <c r="D122" i="51"/>
  <c r="D86" i="51"/>
  <c r="D103" i="51" s="1"/>
  <c r="H86" i="50"/>
  <c r="H103" i="50" s="1"/>
  <c r="AM87" i="11"/>
  <c r="AM88" i="11" s="1"/>
  <c r="W37" i="17"/>
  <c r="W19" i="35"/>
  <c r="W21" i="35" s="1"/>
  <c r="W23" i="10"/>
  <c r="X116" i="50" s="1"/>
  <c r="W23" i="18"/>
  <c r="X80" i="50" s="1"/>
  <c r="X97" i="50" s="1"/>
  <c r="AN50" i="11"/>
  <c r="Z67" i="50"/>
  <c r="X42" i="17"/>
  <c r="X36" i="17" s="1"/>
  <c r="X20" i="35" s="1"/>
  <c r="X43" i="17"/>
  <c r="X44" i="17" s="1"/>
  <c r="X33" i="17" s="1"/>
  <c r="AQ89" i="16"/>
  <c r="AP51" i="8"/>
  <c r="AA47" i="36" s="1"/>
  <c r="AA69" i="15" s="1"/>
  <c r="AA75" i="15" s="1"/>
  <c r="AA88" i="15" s="1"/>
  <c r="AA90" i="15" s="1"/>
  <c r="AP95" i="16"/>
  <c r="AP79" i="11" s="1"/>
  <c r="AP83" i="11" s="1"/>
  <c r="AA72" i="10"/>
  <c r="Y17" i="17"/>
  <c r="Y18" i="17" s="1"/>
  <c r="Z26" i="50"/>
  <c r="Z43" i="50" s="1"/>
  <c r="AO26" i="11"/>
  <c r="AO13" i="11"/>
  <c r="AO74" i="11"/>
  <c r="AO75" i="11" s="1"/>
  <c r="AO49" i="11"/>
  <c r="W11" i="18"/>
  <c r="X76" i="50" s="1"/>
  <c r="X93" i="50" s="1"/>
  <c r="W10" i="35"/>
  <c r="W12" i="35" s="1"/>
  <c r="W11" i="10"/>
  <c r="X112" i="50" s="1"/>
  <c r="W14" i="17"/>
  <c r="W76" i="50"/>
  <c r="W93" i="50" s="1"/>
  <c r="G76" i="51"/>
  <c r="G93" i="51" s="1"/>
  <c r="G80" i="51"/>
  <c r="G97" i="51" s="1"/>
  <c r="W80" i="50"/>
  <c r="W97" i="50" s="1"/>
  <c r="X19" i="17"/>
  <c r="X13" i="17" s="1"/>
  <c r="X11" i="35" s="1"/>
  <c r="X23" i="17"/>
  <c r="X24" i="17" s="1"/>
  <c r="X11" i="17" s="1"/>
  <c r="AQ53" i="8"/>
  <c r="AB49" i="36" s="1"/>
  <c r="AB71" i="15" s="1"/>
  <c r="AB77" i="15" s="1"/>
  <c r="AQ97" i="16"/>
  <c r="AQ81" i="11" s="1"/>
  <c r="AQ96" i="16"/>
  <c r="AQ80" i="11" s="1"/>
  <c r="AR90" i="16"/>
  <c r="AQ52" i="8"/>
  <c r="AB48" i="36" s="1"/>
  <c r="AB70" i="15" s="1"/>
  <c r="AB76" i="15" s="1"/>
  <c r="AN27" i="11"/>
  <c r="Z64" i="50"/>
  <c r="Y34" i="35"/>
  <c r="Y35" i="35" s="1"/>
  <c r="Z33" i="50"/>
  <c r="Z50" i="50" s="1"/>
  <c r="Y40" i="17"/>
  <c r="Y41" i="17" s="1"/>
  <c r="Z30" i="50"/>
  <c r="Z47" i="50" s="1"/>
  <c r="W116" i="50"/>
  <c r="G116" i="51"/>
  <c r="Z60" i="50"/>
  <c r="AN14" i="11"/>
  <c r="Z19" i="15"/>
  <c r="Z11" i="36"/>
  <c r="Z110" i="17" s="1"/>
  <c r="L111" i="17" s="1"/>
  <c r="Z19" i="36"/>
  <c r="Z41" i="36"/>
  <c r="Z11" i="15"/>
  <c r="Z30" i="15"/>
  <c r="Z65" i="17" s="1"/>
  <c r="Z66" i="17" s="1"/>
  <c r="Z30" i="36"/>
  <c r="Z41" i="15"/>
  <c r="G112" i="51"/>
  <c r="W112" i="50"/>
  <c r="AS91" i="16"/>
  <c r="AR54" i="8"/>
  <c r="AC50" i="36" s="1"/>
  <c r="AC72" i="15" s="1"/>
  <c r="AC78" i="15" s="1"/>
  <c r="AR98" i="16"/>
  <c r="AR82" i="11" s="1"/>
  <c r="AC104" i="17"/>
  <c r="AC109" i="17" s="1"/>
  <c r="AD103" i="17"/>
  <c r="H41" i="35" l="1"/>
  <c r="H55" i="10"/>
  <c r="I122" i="50" s="1"/>
  <c r="H66" i="18"/>
  <c r="I86" i="50" s="1"/>
  <c r="I103" i="50" s="1"/>
  <c r="I72" i="17"/>
  <c r="I66" i="10" s="1"/>
  <c r="J94" i="17"/>
  <c r="J95" i="17" s="1"/>
  <c r="J96" i="17" s="1"/>
  <c r="J99" i="17" s="1"/>
  <c r="J100" i="17" s="1"/>
  <c r="J101" i="17" s="1"/>
  <c r="J105" i="17" s="1"/>
  <c r="K114" i="17"/>
  <c r="K91" i="17" s="1"/>
  <c r="K93" i="17" s="1"/>
  <c r="L113" i="17"/>
  <c r="AN87" i="11"/>
  <c r="AN88" i="11" s="1"/>
  <c r="AA64" i="50"/>
  <c r="AO27" i="11"/>
  <c r="X23" i="10"/>
  <c r="Y116" i="50" s="1"/>
  <c r="X23" i="18"/>
  <c r="Y80" i="50" s="1"/>
  <c r="Y97" i="50" s="1"/>
  <c r="X19" i="35"/>
  <c r="X21" i="35" s="1"/>
  <c r="X37" i="17"/>
  <c r="AT91" i="16"/>
  <c r="AS54" i="8"/>
  <c r="AD50" i="36" s="1"/>
  <c r="AD72" i="15" s="1"/>
  <c r="AD78" i="15" s="1"/>
  <c r="AS98" i="16"/>
  <c r="AS82" i="11" s="1"/>
  <c r="AA33" i="50"/>
  <c r="AA50" i="50" s="1"/>
  <c r="Z34" i="35"/>
  <c r="Z35" i="35" s="1"/>
  <c r="Z40" i="17"/>
  <c r="Z41" i="17" s="1"/>
  <c r="AA30" i="50"/>
  <c r="AA47" i="50" s="1"/>
  <c r="Y43" i="17"/>
  <c r="Y44" i="17" s="1"/>
  <c r="Y33" i="17" s="1"/>
  <c r="Y42" i="17"/>
  <c r="Y36" i="17" s="1"/>
  <c r="Y20" i="35" s="1"/>
  <c r="AO50" i="11"/>
  <c r="AA67" i="50"/>
  <c r="AP74" i="11"/>
  <c r="AP75" i="11" s="1"/>
  <c r="AP49" i="11"/>
  <c r="AP26" i="11"/>
  <c r="AP13" i="11"/>
  <c r="Z17" i="17"/>
  <c r="Z18" i="17" s="1"/>
  <c r="AA26" i="50"/>
  <c r="AA43" i="50" s="1"/>
  <c r="AA11" i="36"/>
  <c r="AA110" i="17" s="1"/>
  <c r="M111" i="17" s="1"/>
  <c r="AA19" i="15"/>
  <c r="AA30" i="36"/>
  <c r="AA11" i="15"/>
  <c r="AA19" i="36"/>
  <c r="AA41" i="15"/>
  <c r="AA30" i="15"/>
  <c r="AA65" i="17" s="1"/>
  <c r="AA66" i="17" s="1"/>
  <c r="AA41" i="36"/>
  <c r="AR96" i="16"/>
  <c r="AR80" i="11" s="1"/>
  <c r="AR53" i="8"/>
  <c r="AC49" i="36" s="1"/>
  <c r="AC71" i="15" s="1"/>
  <c r="AC77" i="15" s="1"/>
  <c r="AS90" i="16"/>
  <c r="AR52" i="8"/>
  <c r="AC48" i="36" s="1"/>
  <c r="AC70" i="15" s="1"/>
  <c r="AC76" i="15" s="1"/>
  <c r="AR97" i="16"/>
  <c r="AR81" i="11" s="1"/>
  <c r="X10" i="35"/>
  <c r="X12" i="35" s="1"/>
  <c r="X11" i="10"/>
  <c r="Y112" i="50" s="1"/>
  <c r="X14" i="17"/>
  <c r="X11" i="18"/>
  <c r="Y76" i="50" s="1"/>
  <c r="Y93" i="50" s="1"/>
  <c r="AO14" i="11"/>
  <c r="AA60" i="50"/>
  <c r="Y19" i="17"/>
  <c r="Y13" i="17" s="1"/>
  <c r="Y11" i="35" s="1"/>
  <c r="Y23" i="17"/>
  <c r="Y24" i="17" s="1"/>
  <c r="Y11" i="17" s="1"/>
  <c r="AR89" i="16"/>
  <c r="AQ51" i="8"/>
  <c r="AB47" i="36" s="1"/>
  <c r="AB69" i="15" s="1"/>
  <c r="AB75" i="15" s="1"/>
  <c r="AB88" i="15" s="1"/>
  <c r="AB90" i="15" s="1"/>
  <c r="AB72" i="10"/>
  <c r="AQ95" i="16"/>
  <c r="AQ79" i="11" s="1"/>
  <c r="AQ83" i="11" s="1"/>
  <c r="AE103" i="17"/>
  <c r="AD104" i="17"/>
  <c r="AD109" i="17" s="1"/>
  <c r="I66" i="18" l="1"/>
  <c r="J86" i="50" s="1"/>
  <c r="J103" i="50" s="1"/>
  <c r="I55" i="10"/>
  <c r="J122" i="50" s="1"/>
  <c r="J72" i="17"/>
  <c r="J66" i="10" s="1"/>
  <c r="K94" i="17"/>
  <c r="K95" i="17" s="1"/>
  <c r="K96" i="17" s="1"/>
  <c r="K99" i="17" s="1"/>
  <c r="K100" i="17" s="1"/>
  <c r="K101" i="17" s="1"/>
  <c r="K105" i="17" s="1"/>
  <c r="I41" i="35"/>
  <c r="L114" i="17"/>
  <c r="L91" i="17" s="1"/>
  <c r="L93" i="17" s="1"/>
  <c r="M113" i="17"/>
  <c r="AO87" i="11"/>
  <c r="AO88" i="11" s="1"/>
  <c r="AP27" i="11"/>
  <c r="H64" i="51"/>
  <c r="AB64" i="50"/>
  <c r="Z43" i="17"/>
  <c r="Z44" i="17" s="1"/>
  <c r="Z33" i="17" s="1"/>
  <c r="Z42" i="17"/>
  <c r="Z36" i="17" s="1"/>
  <c r="Z20" i="35" s="1"/>
  <c r="AB30" i="15"/>
  <c r="AB65" i="17" s="1"/>
  <c r="AB66" i="17" s="1"/>
  <c r="AB11" i="15"/>
  <c r="AB30" i="36"/>
  <c r="AB41" i="15"/>
  <c r="AB11" i="36"/>
  <c r="AB110" i="17" s="1"/>
  <c r="N111" i="17" s="1"/>
  <c r="AB19" i="36"/>
  <c r="AB19" i="15"/>
  <c r="AB41" i="36"/>
  <c r="AS52" i="8"/>
  <c r="AD48" i="36" s="1"/>
  <c r="AD70" i="15" s="1"/>
  <c r="AD76" i="15" s="1"/>
  <c r="AS97" i="16"/>
  <c r="AS81" i="11" s="1"/>
  <c r="AT90" i="16"/>
  <c r="AS96" i="16"/>
  <c r="AS80" i="11" s="1"/>
  <c r="AS53" i="8"/>
  <c r="AD49" i="36" s="1"/>
  <c r="AD71" i="15" s="1"/>
  <c r="AD77" i="15" s="1"/>
  <c r="H33" i="51"/>
  <c r="H50" i="51" s="1"/>
  <c r="AA34" i="35"/>
  <c r="AA35" i="35" s="1"/>
  <c r="AB33" i="50"/>
  <c r="AB50" i="50" s="1"/>
  <c r="H67" i="51"/>
  <c r="AB67" i="50"/>
  <c r="AP50" i="11"/>
  <c r="AU91" i="16"/>
  <c r="AT54" i="8"/>
  <c r="AE50" i="36" s="1"/>
  <c r="AE72" i="15" s="1"/>
  <c r="AE78" i="15" s="1"/>
  <c r="AT98" i="16"/>
  <c r="AT82" i="11" s="1"/>
  <c r="AS89" i="16"/>
  <c r="AR51" i="8"/>
  <c r="AC47" i="36" s="1"/>
  <c r="AC69" i="15" s="1"/>
  <c r="AC75" i="15" s="1"/>
  <c r="AC88" i="15" s="1"/>
  <c r="AC90" i="15" s="1"/>
  <c r="AC72" i="10"/>
  <c r="AR95" i="16"/>
  <c r="AR79" i="11" s="1"/>
  <c r="AR83" i="11" s="1"/>
  <c r="Z19" i="17"/>
  <c r="Z13" i="17" s="1"/>
  <c r="Z11" i="35" s="1"/>
  <c r="Z23" i="17"/>
  <c r="Z24" i="17" s="1"/>
  <c r="Z11" i="17" s="1"/>
  <c r="Y37" i="17"/>
  <c r="Y23" i="10"/>
  <c r="Z116" i="50" s="1"/>
  <c r="Y23" i="18"/>
  <c r="Z80" i="50" s="1"/>
  <c r="Z97" i="50" s="1"/>
  <c r="Y19" i="35"/>
  <c r="Y21" i="35" s="1"/>
  <c r="AQ26" i="11"/>
  <c r="AQ13" i="11"/>
  <c r="AQ74" i="11"/>
  <c r="AQ75" i="11" s="1"/>
  <c r="AQ49" i="11"/>
  <c r="Y14" i="17"/>
  <c r="Y10" i="35"/>
  <c r="Y12" i="35" s="1"/>
  <c r="Y11" i="18"/>
  <c r="Z76" i="50" s="1"/>
  <c r="Z93" i="50" s="1"/>
  <c r="Y11" i="10"/>
  <c r="Z112" i="50" s="1"/>
  <c r="AA40" i="17"/>
  <c r="AA41" i="17" s="1"/>
  <c r="H30" i="51"/>
  <c r="H47" i="51" s="1"/>
  <c r="AB30" i="50"/>
  <c r="AB47" i="50" s="1"/>
  <c r="AA17" i="17"/>
  <c r="AA18" i="17" s="1"/>
  <c r="H26" i="51"/>
  <c r="H43" i="51" s="1"/>
  <c r="AB26" i="50"/>
  <c r="AB43" i="50" s="1"/>
  <c r="H60" i="51"/>
  <c r="AP14" i="11"/>
  <c r="AB60" i="50"/>
  <c r="AE104" i="17"/>
  <c r="AE109" i="17" s="1"/>
  <c r="AF103" i="17"/>
  <c r="AF104" i="17" s="1"/>
  <c r="AF109" i="17" s="1"/>
  <c r="J41" i="35" l="1"/>
  <c r="L94" i="17"/>
  <c r="L95" i="17" s="1"/>
  <c r="L96" i="17" s="1"/>
  <c r="L99" i="17" s="1"/>
  <c r="L72" i="17" s="1"/>
  <c r="J55" i="10"/>
  <c r="K122" i="50" s="1"/>
  <c r="J66" i="18"/>
  <c r="K86" i="50" s="1"/>
  <c r="K103" i="50" s="1"/>
  <c r="K72" i="17"/>
  <c r="K55" i="10" s="1"/>
  <c r="L122" i="50" s="1"/>
  <c r="M114" i="17"/>
  <c r="M91" i="17" s="1"/>
  <c r="M93" i="17" s="1"/>
  <c r="M94" i="17" s="1"/>
  <c r="M95" i="17" s="1"/>
  <c r="M96" i="17" s="1"/>
  <c r="M99" i="17" s="1"/>
  <c r="AP87" i="11"/>
  <c r="AP88" i="11" s="1"/>
  <c r="N113" i="17"/>
  <c r="AC67" i="50"/>
  <c r="AQ50" i="11"/>
  <c r="Z10" i="35"/>
  <c r="Z12" i="35" s="1"/>
  <c r="Z11" i="10"/>
  <c r="AA112" i="50" s="1"/>
  <c r="Z14" i="17"/>
  <c r="Z11" i="18"/>
  <c r="AA76" i="50" s="1"/>
  <c r="AA93" i="50" s="1"/>
  <c r="AT89" i="16"/>
  <c r="AS51" i="8"/>
  <c r="AD47" i="36" s="1"/>
  <c r="AD69" i="15" s="1"/>
  <c r="AD75" i="15" s="1"/>
  <c r="AD88" i="15" s="1"/>
  <c r="AD90" i="15" s="1"/>
  <c r="AD72" i="10"/>
  <c r="AS95" i="16"/>
  <c r="AS79" i="11" s="1"/>
  <c r="AS83" i="11" s="1"/>
  <c r="AT52" i="8"/>
  <c r="AE48" i="36" s="1"/>
  <c r="AE70" i="15" s="1"/>
  <c r="AE76" i="15" s="1"/>
  <c r="AT96" i="16"/>
  <c r="AT80" i="11" s="1"/>
  <c r="AU90" i="16"/>
  <c r="AT97" i="16"/>
  <c r="AT81" i="11" s="1"/>
  <c r="AT53" i="8"/>
  <c r="AE49" i="36" s="1"/>
  <c r="AE71" i="15" s="1"/>
  <c r="AE77" i="15" s="1"/>
  <c r="AB34" i="35"/>
  <c r="AB35" i="35" s="1"/>
  <c r="AC33" i="50"/>
  <c r="AC50" i="50" s="1"/>
  <c r="Z23" i="18"/>
  <c r="AA80" i="50" s="1"/>
  <c r="AA97" i="50" s="1"/>
  <c r="Z19" i="35"/>
  <c r="Z21" i="35" s="1"/>
  <c r="Z23" i="10"/>
  <c r="AA116" i="50" s="1"/>
  <c r="Z37" i="17"/>
  <c r="AQ27" i="11"/>
  <c r="AC64" i="50"/>
  <c r="AA19" i="17"/>
  <c r="AA13" i="17" s="1"/>
  <c r="AA11" i="35" s="1"/>
  <c r="AA23" i="17"/>
  <c r="AA24" i="17" s="1"/>
  <c r="AA11" i="17" s="1"/>
  <c r="AC60" i="50"/>
  <c r="AQ14" i="11"/>
  <c r="AR74" i="11"/>
  <c r="AR75" i="11" s="1"/>
  <c r="AR13" i="11"/>
  <c r="AR26" i="11"/>
  <c r="AR49" i="11"/>
  <c r="AC30" i="50"/>
  <c r="AC47" i="50" s="1"/>
  <c r="AB40" i="17"/>
  <c r="AB41" i="17" s="1"/>
  <c r="AB17" i="17"/>
  <c r="AB18" i="17" s="1"/>
  <c r="AC26" i="50"/>
  <c r="AC43" i="50" s="1"/>
  <c r="AA43" i="17"/>
  <c r="AA44" i="17" s="1"/>
  <c r="AA33" i="17" s="1"/>
  <c r="AA42" i="17"/>
  <c r="AA36" i="17" s="1"/>
  <c r="AA20" i="35" s="1"/>
  <c r="AC19" i="15"/>
  <c r="AC30" i="15"/>
  <c r="AC65" i="17" s="1"/>
  <c r="AC66" i="17" s="1"/>
  <c r="AC41" i="15"/>
  <c r="AC19" i="36"/>
  <c r="AC41" i="36"/>
  <c r="AC11" i="15"/>
  <c r="AC11" i="36"/>
  <c r="AC110" i="17" s="1"/>
  <c r="O111" i="17" s="1"/>
  <c r="AC30" i="36"/>
  <c r="AU54" i="8"/>
  <c r="AF50" i="36" s="1"/>
  <c r="AF72" i="15" s="1"/>
  <c r="AF78" i="15" s="1"/>
  <c r="AU98" i="16"/>
  <c r="AU82" i="11" s="1"/>
  <c r="AV82" i="11" s="1"/>
  <c r="L100" i="17" l="1"/>
  <c r="L101" i="17" s="1"/>
  <c r="L105" i="17" s="1"/>
  <c r="K66" i="18"/>
  <c r="L86" i="50" s="1"/>
  <c r="L103" i="50" s="1"/>
  <c r="K66" i="10"/>
  <c r="K41" i="35"/>
  <c r="N114" i="17"/>
  <c r="N91" i="17" s="1"/>
  <c r="N93" i="17" s="1"/>
  <c r="N94" i="17" s="1"/>
  <c r="N95" i="17" s="1"/>
  <c r="N96" i="17" s="1"/>
  <c r="N99" i="17" s="1"/>
  <c r="O113" i="17"/>
  <c r="M72" i="17"/>
  <c r="M100" i="17"/>
  <c r="M101" i="17" s="1"/>
  <c r="M105" i="17" s="1"/>
  <c r="L66" i="10"/>
  <c r="L66" i="18"/>
  <c r="L55" i="10"/>
  <c r="L41" i="35"/>
  <c r="AQ87" i="11"/>
  <c r="AQ88" i="11" s="1"/>
  <c r="AD30" i="15"/>
  <c r="AD65" i="17" s="1"/>
  <c r="AD66" i="17" s="1"/>
  <c r="AD19" i="36"/>
  <c r="AD41" i="15"/>
  <c r="AD11" i="15"/>
  <c r="AD19" i="15"/>
  <c r="AD41" i="36"/>
  <c r="AD30" i="36"/>
  <c r="AD11" i="36"/>
  <c r="AD110" i="17" s="1"/>
  <c r="P111" i="17" s="1"/>
  <c r="AC40" i="17"/>
  <c r="AC41" i="17" s="1"/>
  <c r="AD30" i="50"/>
  <c r="AD47" i="50" s="1"/>
  <c r="AB19" i="17"/>
  <c r="AB13" i="17" s="1"/>
  <c r="AB11" i="35" s="1"/>
  <c r="AB23" i="17"/>
  <c r="AB24" i="17" s="1"/>
  <c r="AB11" i="17" s="1"/>
  <c r="AR50" i="11"/>
  <c r="AD67" i="50"/>
  <c r="AU89" i="16"/>
  <c r="AT51" i="8"/>
  <c r="AE47" i="36" s="1"/>
  <c r="AE69" i="15" s="1"/>
  <c r="AE75" i="15" s="1"/>
  <c r="AE88" i="15" s="1"/>
  <c r="AE90" i="15" s="1"/>
  <c r="AT95" i="16"/>
  <c r="AT79" i="11" s="1"/>
  <c r="AT83" i="11" s="1"/>
  <c r="AE72" i="10"/>
  <c r="AC34" i="35"/>
  <c r="AC35" i="35" s="1"/>
  <c r="AD33" i="50"/>
  <c r="AD50" i="50" s="1"/>
  <c r="AD26" i="50"/>
  <c r="AD43" i="50" s="1"/>
  <c r="AC17" i="17"/>
  <c r="AC18" i="17" s="1"/>
  <c r="AA23" i="10"/>
  <c r="AA23" i="18"/>
  <c r="AA19" i="35"/>
  <c r="AA21" i="35" s="1"/>
  <c r="AA37" i="17"/>
  <c r="AD64" i="50"/>
  <c r="AR27" i="11"/>
  <c r="AS49" i="11"/>
  <c r="AS13" i="11"/>
  <c r="AS26" i="11"/>
  <c r="AS74" i="11"/>
  <c r="AS75" i="11" s="1"/>
  <c r="AB43" i="17"/>
  <c r="AB44" i="17" s="1"/>
  <c r="AB33" i="17" s="1"/>
  <c r="AB42" i="17"/>
  <c r="AB36" i="17" s="1"/>
  <c r="AB20" i="35" s="1"/>
  <c r="AR14" i="11"/>
  <c r="AD60" i="50"/>
  <c r="AA10" i="35"/>
  <c r="AA12" i="35" s="1"/>
  <c r="AA11" i="10"/>
  <c r="AA14" i="17"/>
  <c r="AA11" i="18"/>
  <c r="AU96" i="16"/>
  <c r="AU80" i="11" s="1"/>
  <c r="AV80" i="11" s="1"/>
  <c r="AU97" i="16"/>
  <c r="AU81" i="11" s="1"/>
  <c r="AV81" i="11" s="1"/>
  <c r="AU53" i="8"/>
  <c r="AF49" i="36" s="1"/>
  <c r="AF71" i="15" s="1"/>
  <c r="AF77" i="15" s="1"/>
  <c r="AU52" i="8"/>
  <c r="AF48" i="36" s="1"/>
  <c r="AF70" i="15" s="1"/>
  <c r="AF76" i="15" s="1"/>
  <c r="O114" i="17" l="1"/>
  <c r="O91" i="17" s="1"/>
  <c r="O93" i="17" s="1"/>
  <c r="O94" i="17" s="1"/>
  <c r="O95" i="17" s="1"/>
  <c r="O96" i="17" s="1"/>
  <c r="O99" i="17" s="1"/>
  <c r="P113" i="17"/>
  <c r="E122" i="51"/>
  <c r="M122" i="50"/>
  <c r="M55" i="10"/>
  <c r="N122" i="50" s="1"/>
  <c r="M41" i="35"/>
  <c r="M66" i="18"/>
  <c r="N86" i="50" s="1"/>
  <c r="N103" i="50" s="1"/>
  <c r="M66" i="10"/>
  <c r="E86" i="51"/>
  <c r="E103" i="51" s="1"/>
  <c r="M86" i="50"/>
  <c r="M103" i="50" s="1"/>
  <c r="N100" i="17"/>
  <c r="N101" i="17" s="1"/>
  <c r="N105" i="17" s="1"/>
  <c r="N72" i="17"/>
  <c r="AR87" i="11"/>
  <c r="AR88" i="11" s="1"/>
  <c r="AS27" i="11"/>
  <c r="AE64" i="50"/>
  <c r="H116" i="51"/>
  <c r="AB116" i="50"/>
  <c r="AE19" i="36"/>
  <c r="AE11" i="36"/>
  <c r="AE110" i="17" s="1"/>
  <c r="Q111" i="17" s="1"/>
  <c r="AE30" i="15"/>
  <c r="AE65" i="17" s="1"/>
  <c r="AE66" i="17" s="1"/>
  <c r="AE41" i="36"/>
  <c r="AE19" i="15"/>
  <c r="AE30" i="36"/>
  <c r="AE11" i="15"/>
  <c r="AE41" i="15"/>
  <c r="AB11" i="18"/>
  <c r="AC76" i="50" s="1"/>
  <c r="AC93" i="50" s="1"/>
  <c r="AB10" i="35"/>
  <c r="AB12" i="35" s="1"/>
  <c r="AB14" i="17"/>
  <c r="AB11" i="10"/>
  <c r="AC112" i="50" s="1"/>
  <c r="AE26" i="50"/>
  <c r="AE43" i="50" s="1"/>
  <c r="AD17" i="17"/>
  <c r="AD18" i="17" s="1"/>
  <c r="AB112" i="50"/>
  <c r="H112" i="51"/>
  <c r="AS14" i="11"/>
  <c r="AE60" i="50"/>
  <c r="AU51" i="8"/>
  <c r="AF47" i="36" s="1"/>
  <c r="AF69" i="15" s="1"/>
  <c r="AF75" i="15" s="1"/>
  <c r="AF88" i="15" s="1"/>
  <c r="AF90" i="15" s="1"/>
  <c r="AU95" i="16"/>
  <c r="AU79" i="11" s="1"/>
  <c r="AF72" i="10"/>
  <c r="AD34" i="35"/>
  <c r="AD35" i="35" s="1"/>
  <c r="AE33" i="50"/>
  <c r="AE50" i="50" s="1"/>
  <c r="AB19" i="35"/>
  <c r="AB21" i="35" s="1"/>
  <c r="AB23" i="10"/>
  <c r="AC116" i="50" s="1"/>
  <c r="AB37" i="17"/>
  <c r="AB23" i="18"/>
  <c r="AC80" i="50" s="1"/>
  <c r="AC97" i="50" s="1"/>
  <c r="AS50" i="11"/>
  <c r="AE67" i="50"/>
  <c r="AC19" i="17"/>
  <c r="AC13" i="17" s="1"/>
  <c r="AC11" i="35" s="1"/>
  <c r="AC23" i="17"/>
  <c r="AC24" i="17" s="1"/>
  <c r="AC11" i="17" s="1"/>
  <c r="AD40" i="17"/>
  <c r="AD41" i="17" s="1"/>
  <c r="AE30" i="50"/>
  <c r="AE47" i="50" s="1"/>
  <c r="H76" i="51"/>
  <c r="H93" i="51" s="1"/>
  <c r="AB76" i="50"/>
  <c r="AB93" i="50" s="1"/>
  <c r="H80" i="51"/>
  <c r="H97" i="51" s="1"/>
  <c r="AB80" i="50"/>
  <c r="AB97" i="50" s="1"/>
  <c r="AT13" i="11"/>
  <c r="AT49" i="11"/>
  <c r="AT26" i="11"/>
  <c r="AT74" i="11"/>
  <c r="AT75" i="11" s="1"/>
  <c r="AC42" i="17"/>
  <c r="AC36" i="17" s="1"/>
  <c r="AC20" i="35" s="1"/>
  <c r="AC43" i="17"/>
  <c r="AC44" i="17" s="1"/>
  <c r="AC33" i="17" s="1"/>
  <c r="P114" i="17" l="1"/>
  <c r="P91" i="17" s="1"/>
  <c r="P93" i="17" s="1"/>
  <c r="P94" i="17" s="1"/>
  <c r="P95" i="17" s="1"/>
  <c r="P96" i="17" s="1"/>
  <c r="P99" i="17" s="1"/>
  <c r="Q113" i="17"/>
  <c r="N41" i="35"/>
  <c r="N55" i="10"/>
  <c r="O122" i="50" s="1"/>
  <c r="N66" i="18"/>
  <c r="O86" i="50" s="1"/>
  <c r="O103" i="50" s="1"/>
  <c r="N66" i="10"/>
  <c r="O100" i="17"/>
  <c r="O101" i="17" s="1"/>
  <c r="O105" i="17" s="1"/>
  <c r="O72" i="17"/>
  <c r="AF60" i="50"/>
  <c r="AT14" i="11"/>
  <c r="AC10" i="35"/>
  <c r="AC12" i="35" s="1"/>
  <c r="AC11" i="10"/>
  <c r="AD112" i="50" s="1"/>
  <c r="AC11" i="18"/>
  <c r="AD76" i="50" s="1"/>
  <c r="AD93" i="50" s="1"/>
  <c r="AC14" i="17"/>
  <c r="AF11" i="15"/>
  <c r="AF30" i="15"/>
  <c r="AF65" i="17" s="1"/>
  <c r="AG65" i="17" s="1"/>
  <c r="AF41" i="15"/>
  <c r="AF30" i="36"/>
  <c r="AF11" i="36"/>
  <c r="AF110" i="17" s="1"/>
  <c r="R111" i="17" s="1"/>
  <c r="AF19" i="15"/>
  <c r="AF19" i="36"/>
  <c r="AF41" i="36"/>
  <c r="AT27" i="11"/>
  <c r="AF64" i="50"/>
  <c r="AS87" i="11"/>
  <c r="AS88" i="11" s="1"/>
  <c r="AD19" i="17"/>
  <c r="AD13" i="17" s="1"/>
  <c r="AD11" i="35" s="1"/>
  <c r="AD23" i="17"/>
  <c r="AD24" i="17" s="1"/>
  <c r="AD11" i="17" s="1"/>
  <c r="AE34" i="35"/>
  <c r="AE35" i="35" s="1"/>
  <c r="AF33" i="50"/>
  <c r="AF50" i="50" s="1"/>
  <c r="AE17" i="17"/>
  <c r="AE18" i="17" s="1"/>
  <c r="AF26" i="50"/>
  <c r="AF43" i="50" s="1"/>
  <c r="AC37" i="17"/>
  <c r="AC23" i="10"/>
  <c r="AD116" i="50" s="1"/>
  <c r="AC19" i="35"/>
  <c r="AC21" i="35" s="1"/>
  <c r="AC23" i="18"/>
  <c r="AD80" i="50" s="1"/>
  <c r="AD97" i="50" s="1"/>
  <c r="AT50" i="11"/>
  <c r="AF67" i="50"/>
  <c r="AD43" i="17"/>
  <c r="AD44" i="17" s="1"/>
  <c r="AD33" i="17" s="1"/>
  <c r="AD42" i="17"/>
  <c r="AD36" i="17" s="1"/>
  <c r="AD20" i="35" s="1"/>
  <c r="AV79" i="11"/>
  <c r="AU83" i="11"/>
  <c r="AE40" i="17"/>
  <c r="AE41" i="17" s="1"/>
  <c r="AF30" i="50"/>
  <c r="AF47" i="50" s="1"/>
  <c r="AF66" i="17" l="1"/>
  <c r="AG66" i="17" s="1"/>
  <c r="Q114" i="17"/>
  <c r="Q91" i="17" s="1"/>
  <c r="Q93" i="17" s="1"/>
  <c r="Q94" i="17" s="1"/>
  <c r="Q95" i="17" s="1"/>
  <c r="Q96" i="17" s="1"/>
  <c r="Q99" i="17" s="1"/>
  <c r="R113" i="17"/>
  <c r="P100" i="17"/>
  <c r="P101" i="17" s="1"/>
  <c r="P105" i="17" s="1"/>
  <c r="P72" i="17"/>
  <c r="O55" i="10"/>
  <c r="P122" i="50" s="1"/>
  <c r="O66" i="18"/>
  <c r="P86" i="50" s="1"/>
  <c r="P103" i="50" s="1"/>
  <c r="O66" i="10"/>
  <c r="O41" i="35"/>
  <c r="T111" i="17"/>
  <c r="X111" i="17"/>
  <c r="AB111" i="17"/>
  <c r="AF111" i="17"/>
  <c r="AA111" i="17"/>
  <c r="U111" i="17"/>
  <c r="Y111" i="17"/>
  <c r="AC111" i="17"/>
  <c r="S111" i="17"/>
  <c r="W111" i="17"/>
  <c r="V111" i="17"/>
  <c r="Z111" i="17"/>
  <c r="AD111" i="17"/>
  <c r="AE111" i="17"/>
  <c r="AD11" i="18"/>
  <c r="AE76" i="50" s="1"/>
  <c r="AE93" i="50" s="1"/>
  <c r="AD14" i="17"/>
  <c r="AD10" i="35"/>
  <c r="AD12" i="35" s="1"/>
  <c r="AD11" i="10"/>
  <c r="AE112" i="50" s="1"/>
  <c r="I26" i="51"/>
  <c r="I43" i="51" s="1"/>
  <c r="Q70" i="1"/>
  <c r="R70" i="1" s="1"/>
  <c r="AG26" i="50"/>
  <c r="AG43" i="50" s="1"/>
  <c r="AF17" i="17"/>
  <c r="AF18" i="17" s="1"/>
  <c r="AE42" i="17"/>
  <c r="AE36" i="17" s="1"/>
  <c r="AE20" i="35" s="1"/>
  <c r="AE43" i="17"/>
  <c r="AE44" i="17" s="1"/>
  <c r="AE33" i="17" s="1"/>
  <c r="AD37" i="17"/>
  <c r="AD23" i="10"/>
  <c r="AE116" i="50" s="1"/>
  <c r="AD23" i="18"/>
  <c r="AE80" i="50" s="1"/>
  <c r="AE97" i="50" s="1"/>
  <c r="AD19" i="35"/>
  <c r="AD21" i="35" s="1"/>
  <c r="AE23" i="17"/>
  <c r="AE24" i="17" s="1"/>
  <c r="AE11" i="17" s="1"/>
  <c r="AE19" i="17"/>
  <c r="AE13" i="17" s="1"/>
  <c r="AE11" i="35" s="1"/>
  <c r="Q72" i="1"/>
  <c r="R72" i="1" s="1"/>
  <c r="AF34" i="35"/>
  <c r="AF35" i="35" s="1"/>
  <c r="P61" i="1" s="1"/>
  <c r="Q61" i="1" s="1"/>
  <c r="AG33" i="50"/>
  <c r="AG50" i="50" s="1"/>
  <c r="I33" i="51"/>
  <c r="I50" i="51" s="1"/>
  <c r="AT87" i="11"/>
  <c r="AT88" i="11" s="1"/>
  <c r="AV83" i="11"/>
  <c r="AU26" i="11"/>
  <c r="AU74" i="11"/>
  <c r="S42" i="1"/>
  <c r="AU49" i="11"/>
  <c r="AU13" i="11"/>
  <c r="I30" i="51"/>
  <c r="I47" i="51" s="1"/>
  <c r="AF40" i="17"/>
  <c r="AF41" i="17" s="1"/>
  <c r="AG30" i="50"/>
  <c r="AG47" i="50" s="1"/>
  <c r="R114" i="17" l="1"/>
  <c r="R91" i="17" s="1"/>
  <c r="R93" i="17" s="1"/>
  <c r="R94" i="17" s="1"/>
  <c r="R95" i="17" s="1"/>
  <c r="R96" i="17" s="1"/>
  <c r="R99" i="17" s="1"/>
  <c r="AE113" i="17"/>
  <c r="W113" i="17"/>
  <c r="U113" i="17"/>
  <c r="X113" i="17"/>
  <c r="AD113" i="17"/>
  <c r="S113" i="17"/>
  <c r="AA113" i="17"/>
  <c r="T113" i="17"/>
  <c r="Z113" i="17"/>
  <c r="AC113" i="17"/>
  <c r="AF113" i="17"/>
  <c r="V113" i="17"/>
  <c r="Y113" i="17"/>
  <c r="AB113" i="17"/>
  <c r="Q100" i="17"/>
  <c r="Q101" i="17" s="1"/>
  <c r="Q105" i="17" s="1"/>
  <c r="Q72" i="17"/>
  <c r="P66" i="10"/>
  <c r="P41" i="35"/>
  <c r="P55" i="10"/>
  <c r="Q122" i="50" s="1"/>
  <c r="P66" i="18"/>
  <c r="Q86" i="50" s="1"/>
  <c r="Q103" i="50" s="1"/>
  <c r="AV74" i="11"/>
  <c r="AU75" i="11"/>
  <c r="AF19" i="17"/>
  <c r="AF13" i="17" s="1"/>
  <c r="AG13" i="17" s="1"/>
  <c r="AF23" i="17"/>
  <c r="AF24" i="17" s="1"/>
  <c r="AF11" i="17" s="1"/>
  <c r="AG11" i="17" s="1"/>
  <c r="AV13" i="11"/>
  <c r="I60" i="51"/>
  <c r="AU14" i="11"/>
  <c r="AG60" i="50"/>
  <c r="AV26" i="11"/>
  <c r="AG64" i="50"/>
  <c r="I64" i="51"/>
  <c r="AU27" i="11"/>
  <c r="AE11" i="10"/>
  <c r="AF112" i="50" s="1"/>
  <c r="AE10" i="35"/>
  <c r="AE12" i="35" s="1"/>
  <c r="AE11" i="18"/>
  <c r="AF76" i="50" s="1"/>
  <c r="AF93" i="50" s="1"/>
  <c r="AE14" i="17"/>
  <c r="AV49" i="11"/>
  <c r="I67" i="51"/>
  <c r="AU50" i="11"/>
  <c r="AG67" i="50"/>
  <c r="AE37" i="17"/>
  <c r="AE23" i="10"/>
  <c r="AF116" i="50" s="1"/>
  <c r="AE23" i="18"/>
  <c r="AF80" i="50" s="1"/>
  <c r="AF97" i="50" s="1"/>
  <c r="AE19" i="35"/>
  <c r="AE21" i="35" s="1"/>
  <c r="AF42" i="17"/>
  <c r="AF36" i="17" s="1"/>
  <c r="AG36" i="17" s="1"/>
  <c r="AF43" i="17"/>
  <c r="AF44" i="17" s="1"/>
  <c r="AF33" i="17" s="1"/>
  <c r="AG33" i="17" s="1"/>
  <c r="AF11" i="35" l="1"/>
  <c r="AF20" i="35"/>
  <c r="AC114" i="17"/>
  <c r="AC91" i="17" s="1"/>
  <c r="AC93" i="17" s="1"/>
  <c r="S114" i="17"/>
  <c r="S91" i="17" s="1"/>
  <c r="S93" i="17" s="1"/>
  <c r="S94" i="17" s="1"/>
  <c r="W114" i="17"/>
  <c r="W91" i="17" s="1"/>
  <c r="W93" i="17" s="1"/>
  <c r="Y114" i="17"/>
  <c r="Y91" i="17" s="1"/>
  <c r="Y93" i="17" s="1"/>
  <c r="Z114" i="17"/>
  <c r="Z91" i="17" s="1"/>
  <c r="Z93" i="17" s="1"/>
  <c r="AD114" i="17"/>
  <c r="AD91" i="17" s="1"/>
  <c r="AD93" i="17" s="1"/>
  <c r="AE114" i="17"/>
  <c r="AE91" i="17" s="1"/>
  <c r="AE93" i="17" s="1"/>
  <c r="V114" i="17"/>
  <c r="V91" i="17" s="1"/>
  <c r="V93" i="17" s="1"/>
  <c r="T114" i="17"/>
  <c r="T91" i="17" s="1"/>
  <c r="T93" i="17" s="1"/>
  <c r="X114" i="17"/>
  <c r="X91" i="17" s="1"/>
  <c r="X93" i="17" s="1"/>
  <c r="AB114" i="17"/>
  <c r="AB91" i="17" s="1"/>
  <c r="AB93" i="17" s="1"/>
  <c r="AF114" i="17"/>
  <c r="AF91" i="17" s="1"/>
  <c r="AF93" i="17" s="1"/>
  <c r="AA114" i="17"/>
  <c r="AA91" i="17" s="1"/>
  <c r="AA93" i="17" s="1"/>
  <c r="U114" i="17"/>
  <c r="U91" i="17" s="1"/>
  <c r="U93" i="17" s="1"/>
  <c r="R100" i="17"/>
  <c r="R101" i="17" s="1"/>
  <c r="R105" i="17" s="1"/>
  <c r="R72" i="17"/>
  <c r="Q66" i="10"/>
  <c r="Q66" i="18"/>
  <c r="Q41" i="35"/>
  <c r="Q55" i="10"/>
  <c r="AV27" i="11"/>
  <c r="S37" i="1"/>
  <c r="AF14" i="17"/>
  <c r="AG14" i="17" s="1"/>
  <c r="AF10" i="35"/>
  <c r="AF12" i="35" s="1"/>
  <c r="P59" i="1" s="1"/>
  <c r="Q59" i="1" s="1"/>
  <c r="AF11" i="18"/>
  <c r="AG11" i="18" s="1"/>
  <c r="AF11" i="10"/>
  <c r="S38" i="1"/>
  <c r="AV50" i="11"/>
  <c r="AV14" i="11"/>
  <c r="AU87" i="11"/>
  <c r="AU88" i="11" s="1"/>
  <c r="S40" i="1" s="1"/>
  <c r="S36" i="1"/>
  <c r="AF37" i="17"/>
  <c r="AG37" i="17" s="1"/>
  <c r="AF19" i="35"/>
  <c r="AF23" i="18"/>
  <c r="AG23" i="18" s="1"/>
  <c r="AF23" i="10"/>
  <c r="AV75" i="11"/>
  <c r="S39" i="1"/>
  <c r="AF21" i="35" l="1"/>
  <c r="P60" i="1" s="1"/>
  <c r="Q60" i="1" s="1"/>
  <c r="T94" i="17"/>
  <c r="T95" i="17" s="1"/>
  <c r="T96" i="17" s="1"/>
  <c r="T99" i="17" s="1"/>
  <c r="S95" i="17"/>
  <c r="S96" i="17" s="1"/>
  <c r="S99" i="17" s="1"/>
  <c r="S72" i="17" s="1"/>
  <c r="S43" i="1"/>
  <c r="F86" i="51"/>
  <c r="F103" i="51" s="1"/>
  <c r="R86" i="50"/>
  <c r="R103" i="50" s="1"/>
  <c r="R122" i="50"/>
  <c r="F122" i="51"/>
  <c r="R55" i="10"/>
  <c r="S122" i="50" s="1"/>
  <c r="R66" i="10"/>
  <c r="R41" i="35"/>
  <c r="R66" i="18"/>
  <c r="S86" i="50" s="1"/>
  <c r="S103" i="50" s="1"/>
  <c r="I116" i="51"/>
  <c r="AG116" i="50"/>
  <c r="I112" i="51"/>
  <c r="AG112" i="50"/>
  <c r="I80" i="51"/>
  <c r="I97" i="51" s="1"/>
  <c r="AG80" i="50"/>
  <c r="AG97" i="50" s="1"/>
  <c r="AG76" i="50"/>
  <c r="AG93" i="50" s="1"/>
  <c r="I76" i="51"/>
  <c r="I93" i="51" s="1"/>
  <c r="U94" i="17" l="1"/>
  <c r="V94" i="17" s="1"/>
  <c r="S100" i="17"/>
  <c r="S101" i="17" s="1"/>
  <c r="S105" i="17" s="1"/>
  <c r="S41" i="35"/>
  <c r="S55" i="10"/>
  <c r="T122" i="50" s="1"/>
  <c r="S66" i="10"/>
  <c r="S66" i="18"/>
  <c r="T86" i="50" s="1"/>
  <c r="T103" i="50" s="1"/>
  <c r="T100" i="17"/>
  <c r="T101" i="17" s="1"/>
  <c r="T105" i="17" s="1"/>
  <c r="T72" i="17"/>
  <c r="E123" i="17"/>
  <c r="E80" i="17" s="1"/>
  <c r="D123" i="17"/>
  <c r="D80" i="17" s="1"/>
  <c r="D189" i="17" s="1"/>
  <c r="D190" i="17" s="1"/>
  <c r="F123" i="17"/>
  <c r="F80" i="17" s="1"/>
  <c r="F189" i="17" s="1"/>
  <c r="G123" i="17"/>
  <c r="G80" i="17" s="1"/>
  <c r="G189" i="17" s="1"/>
  <c r="H123" i="17"/>
  <c r="H80" i="17" s="1"/>
  <c r="C123" i="17"/>
  <c r="C80" i="17" s="1"/>
  <c r="I123" i="17"/>
  <c r="I80" i="17" s="1"/>
  <c r="I189" i="17" s="1"/>
  <c r="J123" i="17"/>
  <c r="J80" i="17" s="1"/>
  <c r="K123" i="17"/>
  <c r="K80" i="17" s="1"/>
  <c r="L123" i="17"/>
  <c r="L80" i="17" s="1"/>
  <c r="M123" i="17"/>
  <c r="M80" i="17" s="1"/>
  <c r="O123" i="17"/>
  <c r="O80" i="17" s="1"/>
  <c r="N123" i="17"/>
  <c r="N80" i="17" s="1"/>
  <c r="P123" i="17"/>
  <c r="P80" i="17" s="1"/>
  <c r="R123" i="17"/>
  <c r="R80" i="17" s="1"/>
  <c r="S123" i="17"/>
  <c r="S80" i="17" s="1"/>
  <c r="T123" i="17"/>
  <c r="Q123" i="17"/>
  <c r="Q80" i="17" s="1"/>
  <c r="W123" i="17"/>
  <c r="V123" i="17"/>
  <c r="U123" i="17"/>
  <c r="X123" i="17"/>
  <c r="Z123" i="17"/>
  <c r="AA123" i="17"/>
  <c r="Y123" i="17"/>
  <c r="AC123" i="17"/>
  <c r="AB123" i="17"/>
  <c r="AF123" i="17"/>
  <c r="AE123" i="17"/>
  <c r="AD123" i="17"/>
  <c r="U95" i="17" l="1"/>
  <c r="U96" i="17" s="1"/>
  <c r="U99" i="17" s="1"/>
  <c r="T80" i="17"/>
  <c r="T81" i="17" s="1"/>
  <c r="T66" i="10"/>
  <c r="T41" i="35"/>
  <c r="T66" i="18"/>
  <c r="U86" i="50" s="1"/>
  <c r="U103" i="50" s="1"/>
  <c r="T55" i="10"/>
  <c r="U122" i="50" s="1"/>
  <c r="U100" i="17"/>
  <c r="U101" i="17" s="1"/>
  <c r="U105" i="17" s="1"/>
  <c r="U80" i="17" s="1"/>
  <c r="U72" i="17"/>
  <c r="V95" i="17"/>
  <c r="V96" i="17" s="1"/>
  <c r="V99" i="17" s="1"/>
  <c r="W94" i="17"/>
  <c r="S81" i="17"/>
  <c r="S46" i="35"/>
  <c r="S47" i="35" s="1"/>
  <c r="S51" i="35" s="1"/>
  <c r="S52" i="35" s="1"/>
  <c r="S189" i="17"/>
  <c r="S223" i="17" s="1"/>
  <c r="K81" i="17"/>
  <c r="K46" i="35"/>
  <c r="K47" i="35" s="1"/>
  <c r="K51" i="35" s="1"/>
  <c r="K52" i="35" s="1"/>
  <c r="K189" i="17"/>
  <c r="K223" i="17" s="1"/>
  <c r="R81" i="17"/>
  <c r="R46" i="35"/>
  <c r="R47" i="35" s="1"/>
  <c r="R51" i="35" s="1"/>
  <c r="R52" i="35" s="1"/>
  <c r="R189" i="17"/>
  <c r="R223" i="17" s="1"/>
  <c r="P81" i="17"/>
  <c r="P46" i="35"/>
  <c r="P47" i="35" s="1"/>
  <c r="P51" i="35" s="1"/>
  <c r="P52" i="35" s="1"/>
  <c r="P189" i="17"/>
  <c r="P223" i="17" s="1"/>
  <c r="Q81" i="17"/>
  <c r="Q46" i="35"/>
  <c r="Q47" i="35" s="1"/>
  <c r="Q189" i="17"/>
  <c r="Q223" i="17" s="1"/>
  <c r="O81" i="17"/>
  <c r="O46" i="35"/>
  <c r="O47" i="35" s="1"/>
  <c r="O51" i="35" s="1"/>
  <c r="O52" i="35" s="1"/>
  <c r="O189" i="17"/>
  <c r="O223" i="17" s="1"/>
  <c r="M81" i="17"/>
  <c r="M46" i="35"/>
  <c r="M47" i="35" s="1"/>
  <c r="M51" i="35" s="1"/>
  <c r="M52" i="35" s="1"/>
  <c r="M189" i="17"/>
  <c r="M223" i="17" s="1"/>
  <c r="N81" i="17"/>
  <c r="N46" i="35"/>
  <c r="N47" i="35" s="1"/>
  <c r="N51" i="35" s="1"/>
  <c r="N52" i="35" s="1"/>
  <c r="N189" i="17"/>
  <c r="N223" i="17" s="1"/>
  <c r="L46" i="35"/>
  <c r="L47" i="35" s="1"/>
  <c r="L51" i="35" s="1"/>
  <c r="L52" i="35" s="1"/>
  <c r="L81" i="17"/>
  <c r="L189" i="17"/>
  <c r="L223" i="17" s="1"/>
  <c r="I222" i="17"/>
  <c r="I221" i="17"/>
  <c r="I220" i="17"/>
  <c r="I190" i="17"/>
  <c r="J81" i="17"/>
  <c r="J46" i="35"/>
  <c r="J47" i="35" s="1"/>
  <c r="J51" i="35" s="1"/>
  <c r="J52" i="35" s="1"/>
  <c r="J189" i="17"/>
  <c r="J223" i="17" s="1"/>
  <c r="H81" i="17"/>
  <c r="H189" i="17"/>
  <c r="H223" i="17" s="1"/>
  <c r="H46" i="35"/>
  <c r="H47" i="35" s="1"/>
  <c r="H51" i="35" s="1"/>
  <c r="H52" i="35" s="1"/>
  <c r="F220" i="17"/>
  <c r="F222" i="17"/>
  <c r="F221" i="17"/>
  <c r="F190" i="17"/>
  <c r="C46" i="35"/>
  <c r="C47" i="35" s="1"/>
  <c r="C51" i="35" s="1"/>
  <c r="C52" i="35" s="1"/>
  <c r="C81" i="17"/>
  <c r="C189" i="17"/>
  <c r="C223" i="17" s="1"/>
  <c r="G220" i="17"/>
  <c r="G221" i="17"/>
  <c r="G222" i="17"/>
  <c r="G190" i="17"/>
  <c r="D195" i="17"/>
  <c r="D201" i="17" s="1"/>
  <c r="D216" i="17" s="1"/>
  <c r="D196" i="17"/>
  <c r="D202" i="17" s="1"/>
  <c r="D217" i="17" s="1"/>
  <c r="D193" i="17"/>
  <c r="D199" i="17" s="1"/>
  <c r="D194" i="17"/>
  <c r="D200" i="17" s="1"/>
  <c r="F81" i="17"/>
  <c r="F46" i="35"/>
  <c r="F47" i="35" s="1"/>
  <c r="F51" i="35" s="1"/>
  <c r="F52" i="35" s="1"/>
  <c r="F223" i="17"/>
  <c r="I81" i="17"/>
  <c r="I223" i="17"/>
  <c r="I46" i="35"/>
  <c r="I47" i="35" s="1"/>
  <c r="I51" i="35" s="1"/>
  <c r="I52" i="35" s="1"/>
  <c r="G46" i="35"/>
  <c r="G47" i="35" s="1"/>
  <c r="G51" i="35" s="1"/>
  <c r="G52" i="35" s="1"/>
  <c r="G81" i="17"/>
  <c r="G223" i="17"/>
  <c r="E46" i="35"/>
  <c r="E47" i="35" s="1"/>
  <c r="E51" i="35" s="1"/>
  <c r="E52" i="35" s="1"/>
  <c r="E81" i="17"/>
  <c r="E189" i="17"/>
  <c r="E223" i="17" s="1"/>
  <c r="D221" i="17"/>
  <c r="D222" i="17"/>
  <c r="D220" i="17"/>
  <c r="D223" i="17"/>
  <c r="D81" i="17"/>
  <c r="D46" i="35"/>
  <c r="D47" i="35" s="1"/>
  <c r="D51" i="35" s="1"/>
  <c r="D52" i="35" s="1"/>
  <c r="T189" i="17" l="1"/>
  <c r="T223" i="17" s="1"/>
  <c r="T46" i="35"/>
  <c r="T47" i="35" s="1"/>
  <c r="T51" i="35" s="1"/>
  <c r="T52" i="35" s="1"/>
  <c r="U46" i="35"/>
  <c r="U189" i="17"/>
  <c r="U190" i="17" s="1"/>
  <c r="U81" i="17"/>
  <c r="W95" i="17"/>
  <c r="W96" i="17" s="1"/>
  <c r="W99" i="17" s="1"/>
  <c r="X94" i="17"/>
  <c r="V100" i="17"/>
  <c r="V101" i="17" s="1"/>
  <c r="V105" i="17" s="1"/>
  <c r="V80" i="17" s="1"/>
  <c r="V72" i="17"/>
  <c r="U66" i="10"/>
  <c r="U55" i="10"/>
  <c r="V122" i="50" s="1"/>
  <c r="U41" i="35"/>
  <c r="U66" i="18"/>
  <c r="V86" i="50" s="1"/>
  <c r="V103" i="50" s="1"/>
  <c r="D82" i="18"/>
  <c r="D79" i="10"/>
  <c r="S221" i="17"/>
  <c r="S220" i="17"/>
  <c r="S222" i="17"/>
  <c r="S190" i="17"/>
  <c r="E222" i="17"/>
  <c r="E220" i="17"/>
  <c r="E221" i="17"/>
  <c r="E190" i="17"/>
  <c r="D78" i="10"/>
  <c r="D81" i="18"/>
  <c r="D205" i="17"/>
  <c r="G195" i="17"/>
  <c r="G201" i="17" s="1"/>
  <c r="G216" i="17" s="1"/>
  <c r="G194" i="17"/>
  <c r="G200" i="17" s="1"/>
  <c r="G196" i="17"/>
  <c r="G202" i="17" s="1"/>
  <c r="G217" i="17" s="1"/>
  <c r="G193" i="17"/>
  <c r="G199" i="17" s="1"/>
  <c r="C222" i="17"/>
  <c r="C221" i="17"/>
  <c r="C220" i="17"/>
  <c r="C190" i="17"/>
  <c r="F194" i="17"/>
  <c r="F200" i="17" s="1"/>
  <c r="F196" i="17"/>
  <c r="F202" i="17" s="1"/>
  <c r="F217" i="17" s="1"/>
  <c r="F195" i="17"/>
  <c r="F201" i="17" s="1"/>
  <c r="F216" i="17" s="1"/>
  <c r="F193" i="17"/>
  <c r="F199" i="17" s="1"/>
  <c r="J221" i="17"/>
  <c r="J222" i="17"/>
  <c r="J220" i="17"/>
  <c r="J190" i="17"/>
  <c r="I194" i="17"/>
  <c r="I200" i="17" s="1"/>
  <c r="I195" i="17"/>
  <c r="I201" i="17" s="1"/>
  <c r="I216" i="17" s="1"/>
  <c r="I193" i="17"/>
  <c r="I199" i="17" s="1"/>
  <c r="I196" i="17"/>
  <c r="I202" i="17" s="1"/>
  <c r="I217" i="17" s="1"/>
  <c r="L222" i="17"/>
  <c r="L220" i="17"/>
  <c r="L221" i="17"/>
  <c r="L190" i="17"/>
  <c r="L194" i="17" s="1"/>
  <c r="L200" i="17" s="1"/>
  <c r="N221" i="17"/>
  <c r="N222" i="17"/>
  <c r="N220" i="17"/>
  <c r="N190" i="17"/>
  <c r="M220" i="17"/>
  <c r="M221" i="17"/>
  <c r="M222" i="17"/>
  <c r="M190" i="17"/>
  <c r="O222" i="17"/>
  <c r="O221" i="17"/>
  <c r="O220" i="17"/>
  <c r="O190" i="17"/>
  <c r="Q220" i="17"/>
  <c r="Q221" i="17"/>
  <c r="Q222" i="17"/>
  <c r="Q190" i="17"/>
  <c r="P220" i="17"/>
  <c r="P222" i="17"/>
  <c r="P221" i="17"/>
  <c r="P190" i="17"/>
  <c r="H220" i="17"/>
  <c r="H222" i="17"/>
  <c r="H221" i="17"/>
  <c r="H190" i="17"/>
  <c r="Q51" i="35"/>
  <c r="M62" i="1"/>
  <c r="N62" i="1" s="1"/>
  <c r="R222" i="17"/>
  <c r="R221" i="17"/>
  <c r="R220" i="17"/>
  <c r="R190" i="17"/>
  <c r="K221" i="17"/>
  <c r="K220" i="17"/>
  <c r="K222" i="17"/>
  <c r="K190" i="17"/>
  <c r="U221" i="17" l="1"/>
  <c r="T190" i="17"/>
  <c r="T195" i="17" s="1"/>
  <c r="T201" i="17" s="1"/>
  <c r="T216" i="17" s="1"/>
  <c r="T222" i="17"/>
  <c r="T220" i="17"/>
  <c r="T221" i="17"/>
  <c r="U220" i="17"/>
  <c r="U223" i="17"/>
  <c r="U222" i="17"/>
  <c r="U47" i="35"/>
  <c r="U51" i="35" s="1"/>
  <c r="U52" i="35" s="1"/>
  <c r="V189" i="17"/>
  <c r="V223" i="17" s="1"/>
  <c r="V46" i="35"/>
  <c r="X95" i="17"/>
  <c r="X96" i="17" s="1"/>
  <c r="X99" i="17" s="1"/>
  <c r="Y94" i="17"/>
  <c r="W100" i="17"/>
  <c r="W101" i="17" s="1"/>
  <c r="W105" i="17" s="1"/>
  <c r="W80" i="17" s="1"/>
  <c r="W72" i="17"/>
  <c r="V66" i="18"/>
  <c r="V66" i="10"/>
  <c r="V41" i="35"/>
  <c r="V55" i="10"/>
  <c r="V81" i="17"/>
  <c r="Q52" i="35"/>
  <c r="M63" i="1"/>
  <c r="I78" i="10"/>
  <c r="I81" i="18"/>
  <c r="F79" i="10"/>
  <c r="F82" i="18"/>
  <c r="G205" i="17"/>
  <c r="I205" i="17"/>
  <c r="F205" i="17"/>
  <c r="G81" i="18"/>
  <c r="G78" i="10"/>
  <c r="T196" i="17"/>
  <c r="T202" i="17" s="1"/>
  <c r="T217" i="17" s="1"/>
  <c r="T193" i="17"/>
  <c r="T199" i="17" s="1"/>
  <c r="T194" i="17"/>
  <c r="T200" i="17" s="1"/>
  <c r="P196" i="17"/>
  <c r="P202" i="17" s="1"/>
  <c r="P217" i="17" s="1"/>
  <c r="P195" i="17"/>
  <c r="P201" i="17" s="1"/>
  <c r="P216" i="17" s="1"/>
  <c r="P193" i="17"/>
  <c r="P199" i="17" s="1"/>
  <c r="P194" i="17"/>
  <c r="P200" i="17" s="1"/>
  <c r="Q196" i="17"/>
  <c r="Q202" i="17" s="1"/>
  <c r="Q217" i="17" s="1"/>
  <c r="Q195" i="17"/>
  <c r="Q201" i="17" s="1"/>
  <c r="Q216" i="17" s="1"/>
  <c r="Q194" i="17"/>
  <c r="Q200" i="17" s="1"/>
  <c r="Q193" i="17"/>
  <c r="Q199" i="17" s="1"/>
  <c r="O195" i="17"/>
  <c r="O201" i="17" s="1"/>
  <c r="O216" i="17" s="1"/>
  <c r="O196" i="17"/>
  <c r="O202" i="17" s="1"/>
  <c r="O217" i="17" s="1"/>
  <c r="O194" i="17"/>
  <c r="O200" i="17" s="1"/>
  <c r="O193" i="17"/>
  <c r="O199" i="17" s="1"/>
  <c r="M194" i="17"/>
  <c r="M200" i="17" s="1"/>
  <c r="M195" i="17"/>
  <c r="M201" i="17" s="1"/>
  <c r="M216" i="17" s="1"/>
  <c r="M196" i="17"/>
  <c r="M202" i="17" s="1"/>
  <c r="M217" i="17" s="1"/>
  <c r="M193" i="17"/>
  <c r="M199" i="17" s="1"/>
  <c r="N196" i="17"/>
  <c r="N202" i="17" s="1"/>
  <c r="N217" i="17" s="1"/>
  <c r="N194" i="17"/>
  <c r="N200" i="17" s="1"/>
  <c r="N195" i="17"/>
  <c r="N201" i="17" s="1"/>
  <c r="N216" i="17" s="1"/>
  <c r="N193" i="17"/>
  <c r="N199" i="17" s="1"/>
  <c r="L196" i="17"/>
  <c r="L202" i="17" s="1"/>
  <c r="L217" i="17" s="1"/>
  <c r="L195" i="17"/>
  <c r="L201" i="17" s="1"/>
  <c r="L216" i="17" s="1"/>
  <c r="L193" i="17"/>
  <c r="L199" i="17" s="1"/>
  <c r="I79" i="10"/>
  <c r="I82" i="18"/>
  <c r="J196" i="17"/>
  <c r="J202" i="17" s="1"/>
  <c r="J217" i="17" s="1"/>
  <c r="J194" i="17"/>
  <c r="J200" i="17" s="1"/>
  <c r="J195" i="17"/>
  <c r="J201" i="17" s="1"/>
  <c r="J216" i="17" s="1"/>
  <c r="J193" i="17"/>
  <c r="J199" i="17" s="1"/>
  <c r="C194" i="17"/>
  <c r="C200" i="17" s="1"/>
  <c r="C195" i="17"/>
  <c r="C201" i="17" s="1"/>
  <c r="C216" i="17" s="1"/>
  <c r="C196" i="17"/>
  <c r="C202" i="17" s="1"/>
  <c r="C217" i="17" s="1"/>
  <c r="C193" i="17"/>
  <c r="C199" i="17" s="1"/>
  <c r="D207" i="17"/>
  <c r="D208" i="17" s="1"/>
  <c r="D210" i="17" s="1"/>
  <c r="E195" i="17"/>
  <c r="E201" i="17" s="1"/>
  <c r="E216" i="17" s="1"/>
  <c r="E196" i="17"/>
  <c r="E202" i="17" s="1"/>
  <c r="E217" i="17" s="1"/>
  <c r="E194" i="17"/>
  <c r="E200" i="17" s="1"/>
  <c r="E193" i="17"/>
  <c r="E199" i="17" s="1"/>
  <c r="U195" i="17"/>
  <c r="U201" i="17" s="1"/>
  <c r="U216" i="17" s="1"/>
  <c r="U196" i="17"/>
  <c r="U202" i="17" s="1"/>
  <c r="U217" i="17" s="1"/>
  <c r="U194" i="17"/>
  <c r="U200" i="17" s="1"/>
  <c r="U193" i="17"/>
  <c r="U199" i="17" s="1"/>
  <c r="S194" i="17"/>
  <c r="S200" i="17" s="1"/>
  <c r="S196" i="17"/>
  <c r="S202" i="17" s="1"/>
  <c r="S217" i="17" s="1"/>
  <c r="S195" i="17"/>
  <c r="S201" i="17" s="1"/>
  <c r="S216" i="17" s="1"/>
  <c r="S193" i="17"/>
  <c r="S199" i="17" s="1"/>
  <c r="K194" i="17"/>
  <c r="K200" i="17" s="1"/>
  <c r="K196" i="17"/>
  <c r="K202" i="17" s="1"/>
  <c r="K217" i="17" s="1"/>
  <c r="K195" i="17"/>
  <c r="K201" i="17" s="1"/>
  <c r="K216" i="17" s="1"/>
  <c r="K193" i="17"/>
  <c r="K199" i="17" s="1"/>
  <c r="R196" i="17"/>
  <c r="R202" i="17" s="1"/>
  <c r="R217" i="17" s="1"/>
  <c r="R195" i="17"/>
  <c r="R201" i="17" s="1"/>
  <c r="R216" i="17" s="1"/>
  <c r="R194" i="17"/>
  <c r="R200" i="17" s="1"/>
  <c r="R193" i="17"/>
  <c r="R199" i="17" s="1"/>
  <c r="H195" i="17"/>
  <c r="H201" i="17" s="1"/>
  <c r="H216" i="17" s="1"/>
  <c r="H196" i="17"/>
  <c r="H202" i="17" s="1"/>
  <c r="H217" i="17" s="1"/>
  <c r="H194" i="17"/>
  <c r="H200" i="17" s="1"/>
  <c r="H193" i="17"/>
  <c r="H199" i="17" s="1"/>
  <c r="F81" i="18"/>
  <c r="F78" i="10"/>
  <c r="G79" i="10"/>
  <c r="G82" i="18"/>
  <c r="X100" i="17" l="1"/>
  <c r="X101" i="17" s="1"/>
  <c r="X105" i="17" s="1"/>
  <c r="X80" i="17" s="1"/>
  <c r="X72" i="17"/>
  <c r="W122" i="50"/>
  <c r="G122" i="51"/>
  <c r="W55" i="10"/>
  <c r="X122" i="50" s="1"/>
  <c r="W66" i="18"/>
  <c r="X86" i="50" s="1"/>
  <c r="X103" i="50" s="1"/>
  <c r="W66" i="10"/>
  <c r="W41" i="35"/>
  <c r="W81" i="17"/>
  <c r="W46" i="35"/>
  <c r="W189" i="17"/>
  <c r="V47" i="35"/>
  <c r="V51" i="35" s="1"/>
  <c r="V52" i="35" s="1"/>
  <c r="G86" i="51"/>
  <c r="G103" i="51" s="1"/>
  <c r="W86" i="50"/>
  <c r="W103" i="50" s="1"/>
  <c r="Y95" i="17"/>
  <c r="Y96" i="17" s="1"/>
  <c r="Y99" i="17" s="1"/>
  <c r="Z94" i="17"/>
  <c r="V220" i="17"/>
  <c r="V222" i="17"/>
  <c r="V190" i="17"/>
  <c r="V221" i="17"/>
  <c r="H82" i="18"/>
  <c r="H79" i="10"/>
  <c r="K79" i="10"/>
  <c r="K82" i="18"/>
  <c r="U82" i="18"/>
  <c r="U79" i="10"/>
  <c r="L78" i="10"/>
  <c r="L81" i="18"/>
  <c r="M78" i="10"/>
  <c r="M81" i="18"/>
  <c r="P78" i="10"/>
  <c r="P81" i="18"/>
  <c r="G207" i="17"/>
  <c r="G208" i="17" s="1"/>
  <c r="H78" i="10"/>
  <c r="H81" i="18"/>
  <c r="R82" i="18"/>
  <c r="R79" i="10"/>
  <c r="K205" i="17"/>
  <c r="S205" i="17"/>
  <c r="U81" i="18"/>
  <c r="U78" i="10"/>
  <c r="E78" i="10"/>
  <c r="E81" i="18"/>
  <c r="C205" i="17"/>
  <c r="J78" i="10"/>
  <c r="J81" i="18"/>
  <c r="L79" i="10"/>
  <c r="L82" i="18"/>
  <c r="N82" i="18"/>
  <c r="N79" i="10"/>
  <c r="M205" i="17"/>
  <c r="O78" i="10"/>
  <c r="O81" i="18"/>
  <c r="Q82" i="18"/>
  <c r="Q79" i="10"/>
  <c r="P82" i="18"/>
  <c r="P79" i="10"/>
  <c r="T79" i="10"/>
  <c r="T82" i="18"/>
  <c r="F207" i="17"/>
  <c r="F208" i="17" s="1"/>
  <c r="S82" i="18"/>
  <c r="S79" i="10"/>
  <c r="O82" i="18"/>
  <c r="O79" i="10"/>
  <c r="D215" i="17"/>
  <c r="D209" i="17"/>
  <c r="D211" i="17" s="1"/>
  <c r="D214" i="17" s="1"/>
  <c r="J205" i="17"/>
  <c r="P205" i="17"/>
  <c r="T205" i="17"/>
  <c r="I207" i="17"/>
  <c r="I208" i="17"/>
  <c r="N63" i="1"/>
  <c r="M64" i="1"/>
  <c r="R78" i="10"/>
  <c r="R81" i="18"/>
  <c r="E79" i="10"/>
  <c r="E82" i="18"/>
  <c r="C78" i="10"/>
  <c r="C81" i="18"/>
  <c r="N205" i="17"/>
  <c r="Q78" i="10"/>
  <c r="Q81" i="18"/>
  <c r="T81" i="18"/>
  <c r="T78" i="10"/>
  <c r="H205" i="17"/>
  <c r="R205" i="17"/>
  <c r="K81" i="18"/>
  <c r="K78" i="10"/>
  <c r="S81" i="18"/>
  <c r="S78" i="10"/>
  <c r="U205" i="17"/>
  <c r="E205" i="17"/>
  <c r="C82" i="18"/>
  <c r="C79" i="10"/>
  <c r="J79" i="10"/>
  <c r="J82" i="18"/>
  <c r="L205" i="17"/>
  <c r="N81" i="18"/>
  <c r="N78" i="10"/>
  <c r="M82" i="18"/>
  <c r="M79" i="10"/>
  <c r="O205" i="17"/>
  <c r="Q205" i="17"/>
  <c r="V194" i="17" l="1"/>
  <c r="V200" i="17" s="1"/>
  <c r="V196" i="17"/>
  <c r="V202" i="17" s="1"/>
  <c r="V217" i="17" s="1"/>
  <c r="V193" i="17"/>
  <c r="V199" i="17" s="1"/>
  <c r="V195" i="17"/>
  <c r="V201" i="17" s="1"/>
  <c r="V216" i="17" s="1"/>
  <c r="Y100" i="17"/>
  <c r="Y101" i="17" s="1"/>
  <c r="Y105" i="17" s="1"/>
  <c r="Y80" i="17" s="1"/>
  <c r="Y72" i="17"/>
  <c r="W223" i="17"/>
  <c r="W220" i="17"/>
  <c r="W221" i="17"/>
  <c r="W222" i="17"/>
  <c r="W190" i="17"/>
  <c r="AA94" i="17"/>
  <c r="Z95" i="17"/>
  <c r="Z96" i="17" s="1"/>
  <c r="Z99" i="17" s="1"/>
  <c r="W47" i="35"/>
  <c r="W51" i="35" s="1"/>
  <c r="W52" i="35" s="1"/>
  <c r="X41" i="35"/>
  <c r="X55" i="10"/>
  <c r="Y122" i="50" s="1"/>
  <c r="X66" i="18"/>
  <c r="Y86" i="50" s="1"/>
  <c r="Y103" i="50" s="1"/>
  <c r="X66" i="10"/>
  <c r="X81" i="17"/>
  <c r="X189" i="17"/>
  <c r="X46" i="35"/>
  <c r="L208" i="17"/>
  <c r="L207" i="17"/>
  <c r="Q208" i="17"/>
  <c r="Q207" i="17"/>
  <c r="E207" i="17"/>
  <c r="E208" i="17" s="1"/>
  <c r="U208" i="17"/>
  <c r="U207" i="17"/>
  <c r="P208" i="17"/>
  <c r="P207" i="17"/>
  <c r="C207" i="17"/>
  <c r="C208" i="17" s="1"/>
  <c r="N207" i="17"/>
  <c r="N208" i="17"/>
  <c r="I210" i="17"/>
  <c r="I215" i="17" s="1"/>
  <c r="I209" i="17"/>
  <c r="I211" i="17" s="1"/>
  <c r="I214" i="17" s="1"/>
  <c r="H207" i="17"/>
  <c r="H208" i="17"/>
  <c r="T207" i="17"/>
  <c r="T208" i="17"/>
  <c r="J208" i="17"/>
  <c r="J207" i="17"/>
  <c r="D73" i="10"/>
  <c r="D76" i="10" s="1"/>
  <c r="D79" i="18"/>
  <c r="F210" i="17"/>
  <c r="F215" i="17" s="1"/>
  <c r="F209" i="17"/>
  <c r="F211" i="17" s="1"/>
  <c r="F214" i="17" s="1"/>
  <c r="S207" i="17"/>
  <c r="S208" i="17"/>
  <c r="G210" i="17"/>
  <c r="G215" i="17" s="1"/>
  <c r="G209" i="17"/>
  <c r="R208" i="17"/>
  <c r="R207" i="17"/>
  <c r="K207" i="17"/>
  <c r="K208" i="17"/>
  <c r="O207" i="17"/>
  <c r="O208" i="17"/>
  <c r="D80" i="18"/>
  <c r="D77" i="10"/>
  <c r="M207" i="17"/>
  <c r="M208" i="17"/>
  <c r="G211" i="17" l="1"/>
  <c r="G214" i="17" s="1"/>
  <c r="X47" i="35"/>
  <c r="X51" i="35" s="1"/>
  <c r="X52" i="35" s="1"/>
  <c r="V81" i="18"/>
  <c r="V78" i="10"/>
  <c r="W195" i="17"/>
  <c r="W201" i="17" s="1"/>
  <c r="W216" i="17" s="1"/>
  <c r="W193" i="17"/>
  <c r="W199" i="17" s="1"/>
  <c r="W196" i="17"/>
  <c r="W202" i="17" s="1"/>
  <c r="W217" i="17" s="1"/>
  <c r="W194" i="17"/>
  <c r="W200" i="17" s="1"/>
  <c r="X222" i="17"/>
  <c r="X220" i="17"/>
  <c r="X221" i="17"/>
  <c r="X190" i="17"/>
  <c r="AA95" i="17"/>
  <c r="AA96" i="17" s="1"/>
  <c r="AA99" i="17" s="1"/>
  <c r="AB94" i="17"/>
  <c r="Y66" i="10"/>
  <c r="Y41" i="35"/>
  <c r="Y55" i="10"/>
  <c r="Z122" i="50" s="1"/>
  <c r="Y66" i="18"/>
  <c r="Z86" i="50" s="1"/>
  <c r="Z103" i="50" s="1"/>
  <c r="Y81" i="17"/>
  <c r="V79" i="10"/>
  <c r="V82" i="18"/>
  <c r="X223" i="17"/>
  <c r="Z100" i="17"/>
  <c r="Z101" i="17" s="1"/>
  <c r="Z105" i="17" s="1"/>
  <c r="Z80" i="17" s="1"/>
  <c r="Z72" i="17"/>
  <c r="Y189" i="17"/>
  <c r="Y46" i="35"/>
  <c r="V205" i="17"/>
  <c r="O210" i="17"/>
  <c r="O215" i="17" s="1"/>
  <c r="O209" i="17"/>
  <c r="O211" i="17" s="1"/>
  <c r="O214" i="17" s="1"/>
  <c r="E210" i="17"/>
  <c r="E215" i="17" s="1"/>
  <c r="E209" i="17"/>
  <c r="E211" i="17" s="1"/>
  <c r="E214" i="17" s="1"/>
  <c r="R210" i="17"/>
  <c r="R215" i="17" s="1"/>
  <c r="R209" i="17"/>
  <c r="R211" i="17" s="1"/>
  <c r="R214" i="17" s="1"/>
  <c r="J210" i="17"/>
  <c r="J215" i="17" s="1"/>
  <c r="J209" i="17"/>
  <c r="J211" i="17" s="1"/>
  <c r="J214" i="17" s="1"/>
  <c r="I77" i="10"/>
  <c r="I80" i="18"/>
  <c r="P210" i="17"/>
  <c r="P215" i="17" s="1"/>
  <c r="P209" i="17"/>
  <c r="P211" i="17" s="1"/>
  <c r="P214" i="17" s="1"/>
  <c r="K210" i="17"/>
  <c r="K215" i="17" s="1"/>
  <c r="K209" i="17"/>
  <c r="K211" i="17" s="1"/>
  <c r="K214" i="17" s="1"/>
  <c r="S210" i="17"/>
  <c r="S215" i="17" s="1"/>
  <c r="S209" i="17"/>
  <c r="S211" i="17" s="1"/>
  <c r="S214" i="17" s="1"/>
  <c r="M210" i="17"/>
  <c r="M215" i="17" s="1"/>
  <c r="M209" i="17"/>
  <c r="M211" i="17" s="1"/>
  <c r="M214" i="17" s="1"/>
  <c r="F73" i="10"/>
  <c r="F76" i="10" s="1"/>
  <c r="F79" i="18"/>
  <c r="D83" i="18"/>
  <c r="T210" i="17"/>
  <c r="T215" i="17" s="1"/>
  <c r="T209" i="17"/>
  <c r="T211" i="17" s="1"/>
  <c r="T214" i="17" s="1"/>
  <c r="H210" i="17"/>
  <c r="H215" i="17" s="1"/>
  <c r="H209" i="17"/>
  <c r="H211" i="17" s="1"/>
  <c r="H214" i="17" s="1"/>
  <c r="N210" i="17"/>
  <c r="N215" i="17" s="1"/>
  <c r="N209" i="17"/>
  <c r="N211" i="17" s="1"/>
  <c r="N214" i="17" s="1"/>
  <c r="I73" i="10"/>
  <c r="I76" i="10" s="1"/>
  <c r="I79" i="18"/>
  <c r="C210" i="17"/>
  <c r="C215" i="17" s="1"/>
  <c r="C209" i="17"/>
  <c r="C211" i="17" s="1"/>
  <c r="C214" i="17" s="1"/>
  <c r="G77" i="10"/>
  <c r="G80" i="18"/>
  <c r="F77" i="10"/>
  <c r="F80" i="18"/>
  <c r="D80" i="10"/>
  <c r="U210" i="17"/>
  <c r="U215" i="17" s="1"/>
  <c r="U209" i="17"/>
  <c r="U211" i="17" s="1"/>
  <c r="U214" i="17" s="1"/>
  <c r="Q210" i="17"/>
  <c r="Q215" i="17" s="1"/>
  <c r="Q209" i="17"/>
  <c r="Q211" i="17" s="1"/>
  <c r="Q214" i="17" s="1"/>
  <c r="L210" i="17"/>
  <c r="L215" i="17" s="1"/>
  <c r="L209" i="17"/>
  <c r="L211" i="17" s="1"/>
  <c r="L214" i="17" s="1"/>
  <c r="G73" i="10" l="1"/>
  <c r="G76" i="10" s="1"/>
  <c r="G80" i="10" s="1"/>
  <c r="G79" i="18"/>
  <c r="Y47" i="35"/>
  <c r="Y51" i="35" s="1"/>
  <c r="Y52" i="35" s="1"/>
  <c r="Y220" i="17"/>
  <c r="Y222" i="17"/>
  <c r="Y190" i="17"/>
  <c r="Y221" i="17"/>
  <c r="AA100" i="17"/>
  <c r="AA101" i="17" s="1"/>
  <c r="AA105" i="17" s="1"/>
  <c r="AA80" i="17" s="1"/>
  <c r="AA72" i="17"/>
  <c r="W81" i="18"/>
  <c r="W78" i="10"/>
  <c r="V208" i="17"/>
  <c r="V207" i="17"/>
  <c r="Z66" i="18"/>
  <c r="AA86" i="50" s="1"/>
  <c r="AA103" i="50" s="1"/>
  <c r="Z66" i="10"/>
  <c r="Z41" i="35"/>
  <c r="Z55" i="10"/>
  <c r="AA122" i="50" s="1"/>
  <c r="Z81" i="17"/>
  <c r="X196" i="17"/>
  <c r="X202" i="17" s="1"/>
  <c r="X217" i="17" s="1"/>
  <c r="X194" i="17"/>
  <c r="X200" i="17" s="1"/>
  <c r="X195" i="17"/>
  <c r="X201" i="17" s="1"/>
  <c r="X216" i="17" s="1"/>
  <c r="X193" i="17"/>
  <c r="X199" i="17" s="1"/>
  <c r="W205" i="17"/>
  <c r="AB95" i="17"/>
  <c r="AB96" i="17" s="1"/>
  <c r="AB99" i="17" s="1"/>
  <c r="AC94" i="17"/>
  <c r="Y223" i="17"/>
  <c r="Z189" i="17"/>
  <c r="Z46" i="35"/>
  <c r="Z47" i="35" s="1"/>
  <c r="Z51" i="35" s="1"/>
  <c r="Z52" i="35" s="1"/>
  <c r="W79" i="10"/>
  <c r="W82" i="18"/>
  <c r="I80" i="10"/>
  <c r="I26" i="10" s="1"/>
  <c r="I83" i="18"/>
  <c r="I13" i="18" s="1"/>
  <c r="F83" i="18"/>
  <c r="F49" i="18" s="1"/>
  <c r="D63" i="10"/>
  <c r="D64" i="10" s="1"/>
  <c r="D26" i="10"/>
  <c r="D48" i="10"/>
  <c r="D13" i="10"/>
  <c r="K79" i="18"/>
  <c r="K73" i="10"/>
  <c r="K76" i="10" s="1"/>
  <c r="O79" i="18"/>
  <c r="O73" i="10"/>
  <c r="O76" i="10" s="1"/>
  <c r="L80" i="18"/>
  <c r="L77" i="10"/>
  <c r="U80" i="18"/>
  <c r="U77" i="10"/>
  <c r="N79" i="18"/>
  <c r="N73" i="10"/>
  <c r="N76" i="10" s="1"/>
  <c r="T73" i="10"/>
  <c r="T76" i="10" s="1"/>
  <c r="T79" i="18"/>
  <c r="F80" i="10"/>
  <c r="K80" i="18"/>
  <c r="K77" i="10"/>
  <c r="E80" i="18"/>
  <c r="E77" i="10"/>
  <c r="O77" i="10"/>
  <c r="O80" i="18"/>
  <c r="L73" i="10"/>
  <c r="L76" i="10" s="1"/>
  <c r="L79" i="18"/>
  <c r="H80" i="18"/>
  <c r="H77" i="10"/>
  <c r="E73" i="10"/>
  <c r="E76" i="10" s="1"/>
  <c r="E79" i="18"/>
  <c r="N77" i="10"/>
  <c r="N80" i="18"/>
  <c r="T80" i="18"/>
  <c r="T77" i="10"/>
  <c r="G83" i="18"/>
  <c r="M79" i="18"/>
  <c r="M73" i="10"/>
  <c r="M76" i="10" s="1"/>
  <c r="S73" i="10"/>
  <c r="S76" i="10" s="1"/>
  <c r="S79" i="18"/>
  <c r="P79" i="18"/>
  <c r="P73" i="10"/>
  <c r="P76" i="10" s="1"/>
  <c r="J73" i="10"/>
  <c r="J76" i="10" s="1"/>
  <c r="J79" i="18"/>
  <c r="R79" i="18"/>
  <c r="R73" i="10"/>
  <c r="R76" i="10" s="1"/>
  <c r="U73" i="10"/>
  <c r="U76" i="10" s="1"/>
  <c r="U79" i="18"/>
  <c r="C77" i="10"/>
  <c r="C80" i="18"/>
  <c r="Q73" i="10"/>
  <c r="Q76" i="10" s="1"/>
  <c r="Q79" i="18"/>
  <c r="Q77" i="10"/>
  <c r="Q80" i="18"/>
  <c r="C73" i="10"/>
  <c r="C76" i="10" s="1"/>
  <c r="C79" i="18"/>
  <c r="H73" i="10"/>
  <c r="H76" i="10" s="1"/>
  <c r="H79" i="18"/>
  <c r="D74" i="18"/>
  <c r="D75" i="18" s="1"/>
  <c r="D26" i="18"/>
  <c r="D49" i="18"/>
  <c r="D13" i="18"/>
  <c r="M80" i="18"/>
  <c r="M77" i="10"/>
  <c r="S77" i="10"/>
  <c r="S80" i="18"/>
  <c r="P80" i="18"/>
  <c r="P77" i="10"/>
  <c r="J77" i="10"/>
  <c r="J80" i="18"/>
  <c r="R77" i="10"/>
  <c r="R80" i="18"/>
  <c r="X82" i="18" l="1"/>
  <c r="X79" i="10"/>
  <c r="Y194" i="17"/>
  <c r="Y200" i="17" s="1"/>
  <c r="Y193" i="17"/>
  <c r="Y199" i="17" s="1"/>
  <c r="Y196" i="17"/>
  <c r="Y202" i="17" s="1"/>
  <c r="Y217" i="17" s="1"/>
  <c r="Y195" i="17"/>
  <c r="Y201" i="17" s="1"/>
  <c r="Y216" i="17" s="1"/>
  <c r="W207" i="17"/>
  <c r="W208" i="17"/>
  <c r="AD94" i="17"/>
  <c r="AC95" i="17"/>
  <c r="AC96" i="17" s="1"/>
  <c r="AC99" i="17" s="1"/>
  <c r="X78" i="10"/>
  <c r="X81" i="18"/>
  <c r="AA55" i="10"/>
  <c r="AA66" i="18"/>
  <c r="AA41" i="35"/>
  <c r="AA66" i="10"/>
  <c r="AA81" i="17"/>
  <c r="Z222" i="17"/>
  <c r="Z221" i="17"/>
  <c r="Z190" i="17"/>
  <c r="Z220" i="17"/>
  <c r="Z223" i="17"/>
  <c r="AB72" i="17"/>
  <c r="AB100" i="17"/>
  <c r="AB101" i="17" s="1"/>
  <c r="AB105" i="17" s="1"/>
  <c r="AB80" i="17" s="1"/>
  <c r="X205" i="17"/>
  <c r="V210" i="17"/>
  <c r="V215" i="17" s="1"/>
  <c r="V209" i="17"/>
  <c r="V211" i="17" s="1"/>
  <c r="V214" i="17" s="1"/>
  <c r="AA46" i="35"/>
  <c r="AA189" i="17"/>
  <c r="AA223" i="17" s="1"/>
  <c r="I13" i="10"/>
  <c r="J113" i="50" s="1"/>
  <c r="I63" i="10"/>
  <c r="I64" i="10" s="1"/>
  <c r="I26" i="18"/>
  <c r="J81" i="50" s="1"/>
  <c r="J98" i="50" s="1"/>
  <c r="I48" i="10"/>
  <c r="J120" i="50" s="1"/>
  <c r="I74" i="18"/>
  <c r="I75" i="18" s="1"/>
  <c r="I49" i="18"/>
  <c r="I50" i="18" s="1"/>
  <c r="U80" i="10"/>
  <c r="U48" i="10" s="1"/>
  <c r="U83" i="18"/>
  <c r="U49" i="18" s="1"/>
  <c r="F74" i="18"/>
  <c r="F75" i="18" s="1"/>
  <c r="H83" i="18"/>
  <c r="H26" i="18" s="1"/>
  <c r="F26" i="18"/>
  <c r="F27" i="18" s="1"/>
  <c r="F13" i="18"/>
  <c r="G77" i="50" s="1"/>
  <c r="G94" i="50" s="1"/>
  <c r="H80" i="10"/>
  <c r="H13" i="10" s="1"/>
  <c r="L80" i="10"/>
  <c r="L13" i="10" s="1"/>
  <c r="Q83" i="18"/>
  <c r="E80" i="10"/>
  <c r="E13" i="10" s="1"/>
  <c r="T83" i="18"/>
  <c r="T13" i="18" s="1"/>
  <c r="L83" i="18"/>
  <c r="O83" i="18"/>
  <c r="O49" i="18" s="1"/>
  <c r="C83" i="18"/>
  <c r="C13" i="18" s="1"/>
  <c r="R83" i="18"/>
  <c r="R13" i="18" s="1"/>
  <c r="P83" i="18"/>
  <c r="P13" i="18" s="1"/>
  <c r="M83" i="18"/>
  <c r="M13" i="18" s="1"/>
  <c r="N80" i="10"/>
  <c r="N26" i="10" s="1"/>
  <c r="C80" i="10"/>
  <c r="C13" i="10" s="1"/>
  <c r="Q80" i="10"/>
  <c r="G84" i="50"/>
  <c r="G101" i="50" s="1"/>
  <c r="F50" i="18"/>
  <c r="J83" i="18"/>
  <c r="S83" i="18"/>
  <c r="E83" i="18"/>
  <c r="F63" i="10"/>
  <c r="F64" i="10" s="1"/>
  <c r="F48" i="10"/>
  <c r="F26" i="10"/>
  <c r="F13" i="10"/>
  <c r="N83" i="18"/>
  <c r="K80" i="10"/>
  <c r="E120" i="50"/>
  <c r="D49" i="10"/>
  <c r="D27" i="18"/>
  <c r="E81" i="50"/>
  <c r="E98" i="50" s="1"/>
  <c r="E113" i="50"/>
  <c r="D14" i="10"/>
  <c r="G63" i="10"/>
  <c r="G64" i="10" s="1"/>
  <c r="G26" i="10"/>
  <c r="G48" i="10"/>
  <c r="G13" i="10"/>
  <c r="J80" i="10"/>
  <c r="S80" i="10"/>
  <c r="J117" i="50"/>
  <c r="I27" i="10"/>
  <c r="K83" i="18"/>
  <c r="D27" i="10"/>
  <c r="E117" i="50"/>
  <c r="E77" i="50"/>
  <c r="E94" i="50" s="1"/>
  <c r="D14" i="18"/>
  <c r="E84" i="50"/>
  <c r="E101" i="50" s="1"/>
  <c r="D50" i="18"/>
  <c r="R80" i="10"/>
  <c r="P80" i="10"/>
  <c r="M80" i="10"/>
  <c r="G74" i="18"/>
  <c r="G75" i="18" s="1"/>
  <c r="G49" i="18"/>
  <c r="G26" i="18"/>
  <c r="G13" i="18"/>
  <c r="T80" i="10"/>
  <c r="J77" i="50"/>
  <c r="J94" i="50" s="1"/>
  <c r="I14" i="18"/>
  <c r="O80" i="10"/>
  <c r="O42" i="1" l="1"/>
  <c r="R42" i="1" s="1"/>
  <c r="P42" i="1"/>
  <c r="L13" i="18"/>
  <c r="M77" i="50" s="1"/>
  <c r="M94" i="50" s="1"/>
  <c r="H49" i="18"/>
  <c r="H50" i="18" s="1"/>
  <c r="Y205" i="17"/>
  <c r="Y208" i="17" s="1"/>
  <c r="Y210" i="17" s="1"/>
  <c r="Y215" i="17" s="1"/>
  <c r="AB66" i="18"/>
  <c r="AC86" i="50" s="1"/>
  <c r="AC103" i="50" s="1"/>
  <c r="AB66" i="10"/>
  <c r="AB41" i="35"/>
  <c r="AB55" i="10"/>
  <c r="AC122" i="50" s="1"/>
  <c r="AB81" i="17"/>
  <c r="V80" i="18"/>
  <c r="V77" i="10"/>
  <c r="AB86" i="50"/>
  <c r="AB103" i="50" s="1"/>
  <c r="H86" i="51"/>
  <c r="H103" i="51" s="1"/>
  <c r="AC100" i="17"/>
  <c r="AC101" i="17" s="1"/>
  <c r="AC105" i="17" s="1"/>
  <c r="AC80" i="17" s="1"/>
  <c r="AC72" i="17"/>
  <c r="Y81" i="18"/>
  <c r="Y78" i="10"/>
  <c r="AA221" i="17"/>
  <c r="AA222" i="17"/>
  <c r="AA190" i="17"/>
  <c r="AA220" i="17"/>
  <c r="X207" i="17"/>
  <c r="X208" i="17"/>
  <c r="H122" i="51"/>
  <c r="AB122" i="50"/>
  <c r="AE94" i="17"/>
  <c r="AD95" i="17"/>
  <c r="AD96" i="17" s="1"/>
  <c r="AD99" i="17" s="1"/>
  <c r="Y79" i="10"/>
  <c r="Y82" i="18"/>
  <c r="V79" i="18"/>
  <c r="V83" i="18" s="1"/>
  <c r="V73" i="10"/>
  <c r="V76" i="10" s="1"/>
  <c r="AA47" i="35"/>
  <c r="AA51" i="35" s="1"/>
  <c r="AA52" i="35" s="1"/>
  <c r="AB189" i="17"/>
  <c r="AB223" i="17" s="1"/>
  <c r="AB46" i="35"/>
  <c r="Z195" i="17"/>
  <c r="Z201" i="17" s="1"/>
  <c r="Z216" i="17" s="1"/>
  <c r="Z194" i="17"/>
  <c r="Z200" i="17" s="1"/>
  <c r="Z196" i="17"/>
  <c r="Z202" i="17" s="1"/>
  <c r="Z217" i="17" s="1"/>
  <c r="Z193" i="17"/>
  <c r="Z199" i="17" s="1"/>
  <c r="W209" i="17"/>
  <c r="W211" i="17" s="1"/>
  <c r="W214" i="17" s="1"/>
  <c r="W210" i="17"/>
  <c r="W215" i="17" s="1"/>
  <c r="I27" i="18"/>
  <c r="I87" i="18" s="1"/>
  <c r="I88" i="18" s="1"/>
  <c r="I49" i="10"/>
  <c r="I14" i="10"/>
  <c r="U63" i="10"/>
  <c r="U64" i="10" s="1"/>
  <c r="U74" i="18"/>
  <c r="U75" i="18" s="1"/>
  <c r="J84" i="50"/>
  <c r="J101" i="50" s="1"/>
  <c r="U13" i="18"/>
  <c r="V77" i="50" s="1"/>
  <c r="V94" i="50" s="1"/>
  <c r="T26" i="18"/>
  <c r="T27" i="18" s="1"/>
  <c r="U26" i="10"/>
  <c r="V117" i="50" s="1"/>
  <c r="U26" i="18"/>
  <c r="V81" i="50" s="1"/>
  <c r="V98" i="50" s="1"/>
  <c r="U13" i="10"/>
  <c r="U14" i="10" s="1"/>
  <c r="F14" i="18"/>
  <c r="F87" i="18" s="1"/>
  <c r="F88" i="18" s="1"/>
  <c r="N13" i="10"/>
  <c r="O113" i="50" s="1"/>
  <c r="P26" i="18"/>
  <c r="P27" i="18" s="1"/>
  <c r="P49" i="18"/>
  <c r="Q84" i="50" s="1"/>
  <c r="Q101" i="50" s="1"/>
  <c r="H74" i="18"/>
  <c r="H75" i="18" s="1"/>
  <c r="L63" i="10"/>
  <c r="L64" i="10" s="1"/>
  <c r="H13" i="18"/>
  <c r="H14" i="18" s="1"/>
  <c r="G81" i="50"/>
  <c r="G98" i="50" s="1"/>
  <c r="E48" i="10"/>
  <c r="F120" i="50" s="1"/>
  <c r="P74" i="18"/>
  <c r="P75" i="18" s="1"/>
  <c r="O13" i="18"/>
  <c r="P77" i="50" s="1"/>
  <c r="P94" i="50" s="1"/>
  <c r="H48" i="10"/>
  <c r="H49" i="10" s="1"/>
  <c r="Q13" i="18"/>
  <c r="R77" i="50" s="1"/>
  <c r="R94" i="50" s="1"/>
  <c r="H26" i="10"/>
  <c r="H27" i="10" s="1"/>
  <c r="L26" i="10"/>
  <c r="M117" i="50" s="1"/>
  <c r="E26" i="10"/>
  <c r="E27" i="10" s="1"/>
  <c r="O26" i="18"/>
  <c r="P81" i="50" s="1"/>
  <c r="P98" i="50" s="1"/>
  <c r="E63" i="10"/>
  <c r="E64" i="10" s="1"/>
  <c r="O74" i="18"/>
  <c r="O75" i="18" s="1"/>
  <c r="H63" i="10"/>
  <c r="H64" i="10" s="1"/>
  <c r="L48" i="10"/>
  <c r="M120" i="50" s="1"/>
  <c r="T49" i="18"/>
  <c r="U84" i="50" s="1"/>
  <c r="U101" i="50" s="1"/>
  <c r="Q49" i="18"/>
  <c r="Q50" i="18" s="1"/>
  <c r="P38" i="1" s="1"/>
  <c r="T74" i="18"/>
  <c r="T75" i="18" s="1"/>
  <c r="Q74" i="18"/>
  <c r="Q75" i="18" s="1"/>
  <c r="P39" i="1" s="1"/>
  <c r="C74" i="18"/>
  <c r="C75" i="18" s="1"/>
  <c r="Q26" i="18"/>
  <c r="R81" i="50" s="1"/>
  <c r="R98" i="50" s="1"/>
  <c r="L74" i="18"/>
  <c r="L75" i="18" s="1"/>
  <c r="L26" i="18"/>
  <c r="L27" i="18" s="1"/>
  <c r="R49" i="18"/>
  <c r="R50" i="18" s="1"/>
  <c r="L49" i="18"/>
  <c r="M84" i="50" s="1"/>
  <c r="M101" i="50" s="1"/>
  <c r="R74" i="18"/>
  <c r="R75" i="18" s="1"/>
  <c r="C63" i="10"/>
  <c r="C64" i="10" s="1"/>
  <c r="N48" i="10"/>
  <c r="N49" i="10" s="1"/>
  <c r="N63" i="10"/>
  <c r="N64" i="10" s="1"/>
  <c r="C26" i="10"/>
  <c r="C27" i="10" s="1"/>
  <c r="C26" i="18"/>
  <c r="C27" i="18" s="1"/>
  <c r="C49" i="18"/>
  <c r="C50" i="18" s="1"/>
  <c r="M26" i="18"/>
  <c r="N81" i="50" s="1"/>
  <c r="N98" i="50" s="1"/>
  <c r="M74" i="18"/>
  <c r="M75" i="18" s="1"/>
  <c r="R26" i="18"/>
  <c r="R27" i="18" s="1"/>
  <c r="C48" i="10"/>
  <c r="C49" i="10" s="1"/>
  <c r="M49" i="18"/>
  <c r="M50" i="18" s="1"/>
  <c r="D87" i="18"/>
  <c r="D88" i="18" s="1"/>
  <c r="E106" i="50" s="1"/>
  <c r="E107" i="50" s="1"/>
  <c r="G27" i="10"/>
  <c r="H117" i="50"/>
  <c r="D117" i="51"/>
  <c r="G113" i="50"/>
  <c r="F14" i="10"/>
  <c r="S49" i="18"/>
  <c r="S26" i="18"/>
  <c r="S74" i="18"/>
  <c r="S75" i="18" s="1"/>
  <c r="S13" i="18"/>
  <c r="G14" i="18"/>
  <c r="D77" i="51"/>
  <c r="D94" i="51" s="1"/>
  <c r="H77" i="50"/>
  <c r="H94" i="50" s="1"/>
  <c r="M63" i="10"/>
  <c r="M64" i="10" s="1"/>
  <c r="M48" i="10"/>
  <c r="M26" i="10"/>
  <c r="M13" i="10"/>
  <c r="P14" i="18"/>
  <c r="Q77" i="50"/>
  <c r="Q94" i="50" s="1"/>
  <c r="F113" i="50"/>
  <c r="E14" i="10"/>
  <c r="J26" i="10"/>
  <c r="J48" i="10"/>
  <c r="J63" i="10"/>
  <c r="J64" i="10" s="1"/>
  <c r="J13" i="10"/>
  <c r="G117" i="50"/>
  <c r="F27" i="10"/>
  <c r="J74" i="18"/>
  <c r="J75" i="18" s="1"/>
  <c r="J49" i="18"/>
  <c r="J13" i="18"/>
  <c r="J26" i="18"/>
  <c r="V120" i="50"/>
  <c r="U49" i="10"/>
  <c r="S48" i="10"/>
  <c r="S63" i="10"/>
  <c r="S64" i="10" s="1"/>
  <c r="S26" i="10"/>
  <c r="S13" i="10"/>
  <c r="P84" i="50"/>
  <c r="P101" i="50" s="1"/>
  <c r="O50" i="18"/>
  <c r="O63" i="10"/>
  <c r="O64" i="10" s="1"/>
  <c r="O26" i="10"/>
  <c r="O48" i="10"/>
  <c r="O13" i="10"/>
  <c r="D81" i="51"/>
  <c r="D98" i="51" s="1"/>
  <c r="G27" i="18"/>
  <c r="H81" i="50"/>
  <c r="H98" i="50" s="1"/>
  <c r="P26" i="10"/>
  <c r="P48" i="10"/>
  <c r="P63" i="10"/>
  <c r="P64" i="10" s="1"/>
  <c r="P13" i="10"/>
  <c r="K74" i="18"/>
  <c r="K75" i="18" s="1"/>
  <c r="K26" i="18"/>
  <c r="K49" i="18"/>
  <c r="K13" i="18"/>
  <c r="U77" i="50"/>
  <c r="U94" i="50" s="1"/>
  <c r="T14" i="18"/>
  <c r="H113" i="50"/>
  <c r="D113" i="51"/>
  <c r="G14" i="10"/>
  <c r="D84" i="10"/>
  <c r="N77" i="50"/>
  <c r="N94" i="50" s="1"/>
  <c r="M14" i="18"/>
  <c r="R14" i="18"/>
  <c r="S77" i="50"/>
  <c r="S94" i="50" s="1"/>
  <c r="D113" i="50"/>
  <c r="C14" i="10"/>
  <c r="K63" i="10"/>
  <c r="K64" i="10" s="1"/>
  <c r="K26" i="10"/>
  <c r="K48" i="10"/>
  <c r="K13" i="10"/>
  <c r="F49" i="10"/>
  <c r="G120" i="50"/>
  <c r="E26" i="18"/>
  <c r="E13" i="18"/>
  <c r="E49" i="18"/>
  <c r="E74" i="18"/>
  <c r="E75" i="18" s="1"/>
  <c r="T63" i="10"/>
  <c r="T64" i="10" s="1"/>
  <c r="T48" i="10"/>
  <c r="T26" i="10"/>
  <c r="T13" i="10"/>
  <c r="D84" i="51"/>
  <c r="D101" i="51" s="1"/>
  <c r="G50" i="18"/>
  <c r="H84" i="50"/>
  <c r="H101" i="50" s="1"/>
  <c r="R13" i="10"/>
  <c r="R48" i="10"/>
  <c r="R26" i="10"/>
  <c r="R63" i="10"/>
  <c r="R64" i="10" s="1"/>
  <c r="C14" i="18"/>
  <c r="D77" i="50"/>
  <c r="D94" i="50" s="1"/>
  <c r="I113" i="50"/>
  <c r="H14" i="10"/>
  <c r="E113" i="51"/>
  <c r="M113" i="50"/>
  <c r="L14" i="10"/>
  <c r="V84" i="50"/>
  <c r="V101" i="50" s="1"/>
  <c r="U50" i="18"/>
  <c r="H27" i="18"/>
  <c r="I81" i="50"/>
  <c r="I98" i="50" s="1"/>
  <c r="H120" i="50"/>
  <c r="D120" i="51"/>
  <c r="G49" i="10"/>
  <c r="O117" i="50"/>
  <c r="N27" i="10"/>
  <c r="N26" i="18"/>
  <c r="N49" i="18"/>
  <c r="N74" i="18"/>
  <c r="N75" i="18" s="1"/>
  <c r="N13" i="18"/>
  <c r="Q13" i="10"/>
  <c r="Q63" i="10"/>
  <c r="Q64" i="10" s="1"/>
  <c r="J51" i="1" s="1"/>
  <c r="Q48" i="10"/>
  <c r="Q26" i="10"/>
  <c r="Q42" i="1" l="1"/>
  <c r="L14" i="18"/>
  <c r="E77" i="51"/>
  <c r="E94" i="51" s="1"/>
  <c r="I84" i="50"/>
  <c r="I101" i="50" s="1"/>
  <c r="V80" i="10"/>
  <c r="V63" i="10" s="1"/>
  <c r="V64" i="10" s="1"/>
  <c r="O38" i="1"/>
  <c r="R38" i="1" s="1"/>
  <c r="O39" i="1"/>
  <c r="Q39" i="1" s="1"/>
  <c r="Y207" i="17"/>
  <c r="Z205" i="17"/>
  <c r="Z208" i="17" s="1"/>
  <c r="Y209" i="17"/>
  <c r="Y211" i="17" s="1"/>
  <c r="Y214" i="17" s="1"/>
  <c r="Y73" i="10" s="1"/>
  <c r="Y76" i="10" s="1"/>
  <c r="AB47" i="35"/>
  <c r="AB51" i="35" s="1"/>
  <c r="AB52" i="35" s="1"/>
  <c r="AE95" i="17"/>
  <c r="AE96" i="17" s="1"/>
  <c r="AE99" i="17" s="1"/>
  <c r="AF94" i="17"/>
  <c r="AF95" i="17" s="1"/>
  <c r="AF96" i="17" s="1"/>
  <c r="AF99" i="17" s="1"/>
  <c r="W77" i="10"/>
  <c r="W80" i="18"/>
  <c r="AB220" i="17"/>
  <c r="AB190" i="17"/>
  <c r="AB222" i="17"/>
  <c r="AB221" i="17"/>
  <c r="Y80" i="18"/>
  <c r="Y77" i="10"/>
  <c r="V49" i="18"/>
  <c r="V13" i="18"/>
  <c r="V26" i="18"/>
  <c r="V74" i="18"/>
  <c r="V75" i="18" s="1"/>
  <c r="W73" i="10"/>
  <c r="W76" i="10" s="1"/>
  <c r="W79" i="18"/>
  <c r="Z81" i="18"/>
  <c r="Z78" i="10"/>
  <c r="AA195" i="17"/>
  <c r="AA201" i="17" s="1"/>
  <c r="AA216" i="17" s="1"/>
  <c r="AA196" i="17"/>
  <c r="AA202" i="17" s="1"/>
  <c r="AA217" i="17" s="1"/>
  <c r="AA193" i="17"/>
  <c r="AA199" i="17" s="1"/>
  <c r="AA194" i="17"/>
  <c r="AA200" i="17" s="1"/>
  <c r="Z82" i="18"/>
  <c r="Z79" i="10"/>
  <c r="AC46" i="35"/>
  <c r="AC189" i="17"/>
  <c r="AD72" i="17"/>
  <c r="AD100" i="17"/>
  <c r="AD101" i="17" s="1"/>
  <c r="AD105" i="17" s="1"/>
  <c r="AD80" i="17" s="1"/>
  <c r="X210" i="17"/>
  <c r="X215" i="17" s="1"/>
  <c r="X209" i="17"/>
  <c r="X211" i="17" s="1"/>
  <c r="X214" i="17" s="1"/>
  <c r="AC66" i="10"/>
  <c r="AC41" i="35"/>
  <c r="AC66" i="18"/>
  <c r="AD86" i="50" s="1"/>
  <c r="AD103" i="50" s="1"/>
  <c r="AC55" i="10"/>
  <c r="AD122" i="50" s="1"/>
  <c r="AC81" i="17"/>
  <c r="I84" i="10"/>
  <c r="I53" i="35" s="1"/>
  <c r="I54" i="35" s="1"/>
  <c r="U14" i="18"/>
  <c r="F77" i="51"/>
  <c r="F94" i="51" s="1"/>
  <c r="V113" i="50"/>
  <c r="N14" i="10"/>
  <c r="N84" i="10" s="1"/>
  <c r="U27" i="10"/>
  <c r="U84" i="10" s="1"/>
  <c r="V126" i="50" s="1"/>
  <c r="U27" i="18"/>
  <c r="U81" i="50"/>
  <c r="U98" i="50" s="1"/>
  <c r="Q81" i="50"/>
  <c r="Q98" i="50" s="1"/>
  <c r="I77" i="50"/>
  <c r="I94" i="50" s="1"/>
  <c r="D120" i="50"/>
  <c r="J106" i="50"/>
  <c r="J107" i="50" s="1"/>
  <c r="F117" i="50"/>
  <c r="T50" i="18"/>
  <c r="T87" i="18" s="1"/>
  <c r="T88" i="18" s="1"/>
  <c r="G106" i="50"/>
  <c r="G107" i="50" s="1"/>
  <c r="L27" i="10"/>
  <c r="I117" i="50"/>
  <c r="S84" i="50"/>
  <c r="S101" i="50" s="1"/>
  <c r="P50" i="18"/>
  <c r="P87" i="18" s="1"/>
  <c r="P88" i="18" s="1"/>
  <c r="O27" i="18"/>
  <c r="Q14" i="18"/>
  <c r="P36" i="1" s="1"/>
  <c r="M81" i="50"/>
  <c r="M98" i="50" s="1"/>
  <c r="E49" i="10"/>
  <c r="E84" i="10" s="1"/>
  <c r="F126" i="50" s="1"/>
  <c r="O14" i="18"/>
  <c r="D117" i="50"/>
  <c r="M27" i="18"/>
  <c r="M87" i="18" s="1"/>
  <c r="M88" i="18" s="1"/>
  <c r="E117" i="51"/>
  <c r="F81" i="51"/>
  <c r="F98" i="51" s="1"/>
  <c r="Q27" i="18"/>
  <c r="P37" i="1" s="1"/>
  <c r="I120" i="50"/>
  <c r="R84" i="50"/>
  <c r="R101" i="50" s="1"/>
  <c r="E120" i="51"/>
  <c r="E81" i="51"/>
  <c r="E98" i="51" s="1"/>
  <c r="L49" i="10"/>
  <c r="D81" i="50"/>
  <c r="D98" i="50" s="1"/>
  <c r="F84" i="51"/>
  <c r="F101" i="51" s="1"/>
  <c r="E84" i="51"/>
  <c r="E101" i="51" s="1"/>
  <c r="O120" i="50"/>
  <c r="L50" i="18"/>
  <c r="D84" i="50"/>
  <c r="D101" i="50" s="1"/>
  <c r="S81" i="50"/>
  <c r="S98" i="50" s="1"/>
  <c r="N84" i="50"/>
  <c r="N101" i="50" s="1"/>
  <c r="H84" i="10"/>
  <c r="H53" i="35" s="1"/>
  <c r="H54" i="35" s="1"/>
  <c r="R87" i="18"/>
  <c r="R88" i="18" s="1"/>
  <c r="F120" i="51"/>
  <c r="R120" i="50"/>
  <c r="Q49" i="10"/>
  <c r="J50" i="1" s="1"/>
  <c r="E50" i="18"/>
  <c r="F84" i="50"/>
  <c r="F101" i="50" s="1"/>
  <c r="J50" i="18"/>
  <c r="K84" i="50"/>
  <c r="K101" i="50" s="1"/>
  <c r="K113" i="50"/>
  <c r="J14" i="10"/>
  <c r="N117" i="50"/>
  <c r="M27" i="10"/>
  <c r="N14" i="18"/>
  <c r="O77" i="50"/>
  <c r="O94" i="50" s="1"/>
  <c r="F77" i="50"/>
  <c r="F94" i="50" s="1"/>
  <c r="E14" i="18"/>
  <c r="Q120" i="50"/>
  <c r="P49" i="10"/>
  <c r="P113" i="50"/>
  <c r="O14" i="10"/>
  <c r="T117" i="50"/>
  <c r="S27" i="10"/>
  <c r="G87" i="18"/>
  <c r="G88" i="18" s="1"/>
  <c r="T77" i="50"/>
  <c r="T94" i="50" s="1"/>
  <c r="S14" i="18"/>
  <c r="R113" i="50"/>
  <c r="Q14" i="10"/>
  <c r="F113" i="51"/>
  <c r="S120" i="50"/>
  <c r="R49" i="10"/>
  <c r="U113" i="50"/>
  <c r="T14" i="10"/>
  <c r="E27" i="18"/>
  <c r="F81" i="50"/>
  <c r="F98" i="50" s="1"/>
  <c r="L113" i="50"/>
  <c r="K14" i="10"/>
  <c r="C84" i="10"/>
  <c r="G84" i="10"/>
  <c r="H87" i="18"/>
  <c r="H88" i="18" s="1"/>
  <c r="L81" i="50"/>
  <c r="L98" i="50" s="1"/>
  <c r="K27" i="18"/>
  <c r="P27" i="10"/>
  <c r="Q117" i="50"/>
  <c r="O49" i="10"/>
  <c r="P120" i="50"/>
  <c r="K81" i="50"/>
  <c r="K98" i="50" s="1"/>
  <c r="J27" i="18"/>
  <c r="J49" i="10"/>
  <c r="K120" i="50"/>
  <c r="O81" i="50"/>
  <c r="O98" i="50" s="1"/>
  <c r="N27" i="18"/>
  <c r="T49" i="10"/>
  <c r="U120" i="50"/>
  <c r="K27" i="10"/>
  <c r="L117" i="50"/>
  <c r="L77" i="50"/>
  <c r="L94" i="50" s="1"/>
  <c r="K14" i="18"/>
  <c r="S14" i="10"/>
  <c r="T113" i="50"/>
  <c r="T84" i="50"/>
  <c r="T101" i="50" s="1"/>
  <c r="S50" i="18"/>
  <c r="R27" i="10"/>
  <c r="S117" i="50"/>
  <c r="D53" i="35"/>
  <c r="D54" i="35" s="1"/>
  <c r="E126" i="50"/>
  <c r="E125" i="50" s="1"/>
  <c r="K50" i="18"/>
  <c r="L84" i="50"/>
  <c r="L101" i="50" s="1"/>
  <c r="M49" i="10"/>
  <c r="N120" i="50"/>
  <c r="F117" i="51"/>
  <c r="Q27" i="10"/>
  <c r="J49" i="1" s="1"/>
  <c r="R117" i="50"/>
  <c r="O84" i="50"/>
  <c r="O101" i="50" s="1"/>
  <c r="N50" i="18"/>
  <c r="C87" i="18"/>
  <c r="C88" i="18" s="1"/>
  <c r="S113" i="50"/>
  <c r="R14" i="10"/>
  <c r="U117" i="50"/>
  <c r="T27" i="10"/>
  <c r="K49" i="10"/>
  <c r="L120" i="50"/>
  <c r="Q113" i="50"/>
  <c r="P14" i="10"/>
  <c r="O27" i="10"/>
  <c r="P117" i="50"/>
  <c r="T120" i="50"/>
  <c r="S49" i="10"/>
  <c r="K77" i="50"/>
  <c r="K94" i="50" s="1"/>
  <c r="J14" i="18"/>
  <c r="J27" i="10"/>
  <c r="K117" i="50"/>
  <c r="N113" i="50"/>
  <c r="M14" i="10"/>
  <c r="S27" i="18"/>
  <c r="T81" i="50"/>
  <c r="T98" i="50" s="1"/>
  <c r="F84" i="10"/>
  <c r="L87" i="18" l="1"/>
  <c r="L88" i="18" s="1"/>
  <c r="V13" i="10"/>
  <c r="W113" i="50" s="1"/>
  <c r="V48" i="10"/>
  <c r="V49" i="10" s="1"/>
  <c r="V26" i="10"/>
  <c r="G117" i="51" s="1"/>
  <c r="Q38" i="1"/>
  <c r="Z207" i="17"/>
  <c r="R39" i="1"/>
  <c r="O37" i="1"/>
  <c r="R37" i="1" s="1"/>
  <c r="O36" i="1"/>
  <c r="Q36" i="1" s="1"/>
  <c r="P40" i="1"/>
  <c r="W80" i="10"/>
  <c r="W26" i="10" s="1"/>
  <c r="U106" i="50"/>
  <c r="U107" i="50" s="1"/>
  <c r="Z210" i="17"/>
  <c r="Z215" i="17" s="1"/>
  <c r="Z80" i="18" s="1"/>
  <c r="Z209" i="17"/>
  <c r="Z211" i="17" s="1"/>
  <c r="Z214" i="17" s="1"/>
  <c r="Z73" i="10" s="1"/>
  <c r="Z76" i="10" s="1"/>
  <c r="AA205" i="17"/>
  <c r="AA208" i="17" s="1"/>
  <c r="AA210" i="17" s="1"/>
  <c r="AA215" i="17" s="1"/>
  <c r="Y79" i="18"/>
  <c r="Y83" i="18" s="1"/>
  <c r="W83" i="18"/>
  <c r="W49" i="18" s="1"/>
  <c r="AF100" i="17"/>
  <c r="AF101" i="17" s="1"/>
  <c r="AF105" i="17" s="1"/>
  <c r="AF80" i="17" s="1"/>
  <c r="AF72" i="17"/>
  <c r="AG72" i="17" s="1"/>
  <c r="X73" i="10"/>
  <c r="X76" i="10" s="1"/>
  <c r="X79" i="18"/>
  <c r="AA81" i="18"/>
  <c r="AA78" i="10"/>
  <c r="G84" i="51"/>
  <c r="G101" i="51" s="1"/>
  <c r="V50" i="18"/>
  <c r="W84" i="50"/>
  <c r="W101" i="50" s="1"/>
  <c r="AE100" i="17"/>
  <c r="AE101" i="17" s="1"/>
  <c r="AE105" i="17" s="1"/>
  <c r="AE80" i="17" s="1"/>
  <c r="AE72" i="17"/>
  <c r="AA82" i="18"/>
  <c r="AA79" i="10"/>
  <c r="X80" i="18"/>
  <c r="X77" i="10"/>
  <c r="AC223" i="17"/>
  <c r="AC220" i="17"/>
  <c r="AC221" i="17"/>
  <c r="AC222" i="17"/>
  <c r="AC190" i="17"/>
  <c r="AB195" i="17"/>
  <c r="AB201" i="17" s="1"/>
  <c r="AB216" i="17" s="1"/>
  <c r="AB196" i="17"/>
  <c r="AB202" i="17" s="1"/>
  <c r="AB217" i="17" s="1"/>
  <c r="AB193" i="17"/>
  <c r="AB199" i="17" s="1"/>
  <c r="AB194" i="17"/>
  <c r="AB200" i="17" s="1"/>
  <c r="AD66" i="18"/>
  <c r="AE86" i="50" s="1"/>
  <c r="AE103" i="50" s="1"/>
  <c r="AD66" i="10"/>
  <c r="AD41" i="35"/>
  <c r="AD55" i="10"/>
  <c r="AE122" i="50" s="1"/>
  <c r="AD81" i="17"/>
  <c r="W77" i="50"/>
  <c r="W94" i="50" s="1"/>
  <c r="V14" i="18"/>
  <c r="G77" i="51"/>
  <c r="G94" i="51" s="1"/>
  <c r="AD189" i="17"/>
  <c r="AD223" i="17" s="1"/>
  <c r="AD46" i="35"/>
  <c r="AC47" i="35"/>
  <c r="AC51" i="35" s="1"/>
  <c r="AC52" i="35" s="1"/>
  <c r="W81" i="50"/>
  <c r="W98" i="50" s="1"/>
  <c r="G81" i="51"/>
  <c r="G98" i="51" s="1"/>
  <c r="V27" i="18"/>
  <c r="Y80" i="10"/>
  <c r="J126" i="50"/>
  <c r="J125" i="50" s="1"/>
  <c r="U87" i="18"/>
  <c r="U88" i="18" s="1"/>
  <c r="V106" i="50" s="1"/>
  <c r="V107" i="50" s="1"/>
  <c r="V125" i="50"/>
  <c r="F125" i="50"/>
  <c r="Q106" i="50"/>
  <c r="Q107" i="50" s="1"/>
  <c r="O87" i="18"/>
  <c r="O88" i="18" s="1"/>
  <c r="P106" i="50" s="1"/>
  <c r="P107" i="50" s="1"/>
  <c r="I106" i="50"/>
  <c r="I107" i="50" s="1"/>
  <c r="L84" i="10"/>
  <c r="L53" i="35" s="1"/>
  <c r="L54" i="35" s="1"/>
  <c r="Q87" i="18"/>
  <c r="Q88" i="18" s="1"/>
  <c r="R106" i="50" s="1"/>
  <c r="R107" i="50" s="1"/>
  <c r="D106" i="50"/>
  <c r="D107" i="50" s="1"/>
  <c r="E53" i="35"/>
  <c r="E54" i="35" s="1"/>
  <c r="S106" i="50"/>
  <c r="S107" i="50" s="1"/>
  <c r="I126" i="50"/>
  <c r="I125" i="50" s="1"/>
  <c r="N106" i="50"/>
  <c r="N107" i="50" s="1"/>
  <c r="U53" i="35"/>
  <c r="U54" i="35" s="1"/>
  <c r="O84" i="10"/>
  <c r="P126" i="50" s="1"/>
  <c r="P125" i="50" s="1"/>
  <c r="R84" i="10"/>
  <c r="S126" i="50" s="1"/>
  <c r="S125" i="50" s="1"/>
  <c r="J87" i="18"/>
  <c r="J88" i="18" s="1"/>
  <c r="K106" i="50" s="1"/>
  <c r="K107" i="50" s="1"/>
  <c r="J48" i="1"/>
  <c r="J53" i="1" s="1"/>
  <c r="Q84" i="10"/>
  <c r="S84" i="10"/>
  <c r="C53" i="35"/>
  <c r="C54" i="35" s="1"/>
  <c r="D126" i="50"/>
  <c r="D125" i="50" s="1"/>
  <c r="T84" i="10"/>
  <c r="H106" i="50"/>
  <c r="H107" i="50" s="1"/>
  <c r="D106" i="51"/>
  <c r="D107" i="51" s="1"/>
  <c r="E87" i="18"/>
  <c r="E88" i="18" s="1"/>
  <c r="F106" i="50" s="1"/>
  <c r="F107" i="50" s="1"/>
  <c r="P84" i="10"/>
  <c r="M106" i="50"/>
  <c r="M107" i="50" s="1"/>
  <c r="E106" i="51"/>
  <c r="E107" i="51" s="1"/>
  <c r="K87" i="18"/>
  <c r="K88" i="18" s="1"/>
  <c r="L106" i="50" s="1"/>
  <c r="L107" i="50" s="1"/>
  <c r="G53" i="35"/>
  <c r="G54" i="35" s="1"/>
  <c r="H126" i="50"/>
  <c r="H125" i="50" s="1"/>
  <c r="D126" i="51"/>
  <c r="D125" i="51" s="1"/>
  <c r="K84" i="10"/>
  <c r="N53" i="35"/>
  <c r="N54" i="35" s="1"/>
  <c r="O126" i="50"/>
  <c r="O125" i="50" s="1"/>
  <c r="J84" i="10"/>
  <c r="G126" i="50"/>
  <c r="G125" i="50" s="1"/>
  <c r="F53" i="35"/>
  <c r="F54" i="35" s="1"/>
  <c r="M84" i="10"/>
  <c r="S87" i="18"/>
  <c r="S88" i="18" s="1"/>
  <c r="T106" i="50" s="1"/>
  <c r="T107" i="50" s="1"/>
  <c r="N87" i="18"/>
  <c r="N88" i="18" s="1"/>
  <c r="O106" i="50" s="1"/>
  <c r="O107" i="50" s="1"/>
  <c r="W117" i="50" l="1"/>
  <c r="W120" i="50"/>
  <c r="G120" i="51"/>
  <c r="V14" i="10"/>
  <c r="G113" i="51"/>
  <c r="V27" i="10"/>
  <c r="Z77" i="10"/>
  <c r="Z80" i="10" s="1"/>
  <c r="R36" i="1"/>
  <c r="AA207" i="17"/>
  <c r="Z79" i="18"/>
  <c r="Z83" i="18" s="1"/>
  <c r="Z13" i="18" s="1"/>
  <c r="W13" i="10"/>
  <c r="X113" i="50" s="1"/>
  <c r="W48" i="10"/>
  <c r="X120" i="50" s="1"/>
  <c r="W63" i="10"/>
  <c r="W64" i="10" s="1"/>
  <c r="Q37" i="1"/>
  <c r="W26" i="18"/>
  <c r="X81" i="50" s="1"/>
  <c r="X98" i="50" s="1"/>
  <c r="W13" i="18"/>
  <c r="X77" i="50" s="1"/>
  <c r="X94" i="50" s="1"/>
  <c r="W74" i="18"/>
  <c r="W75" i="18" s="1"/>
  <c r="O40" i="1"/>
  <c r="O43" i="1" s="1"/>
  <c r="AD47" i="35"/>
  <c r="AD51" i="35" s="1"/>
  <c r="AD52" i="35" s="1"/>
  <c r="AB205" i="17"/>
  <c r="AB208" i="17" s="1"/>
  <c r="AB210" i="17" s="1"/>
  <c r="AB215" i="17" s="1"/>
  <c r="V87" i="18"/>
  <c r="V88" i="18" s="1"/>
  <c r="AE189" i="17"/>
  <c r="AE46" i="35"/>
  <c r="X84" i="50"/>
  <c r="X101" i="50" s="1"/>
  <c r="W50" i="18"/>
  <c r="W27" i="10"/>
  <c r="X117" i="50"/>
  <c r="X83" i="18"/>
  <c r="AD222" i="17"/>
  <c r="AD220" i="17"/>
  <c r="AD221" i="17"/>
  <c r="AD190" i="17"/>
  <c r="AB79" i="10"/>
  <c r="AB82" i="18"/>
  <c r="AC195" i="17"/>
  <c r="AC201" i="17" s="1"/>
  <c r="AC216" i="17" s="1"/>
  <c r="AC194" i="17"/>
  <c r="AC200" i="17" s="1"/>
  <c r="AC193" i="17"/>
  <c r="AC199" i="17" s="1"/>
  <c r="AC196" i="17"/>
  <c r="AC202" i="17" s="1"/>
  <c r="AC217" i="17" s="1"/>
  <c r="X80" i="10"/>
  <c r="AA80" i="18"/>
  <c r="AA77" i="10"/>
  <c r="AF189" i="17"/>
  <c r="AF223" i="17" s="1"/>
  <c r="AF46" i="35"/>
  <c r="Y48" i="10"/>
  <c r="Y26" i="10"/>
  <c r="Y13" i="10"/>
  <c r="Y63" i="10"/>
  <c r="Y64" i="10" s="1"/>
  <c r="AA209" i="17"/>
  <c r="AA211" i="17" s="1"/>
  <c r="AA214" i="17" s="1"/>
  <c r="Y49" i="18"/>
  <c r="Y13" i="18"/>
  <c r="Y74" i="18"/>
  <c r="Y75" i="18" s="1"/>
  <c r="Y26" i="18"/>
  <c r="AB81" i="18"/>
  <c r="AB78" i="10"/>
  <c r="AE66" i="18"/>
  <c r="AF86" i="50" s="1"/>
  <c r="AF103" i="50" s="1"/>
  <c r="AE41" i="35"/>
  <c r="AE66" i="10"/>
  <c r="AE55" i="10"/>
  <c r="AF122" i="50" s="1"/>
  <c r="AE81" i="17"/>
  <c r="AF66" i="10"/>
  <c r="AF41" i="35"/>
  <c r="AF55" i="10"/>
  <c r="AF66" i="18"/>
  <c r="AG66" i="18" s="1"/>
  <c r="AF81" i="17"/>
  <c r="E126" i="51"/>
  <c r="E125" i="51" s="1"/>
  <c r="M126" i="50"/>
  <c r="M125" i="50" s="1"/>
  <c r="F106" i="51"/>
  <c r="F107" i="51" s="1"/>
  <c r="O53" i="35"/>
  <c r="O54" i="35" s="1"/>
  <c r="R53" i="35"/>
  <c r="R54" i="35" s="1"/>
  <c r="K126" i="50"/>
  <c r="K125" i="50" s="1"/>
  <c r="J53" i="35"/>
  <c r="J54" i="35" s="1"/>
  <c r="F126" i="51"/>
  <c r="F125" i="51" s="1"/>
  <c r="J52" i="1"/>
  <c r="Q53" i="35"/>
  <c r="Q54" i="35" s="1"/>
  <c r="R126" i="50"/>
  <c r="R125" i="50" s="1"/>
  <c r="K53" i="35"/>
  <c r="K54" i="35" s="1"/>
  <c r="L126" i="50"/>
  <c r="L125" i="50" s="1"/>
  <c r="T126" i="50"/>
  <c r="T125" i="50" s="1"/>
  <c r="S53" i="35"/>
  <c r="S54" i="35" s="1"/>
  <c r="M53" i="35"/>
  <c r="M54" i="35" s="1"/>
  <c r="N126" i="50"/>
  <c r="N125" i="50" s="1"/>
  <c r="U126" i="50"/>
  <c r="U125" i="50" s="1"/>
  <c r="T53" i="35"/>
  <c r="T54" i="35" s="1"/>
  <c r="P53" i="35"/>
  <c r="P54" i="35" s="1"/>
  <c r="Q126" i="50"/>
  <c r="Q125" i="50" s="1"/>
  <c r="V84" i="10" l="1"/>
  <c r="G126" i="51" s="1"/>
  <c r="G125" i="51" s="1"/>
  <c r="W14" i="18"/>
  <c r="W14" i="10"/>
  <c r="W49" i="10"/>
  <c r="R43" i="1"/>
  <c r="Q43" i="1"/>
  <c r="R40" i="1"/>
  <c r="Q40" i="1"/>
  <c r="W27" i="18"/>
  <c r="AB207" i="17"/>
  <c r="Z26" i="18"/>
  <c r="Z27" i="18" s="1"/>
  <c r="Z74" i="18"/>
  <c r="Z75" i="18" s="1"/>
  <c r="AC205" i="17"/>
  <c r="AC208" i="17" s="1"/>
  <c r="Z49" i="18"/>
  <c r="Z50" i="18" s="1"/>
  <c r="AB209" i="17"/>
  <c r="AB211" i="17" s="1"/>
  <c r="AB214" i="17" s="1"/>
  <c r="AB79" i="18" s="1"/>
  <c r="AF47" i="35"/>
  <c r="AE190" i="17"/>
  <c r="AE221" i="17"/>
  <c r="AE220" i="17"/>
  <c r="AE222" i="17"/>
  <c r="Z77" i="50"/>
  <c r="Z94" i="50" s="1"/>
  <c r="Y14" i="18"/>
  <c r="Y14" i="10"/>
  <c r="Z113" i="50"/>
  <c r="AC78" i="10"/>
  <c r="AC81" i="18"/>
  <c r="I86" i="51"/>
  <c r="I103" i="51" s="1"/>
  <c r="AG86" i="50"/>
  <c r="AG103" i="50" s="1"/>
  <c r="Y50" i="18"/>
  <c r="Z84" i="50"/>
  <c r="Z101" i="50" s="1"/>
  <c r="Y27" i="10"/>
  <c r="Z117" i="50"/>
  <c r="AF221" i="17"/>
  <c r="AF220" i="17"/>
  <c r="AF222" i="17"/>
  <c r="AF190" i="17"/>
  <c r="AC82" i="18"/>
  <c r="AC79" i="10"/>
  <c r="AD195" i="17"/>
  <c r="AD201" i="17" s="1"/>
  <c r="AD216" i="17" s="1"/>
  <c r="AD193" i="17"/>
  <c r="AD199" i="17" s="1"/>
  <c r="AD196" i="17"/>
  <c r="AD202" i="17" s="1"/>
  <c r="AD217" i="17" s="1"/>
  <c r="AD194" i="17"/>
  <c r="AD200" i="17" s="1"/>
  <c r="AE223" i="17"/>
  <c r="AB80" i="18"/>
  <c r="AB77" i="10"/>
  <c r="Z48" i="10"/>
  <c r="Z26" i="10"/>
  <c r="Z13" i="10"/>
  <c r="Z63" i="10"/>
  <c r="Z64" i="10" s="1"/>
  <c r="AA77" i="50"/>
  <c r="AA94" i="50" s="1"/>
  <c r="Z14" i="18"/>
  <c r="I122" i="51"/>
  <c r="AG122" i="50"/>
  <c r="Z81" i="50"/>
  <c r="Z98" i="50" s="1"/>
  <c r="Y27" i="18"/>
  <c r="AA73" i="10"/>
  <c r="AA76" i="10" s="1"/>
  <c r="AA80" i="10" s="1"/>
  <c r="AA79" i="18"/>
  <c r="AA83" i="18" s="1"/>
  <c r="Y49" i="10"/>
  <c r="Z120" i="50"/>
  <c r="X48" i="10"/>
  <c r="X63" i="10"/>
  <c r="X64" i="10" s="1"/>
  <c r="X13" i="10"/>
  <c r="X26" i="10"/>
  <c r="X26" i="18"/>
  <c r="X49" i="18"/>
  <c r="X13" i="18"/>
  <c r="X74" i="18"/>
  <c r="X75" i="18" s="1"/>
  <c r="AE47" i="35"/>
  <c r="AE51" i="35" s="1"/>
  <c r="AE52" i="35" s="1"/>
  <c r="G106" i="51"/>
  <c r="G107" i="51" s="1"/>
  <c r="W106" i="50"/>
  <c r="W107" i="50" s="1"/>
  <c r="P51" i="1"/>
  <c r="P50" i="1"/>
  <c r="P53" i="1"/>
  <c r="P48" i="1"/>
  <c r="J54" i="1"/>
  <c r="P52" i="1"/>
  <c r="P49" i="1"/>
  <c r="B80" i="17"/>
  <c r="AG80" i="17" s="1"/>
  <c r="V53" i="35" l="1"/>
  <c r="V54" i="35" s="1"/>
  <c r="W126" i="50"/>
  <c r="W125" i="50" s="1"/>
  <c r="B189" i="17"/>
  <c r="B190" i="17" s="1"/>
  <c r="B193" i="17" s="1"/>
  <c r="W87" i="18"/>
  <c r="W88" i="18" s="1"/>
  <c r="X106" i="50" s="1"/>
  <c r="X107" i="50" s="1"/>
  <c r="W84" i="10"/>
  <c r="X126" i="50" s="1"/>
  <c r="X125" i="50" s="1"/>
  <c r="AA84" i="50"/>
  <c r="AA101" i="50" s="1"/>
  <c r="AA81" i="50"/>
  <c r="AA98" i="50" s="1"/>
  <c r="AB73" i="10"/>
  <c r="AB76" i="10" s="1"/>
  <c r="AB80" i="10" s="1"/>
  <c r="W53" i="35"/>
  <c r="W54" i="35" s="1"/>
  <c r="AC207" i="17"/>
  <c r="AC210" i="17"/>
  <c r="AC215" i="17" s="1"/>
  <c r="AC77" i="10" s="1"/>
  <c r="AC209" i="17"/>
  <c r="AC211" i="17" s="1"/>
  <c r="AC214" i="17" s="1"/>
  <c r="AC79" i="18" s="1"/>
  <c r="AD205" i="17"/>
  <c r="AD207" i="17" s="1"/>
  <c r="X49" i="10"/>
  <c r="Y120" i="50"/>
  <c r="Z14" i="10"/>
  <c r="AA113" i="50"/>
  <c r="AE194" i="17"/>
  <c r="AE200" i="17" s="1"/>
  <c r="AE196" i="17"/>
  <c r="AE202" i="17" s="1"/>
  <c r="AE217" i="17" s="1"/>
  <c r="AE195" i="17"/>
  <c r="AE201" i="17" s="1"/>
  <c r="AE216" i="17" s="1"/>
  <c r="AE193" i="17"/>
  <c r="AE199" i="17" s="1"/>
  <c r="X14" i="18"/>
  <c r="Y77" i="50"/>
  <c r="Y94" i="50" s="1"/>
  <c r="Y117" i="50"/>
  <c r="X27" i="10"/>
  <c r="Z87" i="18"/>
  <c r="Z88" i="18" s="1"/>
  <c r="AA117" i="50"/>
  <c r="Z27" i="10"/>
  <c r="AD79" i="10"/>
  <c r="AD82" i="18"/>
  <c r="Y84" i="10"/>
  <c r="AA13" i="10"/>
  <c r="AA48" i="10"/>
  <c r="AA63" i="10"/>
  <c r="AA64" i="10" s="1"/>
  <c r="AA26" i="10"/>
  <c r="X14" i="10"/>
  <c r="Y113" i="50"/>
  <c r="Y87" i="18"/>
  <c r="Y88" i="18" s="1"/>
  <c r="Z106" i="50" s="1"/>
  <c r="Z107" i="50" s="1"/>
  <c r="AB83" i="18"/>
  <c r="X50" i="18"/>
  <c r="Y84" i="50"/>
  <c r="Y101" i="50" s="1"/>
  <c r="AA120" i="50"/>
  <c r="Z49" i="10"/>
  <c r="Y81" i="50"/>
  <c r="Y98" i="50" s="1"/>
  <c r="X27" i="18"/>
  <c r="AA49" i="18"/>
  <c r="AA13" i="18"/>
  <c r="AA26" i="18"/>
  <c r="AA74" i="18"/>
  <c r="AA75" i="18" s="1"/>
  <c r="AD78" i="10"/>
  <c r="AD81" i="18"/>
  <c r="AF194" i="17"/>
  <c r="AF200" i="17" s="1"/>
  <c r="AF196" i="17"/>
  <c r="AF202" i="17" s="1"/>
  <c r="AF217" i="17" s="1"/>
  <c r="AF193" i="17"/>
  <c r="AF199" i="17" s="1"/>
  <c r="AF195" i="17"/>
  <c r="AF201" i="17" s="1"/>
  <c r="AF216" i="17" s="1"/>
  <c r="AF51" i="35"/>
  <c r="P62" i="1"/>
  <c r="Q62" i="1" s="1"/>
  <c r="B46" i="35"/>
  <c r="B47" i="35" s="1"/>
  <c r="B81" i="17"/>
  <c r="AG81" i="17" s="1"/>
  <c r="AC73" i="10" l="1"/>
  <c r="AC76" i="10" s="1"/>
  <c r="AA106" i="50"/>
  <c r="AA107" i="50" s="1"/>
  <c r="AD208" i="17"/>
  <c r="AD210" i="17" s="1"/>
  <c r="AD215" i="17" s="1"/>
  <c r="AD80" i="18" s="1"/>
  <c r="AB26" i="10"/>
  <c r="AB27" i="10" s="1"/>
  <c r="AB13" i="10"/>
  <c r="AC113" i="50" s="1"/>
  <c r="AB48" i="10"/>
  <c r="AC120" i="50" s="1"/>
  <c r="AB63" i="10"/>
  <c r="AB64" i="10" s="1"/>
  <c r="AC80" i="18"/>
  <c r="AC83" i="18" s="1"/>
  <c r="AC80" i="10"/>
  <c r="AC48" i="10" s="1"/>
  <c r="AA27" i="10"/>
  <c r="H117" i="51"/>
  <c r="AB117" i="50"/>
  <c r="AF82" i="18"/>
  <c r="AF79" i="10"/>
  <c r="AD209" i="17"/>
  <c r="AD211" i="17" s="1"/>
  <c r="AD214" i="17" s="1"/>
  <c r="AE81" i="18"/>
  <c r="AE78" i="10"/>
  <c r="Z84" i="10"/>
  <c r="AB84" i="50"/>
  <c r="AB101" i="50" s="1"/>
  <c r="H84" i="51"/>
  <c r="H101" i="51" s="1"/>
  <c r="AA50" i="18"/>
  <c r="AB49" i="10"/>
  <c r="AF205" i="17"/>
  <c r="AA27" i="18"/>
  <c r="AB81" i="50"/>
  <c r="AB98" i="50" s="1"/>
  <c r="H81" i="51"/>
  <c r="H98" i="51" s="1"/>
  <c r="H120" i="51"/>
  <c r="AA49" i="10"/>
  <c r="AB120" i="50"/>
  <c r="Z126" i="50"/>
  <c r="Z125" i="50" s="1"/>
  <c r="Y53" i="35"/>
  <c r="Y54" i="35" s="1"/>
  <c r="AE79" i="10"/>
  <c r="AE82" i="18"/>
  <c r="P63" i="1"/>
  <c r="AF52" i="35"/>
  <c r="AF81" i="18"/>
  <c r="AF78" i="10"/>
  <c r="H77" i="51"/>
  <c r="H94" i="51" s="1"/>
  <c r="AB77" i="50"/>
  <c r="AB94" i="50" s="1"/>
  <c r="AA14" i="18"/>
  <c r="AB74" i="18"/>
  <c r="AB75" i="18" s="1"/>
  <c r="AB49" i="18"/>
  <c r="AB26" i="18"/>
  <c r="AB13" i="18"/>
  <c r="X84" i="10"/>
  <c r="AB113" i="50"/>
  <c r="H113" i="51"/>
  <c r="AA14" i="10"/>
  <c r="X87" i="18"/>
  <c r="X88" i="18" s="1"/>
  <c r="Y106" i="50" s="1"/>
  <c r="Y107" i="50" s="1"/>
  <c r="AE205" i="17"/>
  <c r="B222" i="17"/>
  <c r="B220" i="17"/>
  <c r="B221" i="17"/>
  <c r="J62" i="1"/>
  <c r="K62" i="1" s="1"/>
  <c r="B51" i="35"/>
  <c r="B223" i="17"/>
  <c r="AC117" i="50" l="1"/>
  <c r="AB14" i="10"/>
  <c r="AB84" i="10" s="1"/>
  <c r="AD77" i="10"/>
  <c r="AC26" i="10"/>
  <c r="AC27" i="10" s="1"/>
  <c r="AC63" i="10"/>
  <c r="AC64" i="10" s="1"/>
  <c r="AC13" i="10"/>
  <c r="AD113" i="50" s="1"/>
  <c r="AA87" i="18"/>
  <c r="AA88" i="18" s="1"/>
  <c r="AB106" i="50" s="1"/>
  <c r="AB107" i="50" s="1"/>
  <c r="AB14" i="18"/>
  <c r="AC77" i="50"/>
  <c r="AC94" i="50" s="1"/>
  <c r="AD120" i="50"/>
  <c r="AC49" i="10"/>
  <c r="AE208" i="17"/>
  <c r="AE207" i="17"/>
  <c r="AC81" i="50"/>
  <c r="AC98" i="50" s="1"/>
  <c r="AB27" i="18"/>
  <c r="AD73" i="10"/>
  <c r="AD76" i="10" s="1"/>
  <c r="AD79" i="18"/>
  <c r="AD83" i="18" s="1"/>
  <c r="AB50" i="18"/>
  <c r="AC84" i="50"/>
  <c r="AC101" i="50" s="1"/>
  <c r="Q63" i="1"/>
  <c r="P64" i="1"/>
  <c r="Z53" i="35"/>
  <c r="Z54" i="35" s="1"/>
  <c r="AA126" i="50"/>
  <c r="AA125" i="50" s="1"/>
  <c r="X53" i="35"/>
  <c r="X54" i="35" s="1"/>
  <c r="Y126" i="50"/>
  <c r="Y125" i="50" s="1"/>
  <c r="AA84" i="10"/>
  <c r="AC26" i="18"/>
  <c r="AC13" i="18"/>
  <c r="AC74" i="18"/>
  <c r="AC75" i="18" s="1"/>
  <c r="AC49" i="18"/>
  <c r="AF208" i="17"/>
  <c r="AF207" i="17"/>
  <c r="B52" i="35"/>
  <c r="J63" i="1"/>
  <c r="B195" i="17"/>
  <c r="B201" i="17" s="1"/>
  <c r="B216" i="17" s="1"/>
  <c r="B196" i="17"/>
  <c r="B202" i="17" s="1"/>
  <c r="B217" i="17" s="1"/>
  <c r="B194" i="17"/>
  <c r="B200" i="17" s="1"/>
  <c r="B199" i="17"/>
  <c r="AD117" i="50" l="1"/>
  <c r="AC14" i="10"/>
  <c r="AC84" i="10" s="1"/>
  <c r="AD80" i="10"/>
  <c r="AD63" i="10" s="1"/>
  <c r="AD64" i="10" s="1"/>
  <c r="H106" i="51"/>
  <c r="H107" i="51" s="1"/>
  <c r="AB87" i="18"/>
  <c r="AB88" i="18" s="1"/>
  <c r="AC106" i="50" s="1"/>
  <c r="AC107" i="50" s="1"/>
  <c r="AC50" i="18"/>
  <c r="AD84" i="50"/>
  <c r="AD101" i="50" s="1"/>
  <c r="H126" i="51"/>
  <c r="H125" i="51" s="1"/>
  <c r="AB126" i="50"/>
  <c r="AB125" i="50" s="1"/>
  <c r="AA53" i="35"/>
  <c r="AA54" i="35" s="1"/>
  <c r="AD26" i="10"/>
  <c r="AF210" i="17"/>
  <c r="AF215" i="17" s="1"/>
  <c r="AF209" i="17"/>
  <c r="AF211" i="17" s="1"/>
  <c r="AF214" i="17" s="1"/>
  <c r="AC126" i="50"/>
  <c r="AC125" i="50" s="1"/>
  <c r="AB53" i="35"/>
  <c r="AB54" i="35" s="1"/>
  <c r="AD81" i="50"/>
  <c r="AD98" i="50" s="1"/>
  <c r="AC27" i="18"/>
  <c r="AD26" i="18"/>
  <c r="AD13" i="18"/>
  <c r="AD74" i="18"/>
  <c r="AD75" i="18" s="1"/>
  <c r="AD49" i="18"/>
  <c r="AC14" i="18"/>
  <c r="AD77" i="50"/>
  <c r="AD94" i="50" s="1"/>
  <c r="AE210" i="17"/>
  <c r="AE215" i="17" s="1"/>
  <c r="AE209" i="17"/>
  <c r="AE211" i="17" s="1"/>
  <c r="AE214" i="17" s="1"/>
  <c r="B78" i="10"/>
  <c r="B81" i="18"/>
  <c r="B79" i="10"/>
  <c r="B82" i="18"/>
  <c r="J64" i="1"/>
  <c r="K63" i="1"/>
  <c r="B205" i="17"/>
  <c r="AD13" i="10" l="1"/>
  <c r="AD14" i="10" s="1"/>
  <c r="AD48" i="10"/>
  <c r="AE120" i="50" s="1"/>
  <c r="AE73" i="10"/>
  <c r="AE76" i="10" s="1"/>
  <c r="AE79" i="18"/>
  <c r="AF80" i="18"/>
  <c r="AF77" i="10"/>
  <c r="AF73" i="10"/>
  <c r="AF76" i="10" s="1"/>
  <c r="AF79" i="18"/>
  <c r="AE77" i="50"/>
  <c r="AE94" i="50" s="1"/>
  <c r="AD14" i="18"/>
  <c r="AC53" i="35"/>
  <c r="AC54" i="35" s="1"/>
  <c r="AD126" i="50"/>
  <c r="AD125" i="50" s="1"/>
  <c r="AD27" i="10"/>
  <c r="AE117" i="50"/>
  <c r="AD50" i="18"/>
  <c r="AE84" i="50"/>
  <c r="AE101" i="50" s="1"/>
  <c r="AE113" i="50"/>
  <c r="AE80" i="18"/>
  <c r="AE77" i="10"/>
  <c r="AC87" i="18"/>
  <c r="AC88" i="18" s="1"/>
  <c r="AD106" i="50" s="1"/>
  <c r="AD107" i="50" s="1"/>
  <c r="AE81" i="50"/>
  <c r="AE98" i="50" s="1"/>
  <c r="AD27" i="18"/>
  <c r="B207" i="17"/>
  <c r="B208" i="17" s="1"/>
  <c r="AD49" i="10" l="1"/>
  <c r="AD84" i="10" s="1"/>
  <c r="AD53" i="35" s="1"/>
  <c r="AD54" i="35" s="1"/>
  <c r="AF83" i="18"/>
  <c r="AF74" i="18" s="1"/>
  <c r="AF80" i="10"/>
  <c r="AD87" i="18"/>
  <c r="AD88" i="18" s="1"/>
  <c r="AE106" i="50" s="1"/>
  <c r="AE107" i="50" s="1"/>
  <c r="AE83" i="18"/>
  <c r="AE80" i="10"/>
  <c r="B210" i="17"/>
  <c r="B215" i="17" s="1"/>
  <c r="B209" i="17"/>
  <c r="AF75" i="18" l="1"/>
  <c r="T39" i="1" s="1"/>
  <c r="W39" i="1" s="1"/>
  <c r="B211" i="17"/>
  <c r="B214" i="17" s="1"/>
  <c r="AE126" i="50"/>
  <c r="AE125" i="50" s="1"/>
  <c r="AF26" i="18"/>
  <c r="AF49" i="18"/>
  <c r="AF13" i="18"/>
  <c r="T42" i="1"/>
  <c r="AE13" i="10"/>
  <c r="AE26" i="10"/>
  <c r="AE63" i="10"/>
  <c r="AE64" i="10" s="1"/>
  <c r="AE48" i="10"/>
  <c r="AE49" i="18"/>
  <c r="AE13" i="18"/>
  <c r="AE74" i="18"/>
  <c r="AE75" i="18" s="1"/>
  <c r="AE26" i="18"/>
  <c r="AF63" i="10"/>
  <c r="AF64" i="10" s="1"/>
  <c r="K51" i="1" s="1"/>
  <c r="AF26" i="10"/>
  <c r="AF48" i="10"/>
  <c r="AF13" i="10"/>
  <c r="B80" i="18"/>
  <c r="B77" i="10"/>
  <c r="AF14" i="18" l="1"/>
  <c r="T36" i="1" s="1"/>
  <c r="I84" i="51"/>
  <c r="I101" i="51" s="1"/>
  <c r="AF27" i="18"/>
  <c r="T37" i="1" s="1"/>
  <c r="V37" i="1" s="1"/>
  <c r="U39" i="1"/>
  <c r="B73" i="10"/>
  <c r="B76" i="10" s="1"/>
  <c r="B80" i="10" s="1"/>
  <c r="B79" i="18"/>
  <c r="B83" i="18" s="1"/>
  <c r="K42" i="1" s="1"/>
  <c r="V39" i="1"/>
  <c r="W42" i="1"/>
  <c r="V42" i="1"/>
  <c r="AG84" i="50"/>
  <c r="AG101" i="50" s="1"/>
  <c r="I77" i="51"/>
  <c r="I94" i="51" s="1"/>
  <c r="AG81" i="50"/>
  <c r="AG98" i="50" s="1"/>
  <c r="AG77" i="50"/>
  <c r="AG94" i="50" s="1"/>
  <c r="I81" i="51"/>
  <c r="I98" i="51" s="1"/>
  <c r="AF50" i="18"/>
  <c r="AE49" i="10"/>
  <c r="AF120" i="50"/>
  <c r="I117" i="51"/>
  <c r="AF27" i="10"/>
  <c r="K49" i="1" s="1"/>
  <c r="AG117" i="50"/>
  <c r="AF77" i="50"/>
  <c r="AF94" i="50" s="1"/>
  <c r="AE14" i="18"/>
  <c r="AE50" i="18"/>
  <c r="AF84" i="50"/>
  <c r="AF101" i="50" s="1"/>
  <c r="AF117" i="50"/>
  <c r="AE27" i="10"/>
  <c r="I120" i="51"/>
  <c r="AF49" i="10"/>
  <c r="K50" i="1" s="1"/>
  <c r="AG120" i="50"/>
  <c r="AG113" i="50"/>
  <c r="AF14" i="10"/>
  <c r="I113" i="51"/>
  <c r="AE27" i="18"/>
  <c r="AF81" i="50"/>
  <c r="AF98" i="50" s="1"/>
  <c r="AE14" i="10"/>
  <c r="AF113" i="50"/>
  <c r="U38" i="1" l="1"/>
  <c r="U37" i="1"/>
  <c r="U36" i="1"/>
  <c r="AF87" i="18"/>
  <c r="W37" i="1"/>
  <c r="T38" i="1"/>
  <c r="W38" i="1" s="1"/>
  <c r="W36" i="1"/>
  <c r="V36" i="1"/>
  <c r="AE84" i="10"/>
  <c r="AE87" i="18"/>
  <c r="AE88" i="18" s="1"/>
  <c r="AF106" i="50" s="1"/>
  <c r="AF107" i="50" s="1"/>
  <c r="AF84" i="10"/>
  <c r="K48" i="1"/>
  <c r="K53" i="1" s="1"/>
  <c r="B26" i="10"/>
  <c r="B48" i="10"/>
  <c r="B63" i="10"/>
  <c r="B64" i="10" s="1"/>
  <c r="I51" i="1" s="1"/>
  <c r="B13" i="10"/>
  <c r="B26" i="18"/>
  <c r="AG26" i="18" s="1"/>
  <c r="B49" i="18"/>
  <c r="AG49" i="18" s="1"/>
  <c r="B13" i="18"/>
  <c r="AG13" i="18" s="1"/>
  <c r="J42" i="1"/>
  <c r="L42" i="1" s="1"/>
  <c r="B74" i="18"/>
  <c r="U40" i="1" l="1"/>
  <c r="AF88" i="18"/>
  <c r="I106" i="51" s="1"/>
  <c r="I107" i="51" s="1"/>
  <c r="B75" i="18"/>
  <c r="AG75" i="18" s="1"/>
  <c r="AG74" i="18"/>
  <c r="V38" i="1"/>
  <c r="M42" i="1"/>
  <c r="AE53" i="35"/>
  <c r="AE54" i="35" s="1"/>
  <c r="AF126" i="50"/>
  <c r="AF125" i="50" s="1"/>
  <c r="I126" i="51"/>
  <c r="I125" i="51" s="1"/>
  <c r="K52" i="1"/>
  <c r="AG126" i="50"/>
  <c r="AG125" i="50" s="1"/>
  <c r="AF53" i="35"/>
  <c r="AF54" i="35" s="1"/>
  <c r="C77" i="50"/>
  <c r="C94" i="50" s="1"/>
  <c r="B14" i="18"/>
  <c r="C77" i="51"/>
  <c r="C94" i="51" s="1"/>
  <c r="C113" i="50"/>
  <c r="B14" i="10"/>
  <c r="C113" i="51"/>
  <c r="C84" i="51"/>
  <c r="C101" i="51" s="1"/>
  <c r="C84" i="50"/>
  <c r="C101" i="50" s="1"/>
  <c r="B50" i="18"/>
  <c r="C81" i="50"/>
  <c r="C98" i="50" s="1"/>
  <c r="C81" i="51"/>
  <c r="C98" i="51" s="1"/>
  <c r="B27" i="18"/>
  <c r="B49" i="10"/>
  <c r="I50" i="1" s="1"/>
  <c r="C120" i="50"/>
  <c r="C120" i="51"/>
  <c r="B27" i="10"/>
  <c r="I49" i="1" s="1"/>
  <c r="C117" i="50"/>
  <c r="C117" i="51"/>
  <c r="AG106" i="50" l="1"/>
  <c r="AG107" i="50" s="1"/>
  <c r="K39" i="1"/>
  <c r="K36" i="1"/>
  <c r="AG14" i="18"/>
  <c r="K37" i="1"/>
  <c r="AG27" i="18"/>
  <c r="K38" i="1"/>
  <c r="AG50" i="18"/>
  <c r="T40" i="1"/>
  <c r="B87" i="18"/>
  <c r="AG87" i="18" s="1"/>
  <c r="Q48" i="1"/>
  <c r="K54" i="1"/>
  <c r="Q52" i="1"/>
  <c r="Q51" i="1"/>
  <c r="Q50" i="1"/>
  <c r="Q49" i="1"/>
  <c r="Q53" i="1"/>
  <c r="B84" i="10"/>
  <c r="I48" i="1"/>
  <c r="I53" i="1" s="1"/>
  <c r="J36" i="1"/>
  <c r="J38" i="1"/>
  <c r="J37" i="1"/>
  <c r="J39" i="1"/>
  <c r="K40" i="1" l="1"/>
  <c r="V40" i="1"/>
  <c r="W40" i="1"/>
  <c r="T43" i="1"/>
  <c r="M38" i="1"/>
  <c r="L38" i="1"/>
  <c r="M39" i="1"/>
  <c r="L39" i="1"/>
  <c r="M36" i="1"/>
  <c r="L36" i="1"/>
  <c r="M37" i="1"/>
  <c r="L37" i="1"/>
  <c r="B88" i="18"/>
  <c r="AG88" i="18" s="1"/>
  <c r="C126" i="50"/>
  <c r="C125" i="50" s="1"/>
  <c r="B53" i="35"/>
  <c r="B54" i="35" s="1"/>
  <c r="I52" i="1"/>
  <c r="C126" i="51"/>
  <c r="C125" i="51" s="1"/>
  <c r="V43" i="1" l="1"/>
  <c r="W43" i="1"/>
  <c r="O48" i="1"/>
  <c r="O52" i="1"/>
  <c r="O50" i="1"/>
  <c r="O53" i="1"/>
  <c r="O51" i="1"/>
  <c r="I54" i="1"/>
  <c r="O49" i="1"/>
  <c r="C106" i="51"/>
  <c r="C107" i="51" s="1"/>
  <c r="J40" i="1"/>
  <c r="C106" i="50"/>
  <c r="C107" i="50" s="1"/>
  <c r="L40" i="1" l="1"/>
  <c r="J43" i="1"/>
  <c r="M40" i="1"/>
  <c r="M43" i="1" l="1"/>
  <c r="L43" i="1"/>
</calcChain>
</file>

<file path=xl/comments1.xml><?xml version="1.0" encoding="utf-8"?>
<comments xmlns="http://schemas.openxmlformats.org/spreadsheetml/2006/main">
  <authors>
    <author>GREG NOTHSTEIN</author>
    <author>Nothstein, Greg (COM)</author>
  </authors>
  <commentList>
    <comment ref="C8" authorId="0" shapeId="0">
      <text>
        <r>
          <rPr>
            <b/>
            <sz val="9"/>
            <color indexed="81"/>
            <rFont val="Tahoma"/>
            <family val="2"/>
          </rPr>
          <t>GREG NOTHSTEIN:</t>
        </r>
        <r>
          <rPr>
            <sz val="9"/>
            <color indexed="81"/>
            <rFont val="Tahoma"/>
            <family val="2"/>
          </rPr>
          <t xml:space="preserve">
Default values are loosely based on BC carbon tax scheme. BC max value has recently been raised to $50CN/MT.</t>
        </r>
      </text>
    </comment>
    <comment ref="H41" authorId="1" shapeId="0">
      <text>
        <r>
          <rPr>
            <b/>
            <sz val="9"/>
            <color indexed="81"/>
            <rFont val="Tahoma"/>
            <family val="2"/>
          </rPr>
          <t>Nothstein, Greg (COM):</t>
        </r>
        <r>
          <rPr>
            <sz val="9"/>
            <color indexed="81"/>
            <rFont val="Tahoma"/>
            <family val="2"/>
          </rPr>
          <t xml:space="preserve">
Approx. state emission target.</t>
        </r>
      </text>
    </comment>
    <comment ref="H43" authorId="1" shapeId="0">
      <text>
        <r>
          <rPr>
            <b/>
            <sz val="9"/>
            <color indexed="81"/>
            <rFont val="Tahoma"/>
            <family val="2"/>
          </rPr>
          <t>Nothstein, Greg (COM):</t>
        </r>
        <r>
          <rPr>
            <sz val="9"/>
            <color indexed="81"/>
            <rFont val="Tahoma"/>
            <family val="2"/>
          </rPr>
          <t xml:space="preserve">
metric tons per capita
</t>
        </r>
      </text>
    </comment>
    <comment ref="H73" authorId="1"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H76" authorId="1" shapeId="0">
      <text>
        <r>
          <rPr>
            <b/>
            <sz val="9"/>
            <color indexed="81"/>
            <rFont val="Tahoma"/>
            <family val="2"/>
          </rPr>
          <t>Nothstein, Greg (COM):</t>
        </r>
        <r>
          <rPr>
            <sz val="9"/>
            <color indexed="81"/>
            <rFont val="Tahoma"/>
            <family val="2"/>
          </rPr>
          <t xml:space="preserve">
See comment for marine residual</t>
        </r>
      </text>
    </comment>
  </commentList>
</comments>
</file>

<file path=xl/comments10.xml><?xml version="1.0" encoding="utf-8"?>
<comments xmlns="http://schemas.openxmlformats.org/spreadsheetml/2006/main">
  <authors>
    <author>Nothstein, Greg (COM)</author>
  </authors>
  <commentList>
    <comment ref="A11" authorId="0" shapeId="0">
      <text>
        <r>
          <rPr>
            <b/>
            <sz val="9"/>
            <color indexed="81"/>
            <rFont val="Tahoma"/>
            <family val="2"/>
          </rPr>
          <t>Nothstein, Greg (COM):</t>
        </r>
        <r>
          <rPr>
            <sz val="9"/>
            <color indexed="81"/>
            <rFont val="Tahoma"/>
            <family val="2"/>
          </rPr>
          <t xml:space="preserve">
Sector specific adjustments to natural gas and distillate calcs</t>
        </r>
      </text>
    </comment>
    <comment ref="A23" authorId="0" shapeId="0">
      <text>
        <r>
          <rPr>
            <b/>
            <sz val="9"/>
            <color indexed="81"/>
            <rFont val="Tahoma"/>
            <family val="2"/>
          </rPr>
          <t>Nothstein, Greg (COM):</t>
        </r>
        <r>
          <rPr>
            <sz val="9"/>
            <color indexed="81"/>
            <rFont val="Tahoma"/>
            <family val="2"/>
          </rPr>
          <t xml:space="preserve">
Sector specific adjustments to natural gas and distillate calcs</t>
        </r>
      </text>
    </comment>
    <comment ref="A36" authorId="0" shapeId="0">
      <text>
        <r>
          <rPr>
            <b/>
            <sz val="9"/>
            <color indexed="81"/>
            <rFont val="Tahoma"/>
            <family val="2"/>
          </rPr>
          <t>Nothstein, Greg (COM):</t>
        </r>
        <r>
          <rPr>
            <sz val="9"/>
            <color indexed="81"/>
            <rFont val="Tahoma"/>
            <family val="2"/>
          </rPr>
          <t xml:space="preserve">
Now included in emission calc, LPG emission rate.</t>
        </r>
      </text>
    </comment>
    <comment ref="A37" authorId="0" shapeId="0">
      <text>
        <r>
          <rPr>
            <b/>
            <sz val="9"/>
            <color indexed="81"/>
            <rFont val="Tahoma"/>
            <family val="2"/>
          </rPr>
          <t>Nothstein, Greg (COM):</t>
        </r>
        <r>
          <rPr>
            <sz val="9"/>
            <color indexed="81"/>
            <rFont val="Tahoma"/>
            <family val="2"/>
          </rPr>
          <t xml:space="preserve">
 Previous calc for nat. gas was under performing relative to actual data. Altered proration tech. in prequel CTAM spreadsheet. Increase by approx. 10%.</t>
        </r>
      </text>
    </comment>
    <comment ref="A55" authorId="0" shapeId="0">
      <text>
        <r>
          <rPr>
            <b/>
            <sz val="9"/>
            <color indexed="81"/>
            <rFont val="Tahoma"/>
            <family val="2"/>
          </rPr>
          <t>Nothstein, Greg (COM):</t>
        </r>
        <r>
          <rPr>
            <sz val="9"/>
            <color indexed="81"/>
            <rFont val="Tahoma"/>
            <family val="2"/>
          </rPr>
          <t xml:space="preserve">
Adjustment for 10% ethanol content (no emissions for ethanol) is done in CTAM forecast spreadsheet.</t>
        </r>
      </text>
    </comment>
    <comment ref="A57" authorId="0" shapeId="0">
      <text>
        <r>
          <rPr>
            <b/>
            <sz val="9"/>
            <color indexed="81"/>
            <rFont val="Tahoma"/>
            <family val="2"/>
          </rPr>
          <t>Nothstein, Greg (COM):</t>
        </r>
        <r>
          <rPr>
            <sz val="9"/>
            <color indexed="81"/>
            <rFont val="Tahoma"/>
            <family val="2"/>
          </rPr>
          <t xml:space="preserve"> Add adjustment for CA LCFS which is 10% carbon reduction by 2020. Assume CA is 2/3 of Pacific region
</t>
        </r>
      </text>
    </comment>
    <comment ref="A90" authorId="0" shapeId="0">
      <text>
        <r>
          <rPr>
            <b/>
            <sz val="9"/>
            <color indexed="81"/>
            <rFont val="Tahoma"/>
            <family val="2"/>
          </rPr>
          <t>Nothstein, Greg (COM):</t>
        </r>
        <r>
          <rPr>
            <sz val="9"/>
            <color indexed="81"/>
            <rFont val="Tahoma"/>
            <family val="2"/>
          </rPr>
          <t xml:space="preserve">
The heat rate trend for NG genr has been modified as the previous trend analysis was driving unrealistically low future rates. Efficiency improvements to new NG CCCTs are continuing, but are becoming smaller. In addition the observed historical rate declines in the NG fleet were driven by the retirement of inefficient older steam turbine power plants. This topic requires further research.</t>
        </r>
      </text>
    </comment>
  </commentList>
</comments>
</file>

<file path=xl/comments11.xml><?xml version="1.0" encoding="utf-8"?>
<comments xmlns="http://schemas.openxmlformats.org/spreadsheetml/2006/main">
  <authors>
    <author>Nothstein, Greg (COM)</author>
  </authors>
  <commentList>
    <comment ref="A11" authorId="0" shapeId="0">
      <text>
        <r>
          <rPr>
            <b/>
            <sz val="9"/>
            <color indexed="81"/>
            <rFont val="Tahoma"/>
            <family val="2"/>
          </rPr>
          <t>Nothstein, Greg (COM):</t>
        </r>
        <r>
          <rPr>
            <sz val="9"/>
            <color indexed="81"/>
            <rFont val="Tahoma"/>
            <family val="2"/>
          </rPr>
          <t xml:space="preserve">
Sector specific adjustments to natural gas and distillate calcs</t>
        </r>
      </text>
    </comment>
    <comment ref="A23" authorId="0" shapeId="0">
      <text>
        <r>
          <rPr>
            <b/>
            <sz val="9"/>
            <color indexed="81"/>
            <rFont val="Tahoma"/>
            <family val="2"/>
          </rPr>
          <t>Nothstein, Greg (COM):</t>
        </r>
        <r>
          <rPr>
            <sz val="9"/>
            <color indexed="81"/>
            <rFont val="Tahoma"/>
            <family val="2"/>
          </rPr>
          <t xml:space="preserve">
Sector specific adjustments to natural gas and distillate calcs</t>
        </r>
      </text>
    </comment>
    <comment ref="A37" authorId="0" shapeId="0">
      <text>
        <r>
          <rPr>
            <b/>
            <sz val="9"/>
            <color indexed="81"/>
            <rFont val="Tahoma"/>
            <family val="2"/>
          </rPr>
          <t>Nothstein, Greg (COM):</t>
        </r>
        <r>
          <rPr>
            <sz val="9"/>
            <color indexed="81"/>
            <rFont val="Tahoma"/>
            <family val="2"/>
          </rPr>
          <t xml:space="preserve">
EIA has changed this category. Switching to flared nat. gas emission factor from LPG. Note that national forecast method. Produces higher OP energy cons.</t>
        </r>
      </text>
    </comment>
    <comment ref="A38" authorId="0" shapeId="0">
      <text>
        <r>
          <rPr>
            <b/>
            <sz val="9"/>
            <color indexed="81"/>
            <rFont val="Tahoma"/>
            <family val="2"/>
          </rPr>
          <t>Nothstein, Greg (COM):</t>
        </r>
        <r>
          <rPr>
            <sz val="9"/>
            <color indexed="81"/>
            <rFont val="Tahoma"/>
            <family val="2"/>
          </rPr>
          <t xml:space="preserve">
Should use this in emission calc as lease and plant fuel # is not reported for WA. Pacific region lease and plant fuel # come from CA and AK (primarily), so previous approach was over calc. indust sector nat gas emissions. Replaced w/ new calc and used nat gas category and not nat. gas subtotal, line 38.</t>
        </r>
      </text>
    </comment>
    <comment ref="A66" authorId="0" shapeId="0">
      <text>
        <r>
          <rPr>
            <b/>
            <sz val="9"/>
            <color indexed="81"/>
            <rFont val="Tahoma"/>
            <family val="2"/>
          </rPr>
          <t>Nothstein, Greg (COM):</t>
        </r>
        <r>
          <rPr>
            <sz val="9"/>
            <color indexed="81"/>
            <rFont val="Tahoma"/>
            <family val="2"/>
          </rPr>
          <t xml:space="preserve">
Adjusted for ethanol in Mogas. 10% ethanol by 2016
</t>
        </r>
      </text>
    </comment>
  </commentList>
</comments>
</file>

<file path=xl/comments12.xml><?xml version="1.0" encoding="utf-8"?>
<comments xmlns="http://schemas.openxmlformats.org/spreadsheetml/2006/main">
  <authors>
    <author>Nothstein, Greg (COM)</author>
    <author>GREG NOTHSTEIN</author>
  </authors>
  <commentList>
    <comment ref="A29" authorId="0" shapeId="0">
      <text>
        <r>
          <rPr>
            <b/>
            <sz val="9"/>
            <color indexed="81"/>
            <rFont val="Tahoma"/>
            <family val="2"/>
          </rPr>
          <t>Nothstein, Greg (COM): apply transport motor gasoline price and tax ramp to commercial motor gasoline.</t>
        </r>
        <r>
          <rPr>
            <sz val="9"/>
            <color indexed="81"/>
            <rFont val="Tahoma"/>
            <family val="2"/>
          </rPr>
          <t xml:space="preserve">
</t>
        </r>
      </text>
    </comment>
    <comment ref="A49" authorId="0" shapeId="0">
      <text>
        <r>
          <rPr>
            <b/>
            <sz val="9"/>
            <color indexed="81"/>
            <rFont val="Tahoma"/>
            <family val="2"/>
          </rPr>
          <t>Nothstein, Greg (COM): apply transport motor gasoline price and tax ramp to industrial motor gasoline.</t>
        </r>
        <r>
          <rPr>
            <sz val="9"/>
            <color indexed="81"/>
            <rFont val="Tahoma"/>
            <family val="2"/>
          </rPr>
          <t xml:space="preserve">
</t>
        </r>
      </text>
    </comment>
    <comment ref="A53" authorId="0" shapeId="0">
      <text>
        <r>
          <rPr>
            <b/>
            <sz val="9"/>
            <color indexed="81"/>
            <rFont val="Tahoma"/>
            <family val="2"/>
          </rPr>
          <t>Nothstein, Greg (COM): apply industrial natural gas price and tax ramp to other petroleum.</t>
        </r>
        <r>
          <rPr>
            <sz val="9"/>
            <color indexed="81"/>
            <rFont val="Tahoma"/>
            <family val="2"/>
          </rPr>
          <t xml:space="preserve">
</t>
        </r>
      </text>
    </comment>
    <comment ref="A72" authorId="0" shapeId="0">
      <text>
        <r>
          <rPr>
            <b/>
            <sz val="9"/>
            <color indexed="81"/>
            <rFont val="Tahoma"/>
            <family val="2"/>
          </rPr>
          <t>Nothstein, Greg (COM):</t>
        </r>
        <r>
          <rPr>
            <sz val="9"/>
            <color indexed="81"/>
            <rFont val="Tahoma"/>
            <family val="2"/>
          </rPr>
          <t xml:space="preserve">
Adjustment for ethanol content of 10% is made in CTAM forecast spreadsheet.
</t>
        </r>
      </text>
    </comment>
    <comment ref="A210" authorId="1" shapeId="0">
      <text>
        <r>
          <rPr>
            <b/>
            <sz val="9"/>
            <color indexed="81"/>
            <rFont val="Tahoma"/>
            <family val="2"/>
          </rPr>
          <t>GREG NOTHSTEIN:</t>
        </r>
        <r>
          <rPr>
            <sz val="9"/>
            <color indexed="81"/>
            <rFont val="Tahoma"/>
            <family val="2"/>
          </rPr>
          <t xml:space="preserve">
Natural gas values are modified to account for the superior thermal efficiency of natural gas power plants.</t>
        </r>
      </text>
    </comment>
  </commentList>
</comments>
</file>

<file path=xl/comments13.xml><?xml version="1.0" encoding="utf-8"?>
<comments xmlns="http://schemas.openxmlformats.org/spreadsheetml/2006/main">
  <authors>
    <author>Nothstein, Greg (COM)</author>
  </authors>
  <commentList>
    <comment ref="A41" authorId="0" shapeId="0">
      <text>
        <r>
          <rPr>
            <b/>
            <sz val="9"/>
            <color indexed="81"/>
            <rFont val="Tahoma"/>
            <family val="2"/>
          </rPr>
          <t>Nothstein, Greg (COM):</t>
        </r>
        <r>
          <rPr>
            <sz val="9"/>
            <color indexed="81"/>
            <rFont val="Tahoma"/>
            <family val="2"/>
          </rPr>
          <t xml:space="preserve">
Not using nat. gas subtotal as this includes lease and plant fuel which WA does not consume.</t>
        </r>
      </text>
    </comment>
    <comment ref="A50" authorId="0" shapeId="0">
      <text>
        <r>
          <rPr>
            <b/>
            <sz val="9"/>
            <color indexed="81"/>
            <rFont val="Tahoma"/>
            <family val="2"/>
          </rPr>
          <t>Nothstein, Greg (COM):</t>
        </r>
        <r>
          <rPr>
            <sz val="9"/>
            <color indexed="81"/>
            <rFont val="Tahoma"/>
            <family val="2"/>
          </rPr>
          <t xml:space="preserve">
Exclude lease and plant fuel: not a category in WA</t>
        </r>
      </text>
    </comment>
  </commentList>
</comments>
</file>

<file path=xl/comments14.xml><?xml version="1.0" encoding="utf-8"?>
<comments xmlns="http://schemas.openxmlformats.org/spreadsheetml/2006/main">
  <authors>
    <author>Nothstein, Greg (COM)</author>
  </authors>
  <commentList>
    <comment ref="A72" authorId="0" shapeId="0">
      <text>
        <r>
          <rPr>
            <b/>
            <sz val="9"/>
            <color indexed="81"/>
            <rFont val="Tahoma"/>
            <family val="2"/>
          </rPr>
          <t>Nothstein, Greg (COM):</t>
        </r>
        <r>
          <rPr>
            <sz val="9"/>
            <color indexed="81"/>
            <rFont val="Tahoma"/>
            <family val="2"/>
          </rPr>
          <t xml:space="preserve">
Use this row in the elasticity of subs calculation. Exempt coal genr. is not impacted by tax, hence to subs effect.</t>
        </r>
      </text>
    </comment>
  </commentList>
</comments>
</file>

<file path=xl/comments2.xml><?xml version="1.0" encoding="utf-8"?>
<comments xmlns="http://schemas.openxmlformats.org/spreadsheetml/2006/main">
  <authors>
    <author>Nothstein, Greg (COM)</author>
  </authors>
  <commentList>
    <comment ref="A17"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20" authorId="0" shapeId="0">
      <text>
        <r>
          <rPr>
            <b/>
            <sz val="9"/>
            <color indexed="81"/>
            <rFont val="Tahoma"/>
            <family val="2"/>
          </rPr>
          <t>Nothstein, Greg (COM):</t>
        </r>
        <r>
          <rPr>
            <sz val="9"/>
            <color indexed="81"/>
            <rFont val="Tahoma"/>
            <family val="2"/>
          </rPr>
          <t xml:space="preserve">
See comment for marine residual</t>
        </r>
      </text>
    </comment>
    <comment ref="A34"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37" authorId="0" shapeId="0">
      <text>
        <r>
          <rPr>
            <b/>
            <sz val="9"/>
            <color indexed="81"/>
            <rFont val="Tahoma"/>
            <family val="2"/>
          </rPr>
          <t>Nothstein, Greg (COM):</t>
        </r>
        <r>
          <rPr>
            <sz val="9"/>
            <color indexed="81"/>
            <rFont val="Tahoma"/>
            <family val="2"/>
          </rPr>
          <t xml:space="preserve">
See comment for marine residual</t>
        </r>
      </text>
    </comment>
    <comment ref="A51"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54" authorId="0" shapeId="0">
      <text>
        <r>
          <rPr>
            <b/>
            <sz val="9"/>
            <color indexed="81"/>
            <rFont val="Tahoma"/>
            <family val="2"/>
          </rPr>
          <t>Nothstein, Greg (COM):</t>
        </r>
        <r>
          <rPr>
            <sz val="9"/>
            <color indexed="81"/>
            <rFont val="Tahoma"/>
            <family val="2"/>
          </rPr>
          <t xml:space="preserve">
See comment for marine residual</t>
        </r>
      </text>
    </comment>
    <comment ref="A68"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71" authorId="0" shapeId="0">
      <text>
        <r>
          <rPr>
            <b/>
            <sz val="9"/>
            <color indexed="81"/>
            <rFont val="Tahoma"/>
            <family val="2"/>
          </rPr>
          <t>Nothstein, Greg (COM):</t>
        </r>
        <r>
          <rPr>
            <sz val="9"/>
            <color indexed="81"/>
            <rFont val="Tahoma"/>
            <family val="2"/>
          </rPr>
          <t xml:space="preserve">
See comment for marine residual</t>
        </r>
      </text>
    </comment>
    <comment ref="A85"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88" authorId="0" shapeId="0">
      <text>
        <r>
          <rPr>
            <b/>
            <sz val="9"/>
            <color indexed="81"/>
            <rFont val="Tahoma"/>
            <family val="2"/>
          </rPr>
          <t>Nothstein, Greg (COM):</t>
        </r>
        <r>
          <rPr>
            <sz val="9"/>
            <color indexed="81"/>
            <rFont val="Tahoma"/>
            <family val="2"/>
          </rPr>
          <t xml:space="preserve">
See comment for marine residual</t>
        </r>
      </text>
    </comment>
    <comment ref="A102"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105" authorId="0" shapeId="0">
      <text>
        <r>
          <rPr>
            <b/>
            <sz val="9"/>
            <color indexed="81"/>
            <rFont val="Tahoma"/>
            <family val="2"/>
          </rPr>
          <t>Nothstein, Greg (COM):</t>
        </r>
        <r>
          <rPr>
            <sz val="9"/>
            <color indexed="81"/>
            <rFont val="Tahoma"/>
            <family val="2"/>
          </rPr>
          <t xml:space="preserve">
See comment for marine residual</t>
        </r>
      </text>
    </comment>
    <comment ref="A121"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124" authorId="0" shapeId="0">
      <text>
        <r>
          <rPr>
            <b/>
            <sz val="9"/>
            <color indexed="81"/>
            <rFont val="Tahoma"/>
            <family val="2"/>
          </rPr>
          <t>Nothstein, Greg (COM):</t>
        </r>
        <r>
          <rPr>
            <sz val="9"/>
            <color indexed="81"/>
            <rFont val="Tahoma"/>
            <family val="2"/>
          </rPr>
          <t xml:space="preserve">
See comment for marine residual</t>
        </r>
      </text>
    </comment>
  </commentList>
</comments>
</file>

<file path=xl/comments3.xml><?xml version="1.0" encoding="utf-8"?>
<comments xmlns="http://schemas.openxmlformats.org/spreadsheetml/2006/main">
  <authors>
    <author>Nothstein, Greg (COM)</author>
  </authors>
  <commentList>
    <comment ref="A17"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20" authorId="0" shapeId="0">
      <text>
        <r>
          <rPr>
            <b/>
            <sz val="9"/>
            <color indexed="81"/>
            <rFont val="Tahoma"/>
            <family val="2"/>
          </rPr>
          <t>Nothstein, Greg (COM):</t>
        </r>
        <r>
          <rPr>
            <sz val="9"/>
            <color indexed="81"/>
            <rFont val="Tahoma"/>
            <family val="2"/>
          </rPr>
          <t xml:space="preserve">
See comment for marine residual</t>
        </r>
      </text>
    </comment>
    <comment ref="A34"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37" authorId="0" shapeId="0">
      <text>
        <r>
          <rPr>
            <b/>
            <sz val="9"/>
            <color indexed="81"/>
            <rFont val="Tahoma"/>
            <family val="2"/>
          </rPr>
          <t>Nothstein, Greg (COM):</t>
        </r>
        <r>
          <rPr>
            <sz val="9"/>
            <color indexed="81"/>
            <rFont val="Tahoma"/>
            <family val="2"/>
          </rPr>
          <t xml:space="preserve">
See comment for marine residual</t>
        </r>
      </text>
    </comment>
    <comment ref="A51"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54" authorId="0" shapeId="0">
      <text>
        <r>
          <rPr>
            <b/>
            <sz val="9"/>
            <color indexed="81"/>
            <rFont val="Tahoma"/>
            <family val="2"/>
          </rPr>
          <t>Nothstein, Greg (COM):</t>
        </r>
        <r>
          <rPr>
            <sz val="9"/>
            <color indexed="81"/>
            <rFont val="Tahoma"/>
            <family val="2"/>
          </rPr>
          <t xml:space="preserve">
See comment for marine residual</t>
        </r>
      </text>
    </comment>
    <comment ref="A68"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71" authorId="0" shapeId="0">
      <text>
        <r>
          <rPr>
            <b/>
            <sz val="9"/>
            <color indexed="81"/>
            <rFont val="Tahoma"/>
            <family val="2"/>
          </rPr>
          <t>Nothstein, Greg (COM):</t>
        </r>
        <r>
          <rPr>
            <sz val="9"/>
            <color indexed="81"/>
            <rFont val="Tahoma"/>
            <family val="2"/>
          </rPr>
          <t xml:space="preserve">
See comment for marine residual</t>
        </r>
      </text>
    </comment>
    <comment ref="A85"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88" authorId="0" shapeId="0">
      <text>
        <r>
          <rPr>
            <b/>
            <sz val="9"/>
            <color indexed="81"/>
            <rFont val="Tahoma"/>
            <family val="2"/>
          </rPr>
          <t>Nothstein, Greg (COM):</t>
        </r>
        <r>
          <rPr>
            <sz val="9"/>
            <color indexed="81"/>
            <rFont val="Tahoma"/>
            <family val="2"/>
          </rPr>
          <t xml:space="preserve">
See comment for marine residual</t>
        </r>
      </text>
    </comment>
    <comment ref="A102"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105" authorId="0" shapeId="0">
      <text>
        <r>
          <rPr>
            <b/>
            <sz val="9"/>
            <color indexed="81"/>
            <rFont val="Tahoma"/>
            <family val="2"/>
          </rPr>
          <t>Nothstein, Greg (COM):</t>
        </r>
        <r>
          <rPr>
            <sz val="9"/>
            <color indexed="81"/>
            <rFont val="Tahoma"/>
            <family val="2"/>
          </rPr>
          <t xml:space="preserve">
See comment for marine residual</t>
        </r>
      </text>
    </comment>
    <comment ref="A121"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A124" authorId="0" shapeId="0">
      <text>
        <r>
          <rPr>
            <b/>
            <sz val="9"/>
            <color indexed="81"/>
            <rFont val="Tahoma"/>
            <family val="2"/>
          </rPr>
          <t>Nothstein, Greg (COM):</t>
        </r>
        <r>
          <rPr>
            <sz val="9"/>
            <color indexed="81"/>
            <rFont val="Tahoma"/>
            <family val="2"/>
          </rPr>
          <t xml:space="preserve">
See comment for marine residual</t>
        </r>
      </text>
    </comment>
  </commentList>
</comments>
</file>

<file path=xl/comments4.xml><?xml version="1.0" encoding="utf-8"?>
<comments xmlns="http://schemas.openxmlformats.org/spreadsheetml/2006/main">
  <authors>
    <author>Nothstein, Greg (COM)</author>
  </authors>
  <commentList>
    <comment ref="B93" authorId="0" shapeId="0">
      <text>
        <r>
          <rPr>
            <b/>
            <sz val="9"/>
            <color indexed="81"/>
            <rFont val="Tahoma"/>
            <family val="2"/>
          </rPr>
          <t>Nothstein, Greg (COM):</t>
        </r>
        <r>
          <rPr>
            <sz val="9"/>
            <color indexed="81"/>
            <rFont val="Tahoma"/>
            <family val="2"/>
          </rPr>
          <t xml:space="preserve">
EIA sites e85 as having an annual average of 73% ethanol.</t>
        </r>
      </text>
    </comment>
  </commentList>
</comments>
</file>

<file path=xl/comments5.xml><?xml version="1.0" encoding="utf-8"?>
<comments xmlns="http://schemas.openxmlformats.org/spreadsheetml/2006/main">
  <authors>
    <author>Nothstein, Greg (COM)</author>
    <author>GREG NOTHSTEIN</author>
  </authors>
  <commentList>
    <comment ref="B6" authorId="0" shapeId="0">
      <text>
        <r>
          <rPr>
            <b/>
            <sz val="9"/>
            <color indexed="81"/>
            <rFont val="Tahoma"/>
            <family val="2"/>
          </rPr>
          <t>Nothstein, Greg (COM): Includes elasticity values from newer studies</t>
        </r>
        <r>
          <rPr>
            <sz val="9"/>
            <color indexed="81"/>
            <rFont val="Tahoma"/>
            <family val="2"/>
          </rPr>
          <t xml:space="preserve">
</t>
        </r>
      </text>
    </comment>
    <comment ref="A14" authorId="0" shapeId="0">
      <text>
        <r>
          <rPr>
            <b/>
            <sz val="9"/>
            <color indexed="81"/>
            <rFont val="Tahoma"/>
            <family val="2"/>
          </rPr>
          <t>Nothstein, Greg (COM):</t>
        </r>
        <r>
          <rPr>
            <sz val="9"/>
            <color indexed="81"/>
            <rFont val="Tahoma"/>
            <family val="2"/>
          </rPr>
          <t xml:space="preserve">
</t>
        </r>
        <r>
          <rPr>
            <sz val="8"/>
            <color indexed="81"/>
            <rFont val="Tahoma"/>
            <family val="2"/>
          </rPr>
          <t xml:space="preserve">Source NWPCC 7th Plan inter-fuel elasticity values, model derived. Elec.- Nat gas cross est. elasticity, 0.050. Older value, likely low </t>
        </r>
      </text>
    </comment>
    <comment ref="A18" authorId="0" shapeId="0">
      <text>
        <r>
          <rPr>
            <b/>
            <sz val="9"/>
            <color indexed="81"/>
            <rFont val="Tahoma"/>
            <family val="2"/>
          </rPr>
          <t>Nothstein, Greg (COM):</t>
        </r>
        <r>
          <rPr>
            <sz val="9"/>
            <color indexed="81"/>
            <rFont val="Tahoma"/>
            <family val="2"/>
          </rPr>
          <t xml:space="preserve">
Reduced: natural gas is the primary backfill resource for coal closures.</t>
        </r>
      </text>
    </comment>
    <comment ref="A19" authorId="0" shapeId="0">
      <text>
        <r>
          <rPr>
            <b/>
            <sz val="9"/>
            <color indexed="81"/>
            <rFont val="Tahoma"/>
            <family val="2"/>
          </rPr>
          <t>Nothstein, Greg (COM):</t>
        </r>
        <r>
          <rPr>
            <sz val="9"/>
            <color indexed="81"/>
            <rFont val="Tahoma"/>
            <family val="2"/>
          </rPr>
          <t xml:space="preserve">
This is a substitution price elasticity: coal being replaced by nat. gas electric generation. It is a short term value. Source is EIA (2012)</t>
        </r>
      </text>
    </comment>
    <comment ref="A20" authorId="1" shapeId="0">
      <text>
        <r>
          <rPr>
            <b/>
            <sz val="9"/>
            <color indexed="81"/>
            <rFont val="Tahoma"/>
            <family val="2"/>
          </rPr>
          <t>GREG NOTHSTEIN:</t>
        </r>
        <r>
          <rPr>
            <sz val="9"/>
            <color indexed="81"/>
            <rFont val="Tahoma"/>
            <family val="2"/>
          </rPr>
          <t xml:space="preserve">
Set to WECC value. Natl. value is -0.11. EIA elasticity study used shorter timeline 2005-10. Subs elasticity may be low as coal vs gas price shifts were not fully realized by 2010.</t>
        </r>
      </text>
    </comment>
  </commentList>
</comments>
</file>

<file path=xl/comments6.xml><?xml version="1.0" encoding="utf-8"?>
<comments xmlns="http://schemas.openxmlformats.org/spreadsheetml/2006/main">
  <authors>
    <author>Nothstein, Greg (COM)</author>
  </authors>
  <commentList>
    <comment ref="A20" authorId="0" shapeId="0">
      <text>
        <r>
          <rPr>
            <b/>
            <sz val="9"/>
            <color indexed="81"/>
            <rFont val="Tahoma"/>
            <family val="2"/>
          </rPr>
          <t>Nothstein, Greg (COM):</t>
        </r>
        <r>
          <rPr>
            <sz val="9"/>
            <color indexed="81"/>
            <rFont val="Tahoma"/>
            <family val="2"/>
          </rPr>
          <t xml:space="preserve">
marine residual and jet fuel are not taxed unless toggles in Dashboard D25 and D26 are set to "Yes"</t>
        </r>
      </text>
    </comment>
    <comment ref="A23" authorId="0" shapeId="0">
      <text>
        <r>
          <rPr>
            <b/>
            <sz val="9"/>
            <color indexed="81"/>
            <rFont val="Tahoma"/>
            <family val="2"/>
          </rPr>
          <t>Nothstein, Greg (COM):</t>
        </r>
        <r>
          <rPr>
            <sz val="9"/>
            <color indexed="81"/>
            <rFont val="Tahoma"/>
            <family val="2"/>
          </rPr>
          <t xml:space="preserve">
marine residual and jet fuel are not taxed unless toggles in Dashboard D25 and D26 are set to "Yes"</t>
        </r>
      </text>
    </comment>
    <comment ref="A24" authorId="0" shapeId="0">
      <text>
        <r>
          <rPr>
            <b/>
            <sz val="9"/>
            <color indexed="81"/>
            <rFont val="Tahoma"/>
            <family val="2"/>
          </rPr>
          <t>Nothstein, Greg (COM):</t>
        </r>
        <r>
          <rPr>
            <sz val="9"/>
            <color indexed="81"/>
            <rFont val="Tahoma"/>
            <family val="2"/>
          </rPr>
          <t xml:space="preserve">
marine residual and jet fuel are not taxed unless toggles in Dashboard D25 and D26 are set to "Yes"</t>
        </r>
      </text>
    </comment>
  </commentList>
</comments>
</file>

<file path=xl/comments7.xml><?xml version="1.0" encoding="utf-8"?>
<comments xmlns="http://schemas.openxmlformats.org/spreadsheetml/2006/main">
  <authors>
    <author>Nothstein, Greg (COM)</author>
  </authors>
  <commentList>
    <comment ref="A10" authorId="0" shapeId="0">
      <text>
        <r>
          <rPr>
            <b/>
            <sz val="9"/>
            <color indexed="81"/>
            <rFont val="Tahoma"/>
            <family val="2"/>
          </rPr>
          <t>Nothstein, Greg (COM):</t>
        </r>
        <r>
          <rPr>
            <sz val="9"/>
            <color indexed="81"/>
            <rFont val="Tahoma"/>
            <family val="2"/>
          </rPr>
          <t xml:space="preserve">
Sector specific adjustments to natural gas and distillate calcs
</t>
        </r>
      </text>
    </comment>
    <comment ref="A20" authorId="0" shapeId="0">
      <text>
        <r>
          <rPr>
            <b/>
            <sz val="9"/>
            <color indexed="81"/>
            <rFont val="Tahoma"/>
            <family val="2"/>
          </rPr>
          <t xml:space="preserve">Nothstein, Greg (COM): </t>
        </r>
        <r>
          <rPr>
            <sz val="9"/>
            <color indexed="81"/>
            <rFont val="Tahoma"/>
            <family val="2"/>
          </rPr>
          <t>Sector specific adjustments to natural gas and distillate calcs</t>
        </r>
      </text>
    </comment>
    <comment ref="A28" authorId="0" shapeId="0">
      <text>
        <r>
          <rPr>
            <b/>
            <sz val="9"/>
            <color indexed="81"/>
            <rFont val="Tahoma"/>
            <family val="2"/>
          </rPr>
          <t>Nothstein, Greg (COM):</t>
        </r>
        <r>
          <rPr>
            <sz val="9"/>
            <color indexed="81"/>
            <rFont val="Tahoma"/>
            <family val="2"/>
          </rPr>
          <t xml:space="preserve">
New sector specific proration factor</t>
        </r>
      </text>
    </comment>
    <comment ref="A31" authorId="0" shapeId="0">
      <text>
        <r>
          <rPr>
            <b/>
            <sz val="9"/>
            <color indexed="81"/>
            <rFont val="Tahoma"/>
            <family val="2"/>
          </rPr>
          <t>Nothstein, Greg (COM):</t>
        </r>
        <r>
          <rPr>
            <sz val="9"/>
            <color indexed="81"/>
            <rFont val="Tahoma"/>
            <family val="2"/>
          </rPr>
          <t xml:space="preserve">
This cell has a formula in it - careful when updating consumption data. 
See "other petroleum" adjustment factor in cell B85. This removes non-energy products that are included in this category.</t>
        </r>
      </text>
    </comment>
    <comment ref="A32" authorId="0" shapeId="0">
      <text>
        <r>
          <rPr>
            <b/>
            <sz val="9"/>
            <color indexed="81"/>
            <rFont val="Tahoma"/>
            <family val="2"/>
          </rPr>
          <t>Nothstein, Greg (COM):</t>
        </r>
        <r>
          <rPr>
            <sz val="9"/>
            <color indexed="81"/>
            <rFont val="Tahoma"/>
            <family val="2"/>
          </rPr>
          <t xml:space="preserve">
 2005-2016 Nat gas from Energy Indicators</t>
        </r>
      </text>
    </comment>
    <comment ref="A34" authorId="0" shapeId="0">
      <text>
        <r>
          <rPr>
            <b/>
            <sz val="9"/>
            <color indexed="81"/>
            <rFont val="Tahoma"/>
            <family val="2"/>
          </rPr>
          <t>Nothstein, Greg (COM):</t>
        </r>
        <r>
          <rPr>
            <sz val="9"/>
            <color indexed="81"/>
            <rFont val="Tahoma"/>
            <family val="2"/>
          </rPr>
          <t xml:space="preserve">
Exclude lease plant fuel as WA does not use this category</t>
        </r>
      </text>
    </comment>
    <comment ref="A35" authorId="0" shapeId="0">
      <text>
        <r>
          <rPr>
            <b/>
            <sz val="9"/>
            <color indexed="81"/>
            <rFont val="Tahoma"/>
            <family val="2"/>
          </rPr>
          <t>Nothstein, Greg (COM):</t>
        </r>
        <r>
          <rPr>
            <sz val="9"/>
            <color indexed="81"/>
            <rFont val="Tahoma"/>
            <family val="2"/>
          </rPr>
          <t xml:space="preserve">
No longer using this nat. gas consumption # as it includes lease and plant fuel.
</t>
        </r>
      </text>
    </comment>
    <comment ref="A48" authorId="0" shapeId="0">
      <text>
        <r>
          <rPr>
            <b/>
            <sz val="9"/>
            <color rgb="FF000000"/>
            <rFont val="Tahoma"/>
            <family val="2"/>
          </rPr>
          <t>Nothstein, Greg (COM):</t>
        </r>
        <r>
          <rPr>
            <sz val="9"/>
            <color rgb="FF000000"/>
            <rFont val="Tahoma"/>
            <family val="2"/>
          </rPr>
          <t xml:space="preserve">
CA AB32 adjustments are now in the Forecast spreadsheet. Ethanol added to gasoline is now removed on an energy basis in the CTAM forecast spreadsheet.</t>
        </r>
      </text>
    </comment>
    <comment ref="A49" authorId="0" shapeId="0">
      <text>
        <r>
          <rPr>
            <b/>
            <sz val="9"/>
            <color indexed="81"/>
            <rFont val="Tahoma"/>
            <family val="2"/>
          </rPr>
          <t xml:space="preserve">Nothstein, Greg (COM): </t>
        </r>
        <r>
          <rPr>
            <sz val="9"/>
            <color indexed="81"/>
            <rFont val="Tahoma"/>
            <family val="2"/>
          </rPr>
          <t>Pasted in SEDS based WA energy indicator values (thru 2016) for the 4 primary transportation fuels.</t>
        </r>
      </text>
    </comment>
    <comment ref="A50" authorId="0" shapeId="0">
      <text>
        <r>
          <rPr>
            <b/>
            <sz val="9"/>
            <color indexed="81"/>
            <rFont val="Tahoma"/>
            <family val="2"/>
          </rPr>
          <t>Nothstein, Greg (COM):</t>
        </r>
        <r>
          <rPr>
            <sz val="9"/>
            <color indexed="81"/>
            <rFont val="Tahoma"/>
            <family val="2"/>
          </rPr>
          <t xml:space="preserve">
2005-16 Mogas, Jet, Dist from Energy Indicators</t>
        </r>
      </text>
    </comment>
  </commentList>
</comments>
</file>

<file path=xl/comments8.xml><?xml version="1.0" encoding="utf-8"?>
<comments xmlns="http://schemas.openxmlformats.org/spreadsheetml/2006/main">
  <authors>
    <author>Nothstein, Greg (COM)</author>
  </authors>
  <commentList>
    <comment ref="A32" authorId="0" shapeId="0">
      <text>
        <r>
          <rPr>
            <b/>
            <sz val="9"/>
            <color indexed="81"/>
            <rFont val="Tahoma"/>
            <family val="2"/>
          </rPr>
          <t>Nothstein, Greg (COM):</t>
        </r>
        <r>
          <rPr>
            <sz val="9"/>
            <color indexed="81"/>
            <rFont val="Tahoma"/>
            <family val="2"/>
          </rPr>
          <t xml:space="preserve">
2005-2016 Nat gas from Energy Indicators
</t>
        </r>
      </text>
    </comment>
    <comment ref="A48" authorId="0" shapeId="0">
      <text>
        <r>
          <rPr>
            <b/>
            <sz val="9"/>
            <color indexed="81"/>
            <rFont val="Tahoma"/>
            <family val="2"/>
          </rPr>
          <t>Nothstein, Greg (COM):</t>
        </r>
        <r>
          <rPr>
            <sz val="9"/>
            <color indexed="81"/>
            <rFont val="Tahoma"/>
            <family val="2"/>
          </rPr>
          <t xml:space="preserve">
2005-16 Mogas, Jet, Dist from Energy Indicators
</t>
        </r>
      </text>
    </comment>
  </commentList>
</comments>
</file>

<file path=xl/comments9.xml><?xml version="1.0" encoding="utf-8"?>
<comments xmlns="http://schemas.openxmlformats.org/spreadsheetml/2006/main">
  <authors>
    <author>Nothstein, Greg (COM)</author>
  </authors>
  <commentList>
    <comment ref="A32" authorId="0" shapeId="0">
      <text>
        <r>
          <rPr>
            <b/>
            <sz val="9"/>
            <color indexed="81"/>
            <rFont val="Tahoma"/>
            <family val="2"/>
          </rPr>
          <t>Nothstein, Greg (COM):</t>
        </r>
        <r>
          <rPr>
            <sz val="9"/>
            <color indexed="81"/>
            <rFont val="Tahoma"/>
            <family val="2"/>
          </rPr>
          <t xml:space="preserve">
2005-16 nat gas form Energy Indicators</t>
        </r>
      </text>
    </comment>
    <comment ref="A35" authorId="0" shapeId="0">
      <text>
        <r>
          <rPr>
            <b/>
            <sz val="9"/>
            <color indexed="81"/>
            <rFont val="Tahoma"/>
            <family val="2"/>
          </rPr>
          <t>Nothstein, Greg (COM):</t>
        </r>
        <r>
          <rPr>
            <sz val="9"/>
            <color indexed="81"/>
            <rFont val="Tahoma"/>
            <family val="2"/>
          </rPr>
          <t xml:space="preserve">
2005-2016 nat gas from Energy Indicators</t>
        </r>
      </text>
    </comment>
    <comment ref="A42" authorId="0" shapeId="0">
      <text>
        <r>
          <rPr>
            <b/>
            <sz val="9"/>
            <color indexed="81"/>
            <rFont val="Tahoma"/>
            <family val="2"/>
          </rPr>
          <t>Nothstein, Greg (COM):</t>
        </r>
        <r>
          <rPr>
            <sz val="9"/>
            <color indexed="81"/>
            <rFont val="Tahoma"/>
            <family val="2"/>
          </rPr>
          <t xml:space="preserve">
2005-16 from Energy Indicators</t>
        </r>
      </text>
    </comment>
    <comment ref="A48" authorId="0" shapeId="0">
      <text>
        <r>
          <rPr>
            <b/>
            <sz val="9"/>
            <color indexed="81"/>
            <rFont val="Tahoma"/>
            <family val="2"/>
          </rPr>
          <t>Nothstein, Greg (COM):</t>
        </r>
        <r>
          <rPr>
            <sz val="9"/>
            <color indexed="81"/>
            <rFont val="Tahoma"/>
            <family val="2"/>
          </rPr>
          <t xml:space="preserve">
2005-16 Mogas, Jet and Dist from Energy Indicators</t>
        </r>
      </text>
    </comment>
  </commentList>
</comments>
</file>

<file path=xl/sharedStrings.xml><?xml version="1.0" encoding="utf-8"?>
<sst xmlns="http://schemas.openxmlformats.org/spreadsheetml/2006/main" count="3631" uniqueCount="1499">
  <si>
    <t>Motor Gasoline</t>
  </si>
  <si>
    <t>Natural Gas</t>
  </si>
  <si>
    <t>Coal</t>
  </si>
  <si>
    <t>Jet Fuel</t>
  </si>
  <si>
    <t>Total</t>
  </si>
  <si>
    <t>Note</t>
  </si>
  <si>
    <t>Source</t>
  </si>
  <si>
    <t>Distillate Fuel</t>
  </si>
  <si>
    <t>Electricity</t>
  </si>
  <si>
    <t xml:space="preserve">Other selective sales   </t>
  </si>
  <si>
    <t xml:space="preserve">Motor vehicle license   </t>
  </si>
  <si>
    <t>US Census Bureau</t>
  </si>
  <si>
    <t xml:space="preserve">B&amp;O tax   </t>
  </si>
  <si>
    <t>Emission Factors</t>
  </si>
  <si>
    <t>Revenue</t>
  </si>
  <si>
    <t>cent/gallon</t>
  </si>
  <si>
    <t>Initial Rate</t>
  </si>
  <si>
    <t>Annual Increase</t>
  </si>
  <si>
    <t>Maximum Rate</t>
  </si>
  <si>
    <t/>
  </si>
  <si>
    <t xml:space="preserve"> Sector and Source</t>
  </si>
  <si>
    <t xml:space="preserve"> Residential</t>
  </si>
  <si>
    <t xml:space="preserve">   Liquefied Petroleum Gases</t>
  </si>
  <si>
    <t xml:space="preserve">   Distillate Fuel Oil</t>
  </si>
  <si>
    <t xml:space="preserve">   Natural Gas</t>
  </si>
  <si>
    <t xml:space="preserve">   Electricity</t>
  </si>
  <si>
    <t xml:space="preserve">     Total</t>
  </si>
  <si>
    <t xml:space="preserve"> Commercial</t>
  </si>
  <si>
    <t xml:space="preserve">   Motor Gasoline 2/</t>
  </si>
  <si>
    <t xml:space="preserve">   Residual Fuel Oil</t>
  </si>
  <si>
    <t xml:space="preserve"> Industrial 4/</t>
  </si>
  <si>
    <t xml:space="preserve">   Other Petroleum 5/</t>
  </si>
  <si>
    <t>- -</t>
  </si>
  <si>
    <t xml:space="preserve">   Lease and Plant Fuel 6/</t>
  </si>
  <si>
    <t xml:space="preserve">   Metallurgical Coal</t>
  </si>
  <si>
    <t xml:space="preserve">   Other Industrial Coal</t>
  </si>
  <si>
    <t xml:space="preserve"> Transportation</t>
  </si>
  <si>
    <t xml:space="preserve">   Jet Fuel 9/</t>
  </si>
  <si>
    <t xml:space="preserve">   Distillate Fuel Oil 10/</t>
  </si>
  <si>
    <t xml:space="preserve">   Steam Coal</t>
  </si>
  <si>
    <t xml:space="preserve">     Total 16/</t>
  </si>
  <si>
    <t>http://www.eia.doe.gov/oiaf/1605/emission_factors.html</t>
  </si>
  <si>
    <t>Residual Fuel</t>
  </si>
  <si>
    <t xml:space="preserve">   Residual Fuel</t>
  </si>
  <si>
    <t xml:space="preserve"> Industrial 1/</t>
  </si>
  <si>
    <t xml:space="preserve">   Natural Gas 2/</t>
  </si>
  <si>
    <t xml:space="preserve">   Coal to Liquids</t>
  </si>
  <si>
    <t xml:space="preserve">   Liquefied Petroleum Gases 3/</t>
  </si>
  <si>
    <t xml:space="preserve">   E85 4/</t>
  </si>
  <si>
    <t xml:space="preserve">   Motor Gasoline 5/</t>
  </si>
  <si>
    <t xml:space="preserve">   Jet Fuel 6/</t>
  </si>
  <si>
    <t xml:space="preserve">   Diesel Fuel (distillate fuel oil) 7/</t>
  </si>
  <si>
    <t xml:space="preserve">   Natural Gas 8/</t>
  </si>
  <si>
    <t>Baseline Consumption</t>
  </si>
  <si>
    <t xml:space="preserve">   Kerosene</t>
  </si>
  <si>
    <t xml:space="preserve">   Coal</t>
  </si>
  <si>
    <t xml:space="preserve">   Renewable Energy 1/</t>
  </si>
  <si>
    <t xml:space="preserve">   Renewable Energy 3/</t>
  </si>
  <si>
    <t xml:space="preserve">   Petrochemical Feedstocks</t>
  </si>
  <si>
    <t xml:space="preserve">   Natural-Gas-to-Liquids Heat and Power</t>
  </si>
  <si>
    <t xml:space="preserve">     Natural Gas Subtotal</t>
  </si>
  <si>
    <t xml:space="preserve">   Coal-to-Liquids Heat and Power</t>
  </si>
  <si>
    <t xml:space="preserve">   Net Coal Coke Imports</t>
  </si>
  <si>
    <t xml:space="preserve">     Coal Subtotal</t>
  </si>
  <si>
    <t xml:space="preserve">   Biofuels Heat and Coproducts</t>
  </si>
  <si>
    <t xml:space="preserve">   Renewable Energy 7/</t>
  </si>
  <si>
    <t xml:space="preserve">   E85 8/</t>
  </si>
  <si>
    <t xml:space="preserve">   Other Petroleum 11/</t>
  </si>
  <si>
    <t xml:space="preserve">   Pipeline Fuel Natural Gas</t>
  </si>
  <si>
    <t xml:space="preserve">   Compressed Natural Gas</t>
  </si>
  <si>
    <t xml:space="preserve">   Liquid Hydrogen</t>
  </si>
  <si>
    <t>Carbon Tax (per ton of CO2 emission)</t>
  </si>
  <si>
    <t>Ethanol (E85)</t>
  </si>
  <si>
    <t>LPG</t>
  </si>
  <si>
    <t>Ethanol</t>
  </si>
  <si>
    <t>Kerosene</t>
  </si>
  <si>
    <t>Residential</t>
  </si>
  <si>
    <t>Commercial</t>
  </si>
  <si>
    <t>Industrial</t>
  </si>
  <si>
    <t>Transportation</t>
  </si>
  <si>
    <t>Electricity Imports</t>
  </si>
  <si>
    <t>Cash Rebate</t>
  </si>
  <si>
    <t xml:space="preserve">Motor Fuel </t>
  </si>
  <si>
    <t>Author</t>
  </si>
  <si>
    <t>Revenue Fate</t>
  </si>
  <si>
    <t>State General Fund</t>
  </si>
  <si>
    <t>Property Tax Offset</t>
  </si>
  <si>
    <t>Sales Tax Offset</t>
  </si>
  <si>
    <t>B&amp;O Tax Offset</t>
  </si>
  <si>
    <t>Population</t>
  </si>
  <si>
    <t>Code</t>
  </si>
  <si>
    <t>Year</t>
  </si>
  <si>
    <t>Title</t>
  </si>
  <si>
    <t>State Motor Fuel</t>
  </si>
  <si>
    <t>Heating Oil</t>
  </si>
  <si>
    <t>Aircraft Fuel</t>
  </si>
  <si>
    <t>State Excise Tax Rate</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</si>
  <si>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</si>
  <si>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</si>
  <si>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</si>
  <si>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</si>
  <si>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</si>
  <si>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</si>
  <si>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</si>
  <si>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</si>
  <si>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</si>
  <si>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</si>
  <si>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</si>
  <si>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</si>
  <si>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</si>
  <si>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</si>
  <si>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</si>
  <si>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</si>
  <si>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</si>
  <si>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</si>
  <si>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</si>
  <si>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</si>
  <si>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</si>
  <si>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</si>
  <si>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Energy Information Administration</t>
  </si>
  <si>
    <t>Fuel Emission Factors</t>
  </si>
  <si>
    <t>Washington State Department of Licensing</t>
  </si>
  <si>
    <t>Fuel Tax</t>
  </si>
  <si>
    <t>Elasticity</t>
  </si>
  <si>
    <t>State Property Tax</t>
  </si>
  <si>
    <t xml:space="preserve">Retail Sales Tax  </t>
  </si>
  <si>
    <t>Motor Fuel</t>
  </si>
  <si>
    <t>Total State Personal Income</t>
  </si>
  <si>
    <t>State revenues grow at the same rate as the personal income growth forecasted by the Office of Financial Management</t>
  </si>
  <si>
    <t>million dollar</t>
  </si>
  <si>
    <t xml:space="preserve">   Property Tax (State Portion)</t>
  </si>
  <si>
    <t xml:space="preserve">   Sales Tax (State Portion)</t>
  </si>
  <si>
    <t xml:space="preserve">   B&amp;O Tax</t>
  </si>
  <si>
    <t xml:space="preserve">http://www.dol.wa.gov/vehicleregistration/fueltax.html </t>
  </si>
  <si>
    <t>Washington State Office of Financial Management</t>
  </si>
  <si>
    <t>Long-Term Forecast of Washington Personal Income</t>
  </si>
  <si>
    <t>Long-Term Forecast of Washington Population and Net Migration</t>
  </si>
  <si>
    <t>Annual Energy Outlook: Regional Energy Consumption and Prices by Sector (Pacific Region)</t>
  </si>
  <si>
    <t xml:space="preserve">http://www.eia.gov/oiaf/archive/aeo10/aeoref_tab.html </t>
  </si>
  <si>
    <t>Turning on the Lights: A Meta-Analysis of Residential Electricity Demand Elasticities</t>
  </si>
  <si>
    <t xml:space="preserve">Espey, James A, and Molly Espey </t>
  </si>
  <si>
    <t xml:space="preserve">Goodwin, Phil, Joyce Dargay, and Mark Hanly </t>
  </si>
  <si>
    <t>Elasticities of Road Traffic and Fuel Consumption with Respect to Price and Income: A Review</t>
  </si>
  <si>
    <t>Explaining the Variations in Elasticity Estimates of Gasoline Demand in the United States: A Meta-Analysis</t>
  </si>
  <si>
    <t xml:space="preserve">Espey, Molly </t>
  </si>
  <si>
    <t>Energy Journal 17 (3), 49</t>
  </si>
  <si>
    <t xml:space="preserve">Brons, Martijn et al </t>
  </si>
  <si>
    <t>A Meta-Analysis of the Price Elasticity of Gasoline Demand. A System of Equations Approach</t>
  </si>
  <si>
    <t>http://www.tinbergen.nl/discussionpapers/06106.pdf</t>
  </si>
  <si>
    <t>Northwest Power and Conservation Council</t>
  </si>
  <si>
    <t>Model Sensitivity Test: Issue Paper</t>
  </si>
  <si>
    <t xml:space="preserve">Dahl, C. and T. Sterner </t>
  </si>
  <si>
    <t>Analyzing Gasoline Demand Elasticities: A Survey</t>
  </si>
  <si>
    <t>A derived demand model of regional highway diesel fuel use</t>
  </si>
  <si>
    <t>Greene, David L.</t>
  </si>
  <si>
    <t>Transportation Research Part B: Methodological, Volume 18, Issue 1</t>
  </si>
  <si>
    <t xml:space="preserve">Bernstein, M.A, and J Griffin </t>
  </si>
  <si>
    <t>Regional Differences in the Price-Elasticity of Demand for Energy</t>
  </si>
  <si>
    <t>http://www.nrel.gov/docs/fy06osti/39512.pdf</t>
  </si>
  <si>
    <t xml:space="preserve">Small, Kenneth and Kurt Van Dender </t>
  </si>
  <si>
    <t>Fuel Efficiency and Motor Vehicle Travel: The Declining Rebound Effect</t>
  </si>
  <si>
    <t xml:space="preserve">Agras J. and D. Chapman </t>
  </si>
  <si>
    <t>The Kyoto Protocol, CAFE Standards, and Gasoline Taxes</t>
  </si>
  <si>
    <t>Estimation of Short-Run and Long-Run Elasticities of Energy Demand from Panel Data Using Shrinkage Estimators</t>
  </si>
  <si>
    <t>Journal of Business &amp; Economic Statistics Vol. 15, No. 1 (Jan., 1997), pp. 90-100</t>
  </si>
  <si>
    <t>OLS</t>
  </si>
  <si>
    <t>Shrinkage</t>
  </si>
  <si>
    <t>Maddala G. S. , Robert P. Trost, Hongyi Li and Frederick Joutz</t>
  </si>
  <si>
    <t>AzevedoInes M. Lima, Granger Morgan and Lester Lave</t>
  </si>
  <si>
    <t>Residential and Regional Electricity Consumption in the US and EU: How Much Will Higher Prices Reduce CO2 Emissions?</t>
  </si>
  <si>
    <t>Journal of Business &amp; Economic Statistics Vol. 15, No. 1 (Jan., 1997), pp. 90-10</t>
  </si>
  <si>
    <t>US Regional and Temporal Fixed Effects</t>
  </si>
  <si>
    <t>Effectiveness of Gasoline Taxation to Manage Air Pollution</t>
  </si>
  <si>
    <t xml:space="preserve">Sipes, Kristin N. and Robert Mendelsohn </t>
  </si>
  <si>
    <t xml:space="preserve">Regional Elasticity for Pacific Coast </t>
  </si>
  <si>
    <t xml:space="preserve">Sterner, Thomas </t>
  </si>
  <si>
    <t>R023</t>
  </si>
  <si>
    <t>Fuel Taxes: An Important Instrument for Climate Policy</t>
  </si>
  <si>
    <t>Energy Policy, Vol. 35. pp. 3194–3202</t>
  </si>
  <si>
    <t>R024</t>
  </si>
  <si>
    <t xml:space="preserve">Goodwin, Phil </t>
  </si>
  <si>
    <t>Review of New Demand Elasticities with Special Reference to Short and Long Run Effects of Price Changes</t>
  </si>
  <si>
    <t>R025</t>
  </si>
  <si>
    <t xml:space="preserve">Hewlett, James G. </t>
  </si>
  <si>
    <t>An Econometric Model of the Market for Residual Fuel Oil on the East Coast</t>
  </si>
  <si>
    <t>DOE/EIA-0183/18, Technical Report TR/EA/80-04</t>
  </si>
  <si>
    <t>R026</t>
  </si>
  <si>
    <t>Potential for Fuel Taxes to Reduce Greenhouse Gas Emissions from Transport</t>
  </si>
  <si>
    <t xml:space="preserve">Hagler Bailly </t>
  </si>
  <si>
    <r>
      <t>Residual Fuel (</t>
    </r>
    <r>
      <rPr>
        <b/>
        <sz val="9"/>
        <color rgb="FF08519C"/>
        <rFont val="Calibri"/>
        <family val="2"/>
        <scheme val="minor"/>
      </rPr>
      <t>Marine</t>
    </r>
    <r>
      <rPr>
        <b/>
        <sz val="9"/>
        <color rgb="FF08519C"/>
        <rFont val="Calibri"/>
        <family val="2"/>
        <scheme val="minor"/>
      </rPr>
      <t xml:space="preserve"> Fuel)</t>
    </r>
  </si>
  <si>
    <t>Commercial and industrial sector share common elasticities for electricity and natural gas consumption</t>
  </si>
  <si>
    <t>Following fuel sources are assumed to produce no GHG emissions: renewable energy, biofuel, petrochemical feedstock, other petroleum, hydrogen, nuclear, and electricity import</t>
  </si>
  <si>
    <t>Carbon tax is assumed to have no effect on other minor fuels such as petroleum feedstock</t>
  </si>
  <si>
    <t>GHG emissions from electricity generation are distributed to the other sectors based on their usage share, including electricity related loss</t>
  </si>
  <si>
    <t>Assumptions</t>
  </si>
  <si>
    <t>The number of household would grow at the same rate as the population growth rate</t>
  </si>
  <si>
    <t>Number of households in WA</t>
  </si>
  <si>
    <t>GHG Emissions</t>
  </si>
  <si>
    <t>Carbon Tax Revenue</t>
  </si>
  <si>
    <t>Sector and Source</t>
  </si>
  <si>
    <t>Number of Washington Households</t>
  </si>
  <si>
    <t>R027</t>
  </si>
  <si>
    <t>Julian I. Silk and Frederick L. Joutz</t>
  </si>
  <si>
    <t>Short and long-run elasticities in US residential electricity demand: a co-integration approach</t>
  </si>
  <si>
    <t>Price Responsiveness in the AEO2003 NEMS Residential and Commercial Buildings Sector Models</t>
  </si>
  <si>
    <t>http://www.eia.doe.gov/oiaf/analysispaper/elasticity/</t>
  </si>
  <si>
    <t>Commercial natural gas's elasticity applies to other commercial heating fuels (LPG, distillate fuel, residual fuel, coal, and other petroleum)</t>
  </si>
  <si>
    <t>Residential natural gas's elasticity applies to other residential heating fuels (LPG and distillate fuel)</t>
  </si>
  <si>
    <t xml:space="preserve"> </t>
  </si>
  <si>
    <t>R028</t>
  </si>
  <si>
    <t>State Energy Database System: Washington</t>
  </si>
  <si>
    <t>http://www.eia.doe.gov/states/state.html?q_state_a=wa&amp;q_state=WASHINGTON</t>
  </si>
  <si>
    <t>R029</t>
  </si>
  <si>
    <t>Gately, Dermot</t>
  </si>
  <si>
    <r>
      <t>Taking off: the U.S. demand for air travel and jet fuel</t>
    </r>
    <r>
      <rPr>
        <i/>
        <sz val="11"/>
        <color indexed="8"/>
        <rFont val="Calibri"/>
        <family val="2"/>
      </rPr>
      <t/>
    </r>
  </si>
  <si>
    <t>Date</t>
  </si>
  <si>
    <t>Who</t>
  </si>
  <si>
    <t>Sheet(s) affected</t>
  </si>
  <si>
    <t>Description</t>
  </si>
  <si>
    <t>Roel</t>
  </si>
  <si>
    <t>Top</t>
  </si>
  <si>
    <t>Improved Output labeling</t>
  </si>
  <si>
    <t>Version 2.1</t>
  </si>
  <si>
    <t>Version 2.0</t>
  </si>
  <si>
    <t>Keibun</t>
  </si>
  <si>
    <t>Emailed complete Version 2.0 to WSEO.</t>
  </si>
  <si>
    <t>n/a</t>
  </si>
  <si>
    <t>Natural Gas: Residential</t>
  </si>
  <si>
    <t>Natural Gas: Commercial</t>
  </si>
  <si>
    <t>Electricity: Residential</t>
  </si>
  <si>
    <t>Electricity: Commercial</t>
  </si>
  <si>
    <t>Electricity: Industrial</t>
  </si>
  <si>
    <t>Distillate Fuel: retail</t>
  </si>
  <si>
    <t>Distillate Fuel: electric generator</t>
  </si>
  <si>
    <t>Natural Gas: electric generator</t>
  </si>
  <si>
    <t>Coal: electric generator</t>
  </si>
  <si>
    <t>R030</t>
  </si>
  <si>
    <t>Fuel Competition in Power Generation and Elasticities of Substitution</t>
  </si>
  <si>
    <t>Added price elasticities of demand for electric generation fuels. (Temporary locations)</t>
  </si>
  <si>
    <t>Top, Variable Parameters, Elasticity</t>
  </si>
  <si>
    <t>Formatted cells end here.</t>
  </si>
  <si>
    <t>R031</t>
  </si>
  <si>
    <t>http://www.eia.gov/forecasts/aeo/</t>
  </si>
  <si>
    <t>Hydropower</t>
  </si>
  <si>
    <t>Nuclear</t>
  </si>
  <si>
    <t>Wind</t>
  </si>
  <si>
    <t>Biomass</t>
  </si>
  <si>
    <t>Petroleum</t>
  </si>
  <si>
    <t>Geothermal</t>
  </si>
  <si>
    <t>Solar</t>
  </si>
  <si>
    <t>$/MWh</t>
  </si>
  <si>
    <t>R032</t>
  </si>
  <si>
    <t>assume value of coal</t>
  </si>
  <si>
    <t>various</t>
  </si>
  <si>
    <t>Residual Fuel Oil</t>
  </si>
  <si>
    <t>Residential sector</t>
  </si>
  <si>
    <t>Commercial sector</t>
  </si>
  <si>
    <t>Industrial sector</t>
  </si>
  <si>
    <t>Electric sector</t>
  </si>
  <si>
    <t>All Other sectors</t>
  </si>
  <si>
    <t>First Year</t>
  </si>
  <si>
    <t>Coal (electric sector only)</t>
  </si>
  <si>
    <t>Version History</t>
  </si>
  <si>
    <t>Simplified to eliminate "notes" column &amp; report only two years of output in tabular format (2020 &amp; 2035).</t>
  </si>
  <si>
    <t>Moved assumptions descriptions to 'Cover' sheet &amp; deleted 'Assumptions' sheet.</t>
  </si>
  <si>
    <t>Greg</t>
  </si>
  <si>
    <t>Regional cons</t>
  </si>
  <si>
    <t>Updated regional baseline consumption to AEO 2013 Pacific region.</t>
  </si>
  <si>
    <t>Updated high and low oil price cases to reflect AEO 2013 Pacific values - separate spreadsheets</t>
  </si>
  <si>
    <t>Added recursive calculation of electric consumption. Deleted extraneous rows.</t>
  </si>
  <si>
    <t>Minor chart format changes</t>
  </si>
  <si>
    <r>
      <t>Clean Energy Trust Fund</t>
    </r>
    <r>
      <rPr>
        <b/>
        <vertAlign val="superscript"/>
        <sz val="11"/>
        <color theme="1"/>
        <rFont val="Calibri"/>
        <family val="2"/>
      </rPr>
      <t>a</t>
    </r>
  </si>
  <si>
    <t>Notes</t>
  </si>
  <si>
    <t>$/t</t>
  </si>
  <si>
    <t>State-level emissions, financial and demographic information</t>
  </si>
  <si>
    <t>Growth Rates</t>
  </si>
  <si>
    <t>Top, Elasticities</t>
  </si>
  <si>
    <t>Moved user input of elasticities from 'Top' to 'Elasticities.'</t>
  </si>
  <si>
    <t>default</t>
  </si>
  <si>
    <t>your value</t>
  </si>
  <si>
    <t>operating values</t>
  </si>
  <si>
    <t>elasticity</t>
  </si>
  <si>
    <t>stickiness</t>
  </si>
  <si>
    <t>Motor Fuel (Gasoline)</t>
  </si>
  <si>
    <t>Elasticities, Parameter Rollout</t>
  </si>
  <si>
    <t>Renamed tab 'Variable Parameters' to 'Parameter Rollout.' Implemented user-alterable ramp lengths. Implemented user-alterable tax start year.</t>
  </si>
  <si>
    <t>projection year</t>
  </si>
  <si>
    <t>Extended historical data range to begin at 2005. Limited modeling capability to begin at calendar year 2014 at the earliest.</t>
  </si>
  <si>
    <t>Price and consumption tabs</t>
  </si>
  <si>
    <t>Extended forecast range to 2040.</t>
  </si>
  <si>
    <t>change</t>
  </si>
  <si>
    <t>Price Change</t>
  </si>
  <si>
    <t>Incorporated carbon tax into adjusted fuel mix pricing.</t>
  </si>
  <si>
    <t>Price Change, Adjusted Consumption</t>
  </si>
  <si>
    <t>Replaced recursive electric calculation with 6-step process described in WREPC paper.</t>
  </si>
  <si>
    <t>Allocation of Electric Power to Sectors</t>
  </si>
  <si>
    <t>Baseline Contributions to Electricity Price ($/MWh-fuel)</t>
  </si>
  <si>
    <t>Clean Energy Trust Fund</t>
  </si>
  <si>
    <t>Parameters acquired from Dashboard</t>
  </si>
  <si>
    <t>Repaired revenue estimate for Industrial Sector electricity consumption (was pointing to Transportation total instead of Electricity total).</t>
  </si>
  <si>
    <t>Parameter Rollout</t>
  </si>
  <si>
    <t>Repaired fencepost error on start year (added "+1" to row 5 formulae).</t>
  </si>
  <si>
    <t>Version 2.1 release, as presented at WEPRC.</t>
  </si>
  <si>
    <t>Dashboard, Price Change, Adjusted Consumption</t>
  </si>
  <si>
    <t>Added switch to allow "Method A" or "Method B" approach to electricity consumption.</t>
  </si>
  <si>
    <t>Version 2.2 release, for use by SAIC.</t>
  </si>
  <si>
    <t>Methodology Notes</t>
  </si>
  <si>
    <t>Yes</t>
  </si>
  <si>
    <t xml:space="preserve">Allocation of Electric Power to the four primary sectors (used by 'Adjusted Emissions' and 'Revenue' sheets) </t>
  </si>
  <si>
    <t>Graphics, Sensitivity Analysis, Monte Carlo</t>
  </si>
  <si>
    <t>Deleted sheets that are not currently maintained.</t>
  </si>
  <si>
    <t>Sources</t>
  </si>
  <si>
    <t>Updated regional baseline consumption to AEO 2014 Pacific region. Updated proration factors</t>
  </si>
  <si>
    <t>quadrillion Btu</t>
  </si>
  <si>
    <t>A</t>
  </si>
  <si>
    <t>Motor fuel's elasticity applies to LPG, E85 (ethanol), and natural gas in transportation sector</t>
  </si>
  <si>
    <t>Natural Gas: Industrial</t>
  </si>
  <si>
    <t>Industrial electricity's elasticity applies to other processing fuels (LPG, residual fuel, distillate fuel,  and coal)</t>
  </si>
  <si>
    <t>Ind. Elasticity</t>
  </si>
  <si>
    <t>CTAM now includes the option (controlled at Dashboard) of using two alternative EIA baseline scenarios in addition to the EIA Reference Case. CTAM is currently setup with 1. Standard Reference Case, 2. Extended Policies Case, and 3. Low Oil and Gas Price Case. Other EIA cases can be substituted for # 2 or #3.  Altered E85 proration factor and updated price forecast to AEO 2014: expressed in 2012 $.</t>
  </si>
  <si>
    <t>Optional baseline cases, price forecast</t>
  </si>
  <si>
    <t>Motor gas</t>
  </si>
  <si>
    <t>MMBtu/gallon</t>
  </si>
  <si>
    <t>Exogenous fuel tax</t>
  </si>
  <si>
    <t xml:space="preserve">Added an option to include an increase in the Federal fuel tax rate for motor gasoline and on-road diesel. The tax is expressed as $ per ton of CO2 emissions, but a simple calculation the Parameters tab converts this $ per ton rate to $ per gallon. </t>
  </si>
  <si>
    <t>Added reference values for industrial natural gas price elasticity of demand. These references are of medium-low quality: arrived at a recommended elasticity value of -0.70. Added computational lines where necessary. Made minor changes to tables in Dashboard section.</t>
  </si>
  <si>
    <t>Liquid hydrogen assumed to be zero emission fuel for this analysis</t>
  </si>
  <si>
    <t xml:space="preserve">Assumed to be carbon neutral for this analysis </t>
  </si>
  <si>
    <t>Renewable Energy etc.</t>
  </si>
  <si>
    <t>--</t>
  </si>
  <si>
    <t>Adjusted Price After Carbon Tax</t>
  </si>
  <si>
    <t>residential</t>
  </si>
  <si>
    <t>commercial</t>
  </si>
  <si>
    <t>industrial</t>
  </si>
  <si>
    <t>gasoline</t>
  </si>
  <si>
    <t>diesel</t>
  </si>
  <si>
    <t>Adjusted WA Energy Expenditures</t>
  </si>
  <si>
    <t>Other petroleum</t>
  </si>
  <si>
    <t>Total energy expenditures</t>
  </si>
  <si>
    <t>Energy Expenditures</t>
  </si>
  <si>
    <t>Baseline Energy Expenditures</t>
  </si>
  <si>
    <t>Fuel price adjustments</t>
  </si>
  <si>
    <t>Expenditure data</t>
  </si>
  <si>
    <t xml:space="preserve"> Fuel prices are for the Pacific region and are dominated by California were prices for some fuels are higher. Fuel price adjustments  were made, making them more representative of WA, for gasoline, diesel, natural gas and electricity using historical EIA data.</t>
  </si>
  <si>
    <t>Added expenditure data to the dashboard. Switched to EIA Extended Policies for the baseline.</t>
  </si>
  <si>
    <t>Baseline Price, constant $</t>
  </si>
  <si>
    <t>EIA, derived from AEO price worksheets</t>
  </si>
  <si>
    <t xml:space="preserve">Jet Fuel </t>
  </si>
  <si>
    <t>Fuel price summary data</t>
  </si>
  <si>
    <t>imported electricity and industrial process emissions</t>
  </si>
  <si>
    <t>No</t>
  </si>
  <si>
    <t>Waste</t>
  </si>
  <si>
    <t xml:space="preserve">Coal </t>
  </si>
  <si>
    <t xml:space="preserve">Waste </t>
  </si>
  <si>
    <t xml:space="preserve">Landfill Gases </t>
  </si>
  <si>
    <t>Other</t>
  </si>
  <si>
    <t>R033</t>
  </si>
  <si>
    <t>units unless otherwise noted:</t>
  </si>
  <si>
    <t>source unless otherwise noted:</t>
  </si>
  <si>
    <t>description:</t>
  </si>
  <si>
    <t>meta-formula:</t>
  </si>
  <si>
    <t>checksums</t>
  </si>
  <si>
    <t>Electricity Step 3 occurs on sheet 'Price Change.'</t>
  </si>
  <si>
    <t>Adjusted Consumption (after carbon tax)</t>
  </si>
  <si>
    <t>consumption after application of carbon tax</t>
  </si>
  <si>
    <t>Adjusted Consumption = Baseline Consumption * Price Change * Elasticity + Baseline Consumption</t>
  </si>
  <si>
    <t>EOD</t>
  </si>
  <si>
    <t>WA State Dept. of Commerce</t>
  </si>
  <si>
    <t>Transport Reviews 24, no. 3 (May 2004): 275-92</t>
  </si>
  <si>
    <t>Journal of Agricultural and Applied Economics 36, no. 1 (April 2004): 65-81</t>
  </si>
  <si>
    <t>Energy Economics, Vol. 13(3), pp 203-210</t>
  </si>
  <si>
    <t>Contemporary Economic Policy, 17:3</t>
  </si>
  <si>
    <t>Ecological Economics, Vol. 36, pp. 299–309</t>
  </si>
  <si>
    <t>Journal of Transport Economics, Vol. 26, No. 2, May 1992, pp. 155-171</t>
  </si>
  <si>
    <r>
      <rPr>
        <b/>
        <i/>
        <sz val="10"/>
        <color indexed="8"/>
        <rFont val="Calibri"/>
        <family val="2"/>
      </rPr>
      <t>The Energy Journal</t>
    </r>
    <r>
      <rPr>
        <b/>
        <sz val="9"/>
        <color rgb="FF08519C"/>
        <rFont val="Calibri"/>
        <family val="2"/>
        <scheme val="minor"/>
      </rPr>
      <t xml:space="preserve"> Volume 28.1 </t>
    </r>
  </si>
  <si>
    <r>
      <rPr>
        <i/>
        <sz val="10"/>
        <color indexed="8"/>
        <rFont val="Calibri"/>
        <family val="2"/>
      </rPr>
      <t>The Electricity Journal</t>
    </r>
    <r>
      <rPr>
        <b/>
        <sz val="9"/>
        <color rgb="FF08519C"/>
        <rFont val="Calibri"/>
        <family val="2"/>
        <scheme val="minor"/>
      </rPr>
      <t>, Vol. 24, Issue 1 (Jan/Feb 2011), pp. 21-29</t>
    </r>
  </si>
  <si>
    <r>
      <rPr>
        <i/>
        <sz val="10"/>
        <color indexed="8"/>
        <rFont val="Calibri"/>
        <family val="2"/>
      </rPr>
      <t>Energy Economics</t>
    </r>
    <r>
      <rPr>
        <b/>
        <sz val="9"/>
        <color rgb="FF08519C"/>
        <rFont val="Calibri"/>
        <family val="2"/>
        <scheme val="minor"/>
      </rPr>
      <t>, Volume 19, Issue 4, October 1997, Pages 493-513, pp. 507</t>
    </r>
  </si>
  <si>
    <r>
      <rPr>
        <i/>
        <sz val="10"/>
        <rFont val="Calibri"/>
        <family val="2"/>
      </rPr>
      <t>Energy Journal</t>
    </r>
    <r>
      <rPr>
        <sz val="10"/>
        <rFont val="Calibri"/>
        <family val="2"/>
      </rPr>
      <t>. Volume 9: 63-91</t>
    </r>
  </si>
  <si>
    <t>Fuel-Mix-Aggregate-Time-Series2012.xlsx</t>
  </si>
  <si>
    <t>R034</t>
  </si>
  <si>
    <t>Retail_sales_of_electricity.csv</t>
  </si>
  <si>
    <t>http://www.eia.gov/electricity/data/browser/#/topic/5?agg=0,1&amp;geo=000000000001&amp;endsec=vg&amp;freq=A&amp;start=2001&amp;end=2013&amp;ctype=linechart&amp;ltype=pin&amp;rtype=s&amp;pin=&amp;rse=0&amp;maptype=0</t>
  </si>
  <si>
    <t>Standard Report #5.4</t>
  </si>
  <si>
    <t>Electric Generators (consumption-basis)</t>
  </si>
  <si>
    <t>Adjusted Emissions</t>
  </si>
  <si>
    <t>Baseline Emissions</t>
  </si>
  <si>
    <t>R035</t>
  </si>
  <si>
    <t>Table 8.1 Average Operating heat Rate for Selected Energy Sources, 2002 through 2012</t>
  </si>
  <si>
    <t>R036</t>
  </si>
  <si>
    <t>Washington Class Electric Sales (MWa/Year)</t>
  </si>
  <si>
    <t>Email from Massoud Jourabchi to Greg Nothstein, 2014-12-18.</t>
  </si>
  <si>
    <t>R037</t>
  </si>
  <si>
    <t>http://www.eia.gov/electricity/data/state/sales_annual.xls</t>
  </si>
  <si>
    <t xml:space="preserve">Natural Gas </t>
  </si>
  <si>
    <t xml:space="preserve">Cogeneration </t>
  </si>
  <si>
    <t xml:space="preserve">Petroleum </t>
  </si>
  <si>
    <t xml:space="preserve">Nuclear </t>
  </si>
  <si>
    <t xml:space="preserve">Biomass </t>
  </si>
  <si>
    <t xml:space="preserve">Geothermal </t>
  </si>
  <si>
    <t xml:space="preserve">Wind </t>
  </si>
  <si>
    <t>Price Change (%) = Carbon Tax Rate ($/mmBtu) / Baseline Price ($/mmBtu)</t>
  </si>
  <si>
    <t>The relative change in price of fuels due to the carbon tax.</t>
  </si>
  <si>
    <t>%</t>
  </si>
  <si>
    <t>Electric Generators - primary fuels</t>
  </si>
  <si>
    <t>Landfill Gases</t>
  </si>
  <si>
    <t>assume value of NG</t>
  </si>
  <si>
    <t>Cogeneration</t>
  </si>
  <si>
    <t>Electricity PRICE forecasts follow EIA fuel taxonomy, not WA FMD taxonomy.</t>
  </si>
  <si>
    <t>[ratio with baseline]</t>
  </si>
  <si>
    <t>Electricity total</t>
  </si>
  <si>
    <t>R038</t>
  </si>
  <si>
    <t>Form EIA-861 data.</t>
  </si>
  <si>
    <t>http://www.eia.gov/electricity/data.cfm#sales</t>
  </si>
  <si>
    <t>price scenario A</t>
  </si>
  <si>
    <t>scenario description:</t>
  </si>
  <si>
    <t>consumption scenario A</t>
  </si>
  <si>
    <t>Electric Power</t>
  </si>
  <si>
    <t>Electric generators - generation shares by prime mover (%)</t>
  </si>
  <si>
    <t>price scenario B</t>
  </si>
  <si>
    <t>price scenario C</t>
  </si>
  <si>
    <t>consumption scenario B</t>
  </si>
  <si>
    <t>consumption scenario C</t>
  </si>
  <si>
    <t xml:space="preserve">Baseline expenditure = Baseline price * Baseline Consumption (Btu) </t>
  </si>
  <si>
    <t>electricity</t>
  </si>
  <si>
    <t>other</t>
  </si>
  <si>
    <t>petroleum</t>
  </si>
  <si>
    <t>coal</t>
  </si>
  <si>
    <t>1990 (baseline) emission level</t>
  </si>
  <si>
    <t>value</t>
  </si>
  <si>
    <t>units</t>
  </si>
  <si>
    <t>source</t>
  </si>
  <si>
    <t>notes</t>
  </si>
  <si>
    <t>parameter</t>
  </si>
  <si>
    <r>
      <t>J</t>
    </r>
    <r>
      <rPr>
        <b/>
        <sz val="9"/>
        <color rgb="FF08519C"/>
        <rFont val="Calibri"/>
        <family val="2"/>
        <scheme val="minor"/>
      </rPr>
      <t>et Fuel Exemption</t>
    </r>
  </si>
  <si>
    <r>
      <t>M</t>
    </r>
    <r>
      <rPr>
        <b/>
        <sz val="9"/>
        <color rgb="FF08519C"/>
        <rFont val="Calibri"/>
        <family val="2"/>
        <scheme val="minor"/>
      </rPr>
      <t>arine Fuel Exemption</t>
    </r>
  </si>
  <si>
    <t>ramps</t>
  </si>
  <si>
    <t>Parameters</t>
  </si>
  <si>
    <t>R039</t>
  </si>
  <si>
    <t>Washington Department of Ecology</t>
  </si>
  <si>
    <r>
      <t>MtCO</t>
    </r>
    <r>
      <rPr>
        <b/>
        <vertAlign val="subscript"/>
        <sz val="10"/>
        <color indexed="8"/>
        <rFont val="Calibri"/>
        <family val="2"/>
      </rPr>
      <t>2</t>
    </r>
    <r>
      <rPr>
        <b/>
        <sz val="9"/>
        <color rgb="FF08519C"/>
        <rFont val="Calibri"/>
        <family val="2"/>
        <scheme val="minor"/>
      </rPr>
      <t>e</t>
    </r>
  </si>
  <si>
    <t>1990 energy-related emissions</t>
  </si>
  <si>
    <t>lookupBoolean</t>
  </si>
  <si>
    <t>Washington State Greenhouse Gas Emissions Inventory 2010-2011.</t>
  </si>
  <si>
    <t>R040</t>
  </si>
  <si>
    <t>Department of Ecology</t>
  </si>
  <si>
    <t>R041</t>
  </si>
  <si>
    <t>Office of Financial Management</t>
  </si>
  <si>
    <t>Long-Term Economic and Labor Force Forecast for Washington</t>
  </si>
  <si>
    <t>http://ofm.wa.gov/researchbriefs/default.asp</t>
  </si>
  <si>
    <t>cement manufacture</t>
  </si>
  <si>
    <t>aluminum production</t>
  </si>
  <si>
    <t>limestone and dolomite use</t>
  </si>
  <si>
    <t>soda ash</t>
  </si>
  <si>
    <t>ODS substitutes</t>
  </si>
  <si>
    <t>semiconductor manufacturing</t>
  </si>
  <si>
    <t>electric power T&amp;D</t>
  </si>
  <si>
    <r>
      <t>Industrial process emissions (million tCO</t>
    </r>
    <r>
      <rPr>
        <b/>
        <vertAlign val="subscript"/>
        <sz val="10"/>
        <color indexed="8"/>
        <rFont val="Calibri"/>
        <family val="2"/>
      </rPr>
      <t>2</t>
    </r>
    <r>
      <rPr>
        <b/>
        <sz val="9"/>
        <color rgb="FF08519C"/>
        <rFont val="Calibri"/>
        <family val="2"/>
        <scheme val="minor"/>
      </rPr>
      <t>e)</t>
    </r>
  </si>
  <si>
    <t>jet fuel</t>
  </si>
  <si>
    <t>primary variables</t>
  </si>
  <si>
    <r>
      <t>$/tCO</t>
    </r>
    <r>
      <rPr>
        <b/>
        <vertAlign val="subscript"/>
        <sz val="10"/>
        <color indexed="8"/>
        <rFont val="Calibri"/>
        <family val="2"/>
      </rPr>
      <t>2</t>
    </r>
    <r>
      <rPr>
        <b/>
        <sz val="9"/>
        <color rgb="FF08519C"/>
        <rFont val="Calibri"/>
        <family val="2"/>
        <scheme val="minor"/>
      </rPr>
      <t>e</t>
    </r>
  </si>
  <si>
    <t>$/mmBtu</t>
  </si>
  <si>
    <t>elasticities</t>
  </si>
  <si>
    <t>mm$</t>
  </si>
  <si>
    <t>Non-Carbon Tax Revenues</t>
  </si>
  <si>
    <t>[unitless]</t>
  </si>
  <si>
    <t>yr</t>
  </si>
  <si>
    <t>demographic &amp; other background variables</t>
  </si>
  <si>
    <t>Step 1: build each unscaled, unit ramp</t>
  </si>
  <si>
    <t>Step 2: apply each ramp to the respective, long-run elasticity value.</t>
  </si>
  <si>
    <t>natural gas</t>
  </si>
  <si>
    <t>first allowable model year</t>
  </si>
  <si>
    <t>This is the first year in which a change can happen. Should be larger than the current, calendar year.</t>
  </si>
  <si>
    <t>Single-valued parameters or short series that drive behavior of the model. Time series do not appear here, though some of these parameters are applied to model time series via the 'ramp' tab.</t>
  </si>
  <si>
    <t>last allowable model year</t>
  </si>
  <si>
    <t>Parameters that change over time. These are mostly calculated from static parameters based on time-dependent equations.</t>
  </si>
  <si>
    <t>exogenous demand factors by sector (user forces from 'dashboard' tab)</t>
  </si>
  <si>
    <t>TOTAL industrial process emissions</t>
  </si>
  <si>
    <t>Grand Total Energy-Related Emissions</t>
  </si>
  <si>
    <t>Grand Total Emissions</t>
  </si>
  <si>
    <t>R042</t>
  </si>
  <si>
    <t>Washington State Greenhouse Gas Emissions Inventory 2007-2008.</t>
  </si>
  <si>
    <t>industrial process emissions?</t>
  </si>
  <si>
    <t>nominal heat rates (Btu/kWh)</t>
  </si>
  <si>
    <t xml:space="preserve">     cells 'Elasticities'!BG7:BG22. Citations from original literature are in the same spreadsheet.</t>
  </si>
  <si>
    <t>b. Stickiness is the length, in years, of the linear ramp over which a particular elasticity is fully rolled into the model.</t>
  </si>
  <si>
    <t>mmBtu/gal</t>
  </si>
  <si>
    <r>
      <t>kg CO</t>
    </r>
    <r>
      <rPr>
        <b/>
        <vertAlign val="subscript"/>
        <sz val="10"/>
        <color indexed="8"/>
        <rFont val="Calibri"/>
        <family val="2"/>
      </rPr>
      <t>2</t>
    </r>
    <r>
      <rPr>
        <b/>
        <sz val="9"/>
        <color rgb="FF08519C"/>
        <rFont val="Calibri"/>
        <family val="2"/>
        <scheme val="minor"/>
      </rPr>
      <t>/mmBtu</t>
    </r>
  </si>
  <si>
    <t>MWh</t>
  </si>
  <si>
    <t>A269</t>
  </si>
  <si>
    <t>MW</t>
  </si>
  <si>
    <r>
      <t>Y</t>
    </r>
    <r>
      <rPr>
        <b/>
        <sz val="9"/>
        <color rgb="FF08519C"/>
        <rFont val="Calibri"/>
        <family val="2"/>
        <scheme val="minor"/>
      </rPr>
      <t>es</t>
    </r>
  </si>
  <si>
    <t>parameter description</t>
  </si>
  <si>
    <t>1. define the carbon tax</t>
  </si>
  <si>
    <t>first year</t>
  </si>
  <si>
    <t>annual increment</t>
  </si>
  <si>
    <t>maximum rate</t>
  </si>
  <si>
    <t>Property Tax offset</t>
  </si>
  <si>
    <t>Sales Tax offset</t>
  </si>
  <si>
    <t>B&amp;O Tax offset</t>
  </si>
  <si>
    <t>cash rebate</t>
  </si>
  <si>
    <t>state General Fund</t>
  </si>
  <si>
    <t>total revenues assigned</t>
  </si>
  <si>
    <t>3. specify model behavior</t>
  </si>
  <si>
    <t>exempt jet fuels</t>
  </si>
  <si>
    <t>exempt marine fuels</t>
  </si>
  <si>
    <r>
      <t>baseline forecast (A, B or C)</t>
    </r>
    <r>
      <rPr>
        <b/>
        <vertAlign val="superscript"/>
        <sz val="10"/>
        <color indexed="8"/>
        <rFont val="Calibri"/>
        <family val="2"/>
      </rPr>
      <t>f</t>
    </r>
  </si>
  <si>
    <t>sector / fuel</t>
  </si>
  <si>
    <t>target year</t>
  </si>
  <si>
    <t>industrial process</t>
  </si>
  <si>
    <t>fuel type</t>
  </si>
  <si>
    <t>gasoline-like</t>
  </si>
  <si>
    <t>diesel-like</t>
  </si>
  <si>
    <t>residential sector</t>
  </si>
  <si>
    <t>commercial sector</t>
  </si>
  <si>
    <t>transportation</t>
  </si>
  <si>
    <t>ramp length,</t>
  </si>
  <si>
    <t>years</t>
  </si>
  <si>
    <t>demand</t>
  </si>
  <si>
    <t>reduction, %</t>
  </si>
  <si>
    <t>parameters</t>
  </si>
  <si>
    <t>valid?</t>
  </si>
  <si>
    <t>emissions</t>
  </si>
  <si>
    <t>AFCI</t>
  </si>
  <si>
    <t>5. (optional) add exogenous reductions to industrial process emissions</t>
  </si>
  <si>
    <t>baseline</t>
  </si>
  <si>
    <t>adjusted</t>
  </si>
  <si>
    <t>sector</t>
  </si>
  <si>
    <t>TOTALS</t>
  </si>
  <si>
    <t>targets</t>
  </si>
  <si>
    <t>electricity *</t>
  </si>
  <si>
    <t>(individual)</t>
  </si>
  <si>
    <t>(business)</t>
  </si>
  <si>
    <t>sector or group</t>
  </si>
  <si>
    <t>rebate ($/household)</t>
  </si>
  <si>
    <t>General Fund (mm$)</t>
  </si>
  <si>
    <t>Clean Energy (mm$)</t>
  </si>
  <si>
    <t>fuel</t>
  </si>
  <si>
    <t>Property Tax decrease</t>
  </si>
  <si>
    <t>Sales Tax decrease</t>
  </si>
  <si>
    <t>B&amp;O Tax decrease</t>
  </si>
  <si>
    <t>state goals</t>
  </si>
  <si>
    <t>target without process emissions</t>
  </si>
  <si>
    <t>target with process emissions</t>
  </si>
  <si>
    <t>target reduction below 1990</t>
  </si>
  <si>
    <t>1990 energy &amp; process emissions</t>
  </si>
  <si>
    <t>1990 industrial process emissions</t>
  </si>
  <si>
    <t>(ref) 1990 level used in first CTAM</t>
  </si>
  <si>
    <t>A270</t>
  </si>
  <si>
    <t>"...or seventy percent below the state's expected emissions that year."</t>
  </si>
  <si>
    <t>2020 target</t>
  </si>
  <si>
    <t>2035 target</t>
  </si>
  <si>
    <t>composite target series</t>
  </si>
  <si>
    <t>adjusted emissions</t>
  </si>
  <si>
    <t>baseline emissions</t>
  </si>
  <si>
    <t>Primary fuel PRICE forecasts for the electric sector follow EIA fuel taxonomy, not WA FMD taxonomy.</t>
  </si>
  <si>
    <t>industrial NG, $/mmBtu</t>
  </si>
  <si>
    <t>energy content of barrel petroleum</t>
  </si>
  <si>
    <t>Conversion factors for physical units</t>
  </si>
  <si>
    <t>To convert</t>
  </si>
  <si>
    <t>Multiply</t>
  </si>
  <si>
    <t>from</t>
  </si>
  <si>
    <t>to</t>
  </si>
  <si>
    <t>(cell name)</t>
  </si>
  <si>
    <t>by</t>
  </si>
  <si>
    <t>distance</t>
  </si>
  <si>
    <t>cm</t>
  </si>
  <si>
    <t>in</t>
  </si>
  <si>
    <t>cmTOin</t>
  </si>
  <si>
    <t>ft</t>
  </si>
  <si>
    <t>m</t>
  </si>
  <si>
    <t>ftTOm</t>
  </si>
  <si>
    <t>inTOcm</t>
  </si>
  <si>
    <t>mm</t>
  </si>
  <si>
    <t>inTOmm</t>
  </si>
  <si>
    <t>km</t>
  </si>
  <si>
    <t>mi</t>
  </si>
  <si>
    <t>kmTOmi</t>
  </si>
  <si>
    <t>miTOkm</t>
  </si>
  <si>
    <t>mmTOin</t>
  </si>
  <si>
    <t>mass</t>
  </si>
  <si>
    <t>g</t>
  </si>
  <si>
    <t>lb</t>
  </si>
  <si>
    <t>gTOlb</t>
  </si>
  <si>
    <t>kg</t>
  </si>
  <si>
    <t>kgTOg</t>
  </si>
  <si>
    <t>kgTOlb</t>
  </si>
  <si>
    <t>lbTOg</t>
  </si>
  <si>
    <t>lbTOkg</t>
  </si>
  <si>
    <t>Mg</t>
  </si>
  <si>
    <t>lbTOMg</t>
  </si>
  <si>
    <t>ton</t>
  </si>
  <si>
    <t>lbTOton</t>
  </si>
  <si>
    <t>MgTOkg</t>
  </si>
  <si>
    <t>MgTOton</t>
  </si>
  <si>
    <t>oz</t>
  </si>
  <si>
    <t>lbTOoz</t>
  </si>
  <si>
    <t>ozTOkg</t>
  </si>
  <si>
    <t>tonTOlb</t>
  </si>
  <si>
    <t>tonTOkg</t>
  </si>
  <si>
    <t>tonTOMg</t>
  </si>
  <si>
    <t>time</t>
  </si>
  <si>
    <t>day</t>
  </si>
  <si>
    <t>min</t>
  </si>
  <si>
    <t>dayTOmin</t>
  </si>
  <si>
    <t>dayTOyr</t>
  </si>
  <si>
    <t>hr</t>
  </si>
  <si>
    <t>hrTOday</t>
  </si>
  <si>
    <t>hrTOmin</t>
  </si>
  <si>
    <t>s</t>
  </si>
  <si>
    <t>hrTOs</t>
  </si>
  <si>
    <t>hrTOyr</t>
  </si>
  <si>
    <t>minTOday</t>
  </si>
  <si>
    <t>mo</t>
  </si>
  <si>
    <t>moTOday</t>
  </si>
  <si>
    <t>moTOyr</t>
  </si>
  <si>
    <t>sTOday</t>
  </si>
  <si>
    <t>sTOhr</t>
  </si>
  <si>
    <t>sTOyr</t>
  </si>
  <si>
    <t>yrTOday</t>
  </si>
  <si>
    <t>yrTOhr</t>
  </si>
  <si>
    <t>yrTOmo</t>
  </si>
  <si>
    <t>yrTOs</t>
  </si>
  <si>
    <t>area (distance x distance)</t>
  </si>
  <si>
    <t>acre</t>
  </si>
  <si>
    <t>ft2</t>
  </si>
  <si>
    <t>acreTOft2</t>
  </si>
  <si>
    <t>ha</t>
  </si>
  <si>
    <t>acreTOha</t>
  </si>
  <si>
    <t>km2</t>
  </si>
  <si>
    <t>acreTOkm2</t>
  </si>
  <si>
    <t>m2</t>
  </si>
  <si>
    <t>acreTOm2</t>
  </si>
  <si>
    <t>mi2</t>
  </si>
  <si>
    <t>acreTOmi2</t>
  </si>
  <si>
    <t>ft2TOm2</t>
  </si>
  <si>
    <t>yd2</t>
  </si>
  <si>
    <t>ft2TOyd2</t>
  </si>
  <si>
    <t>haTOacre</t>
  </si>
  <si>
    <t>haTOkm2</t>
  </si>
  <si>
    <t>km2TOacre</t>
  </si>
  <si>
    <t>km2TOha</t>
  </si>
  <si>
    <t>km2TOm2</t>
  </si>
  <si>
    <t>km2TOmi2</t>
  </si>
  <si>
    <t>m2TOacre</t>
  </si>
  <si>
    <t>m2TOft2</t>
  </si>
  <si>
    <t>m2TOha</t>
  </si>
  <si>
    <t>m2TOkm2</t>
  </si>
  <si>
    <t>mi2TOacre</t>
  </si>
  <si>
    <t>yd2TOft2</t>
  </si>
  <si>
    <t>mi2TOkm2</t>
  </si>
  <si>
    <t>volume (area x distance)</t>
  </si>
  <si>
    <t>acre-ft</t>
  </si>
  <si>
    <t>gal</t>
  </si>
  <si>
    <t>acreftTOgal</t>
  </si>
  <si>
    <t>m3</t>
  </si>
  <si>
    <t>acreftTOm3</t>
  </si>
  <si>
    <t>acre-in</t>
  </si>
  <si>
    <t>acreinTOgal</t>
  </si>
  <si>
    <t>bbl</t>
  </si>
  <si>
    <t>bblTOgal</t>
  </si>
  <si>
    <t>L</t>
  </si>
  <si>
    <t>bblTOL</t>
  </si>
  <si>
    <t>ft3</t>
  </si>
  <si>
    <t>ft3TOgal</t>
  </si>
  <si>
    <t>ft3TOL</t>
  </si>
  <si>
    <t>ft3TOm3</t>
  </si>
  <si>
    <t>galTOacreft</t>
  </si>
  <si>
    <t>galTOacrein</t>
  </si>
  <si>
    <t>galTObbl</t>
  </si>
  <si>
    <t>galTOL</t>
  </si>
  <si>
    <t>galTOm3</t>
  </si>
  <si>
    <t>LTOft3</t>
  </si>
  <si>
    <t>LTOgal</t>
  </si>
  <si>
    <t>LTOm3</t>
  </si>
  <si>
    <t>m3TOacreft</t>
  </si>
  <si>
    <t>m3TOft3</t>
  </si>
  <si>
    <t>m3TOgal</t>
  </si>
  <si>
    <t>liter</t>
  </si>
  <si>
    <t>m3TOliter</t>
  </si>
  <si>
    <t>yd3</t>
  </si>
  <si>
    <t>yd3TOm3</t>
  </si>
  <si>
    <t>force (mass x acceleration)</t>
  </si>
  <si>
    <t>N</t>
  </si>
  <si>
    <t>lbTON</t>
  </si>
  <si>
    <t>pressure (force/area)</t>
  </si>
  <si>
    <t>atm</t>
  </si>
  <si>
    <t>bar</t>
  </si>
  <si>
    <t>atmTObar</t>
  </si>
  <si>
    <t>psi</t>
  </si>
  <si>
    <t>atmTOpsi</t>
  </si>
  <si>
    <t>Pa</t>
  </si>
  <si>
    <t>barTOPa</t>
  </si>
  <si>
    <t>barTOpsi</t>
  </si>
  <si>
    <t>psiTOPa</t>
  </si>
  <si>
    <t>energy (force x distance)</t>
  </si>
  <si>
    <t>Btu</t>
  </si>
  <si>
    <t>cal</t>
  </si>
  <si>
    <t>BtuTOcal</t>
  </si>
  <si>
    <t>J</t>
  </si>
  <si>
    <t>BtuTOJ</t>
  </si>
  <si>
    <t>kJ</t>
  </si>
  <si>
    <t>BtuTOkJ</t>
  </si>
  <si>
    <t>kWh</t>
  </si>
  <si>
    <t>BtuTOkWh</t>
  </si>
  <si>
    <t>MJ</t>
  </si>
  <si>
    <t>BtuTOMJ</t>
  </si>
  <si>
    <t>Wh</t>
  </si>
  <si>
    <t>BtuTOWh</t>
  </si>
  <si>
    <t>calTOBtu</t>
  </si>
  <si>
    <t>calTOJ</t>
  </si>
  <si>
    <t>EJ</t>
  </si>
  <si>
    <t>TWh</t>
  </si>
  <si>
    <t>EJTOTWh</t>
  </si>
  <si>
    <t>gge</t>
  </si>
  <si>
    <t>ggeTOMJ</t>
  </si>
  <si>
    <t>GJ</t>
  </si>
  <si>
    <t>GJTOMWh</t>
  </si>
  <si>
    <t>mmBtu</t>
  </si>
  <si>
    <t>GJTOmmBtu</t>
  </si>
  <si>
    <t>therm</t>
  </si>
  <si>
    <t>GJTOtherm</t>
  </si>
  <si>
    <t>JTOBtu</t>
  </si>
  <si>
    <t>JTOcal</t>
  </si>
  <si>
    <t>JTOWh</t>
  </si>
  <si>
    <t>kcal</t>
  </si>
  <si>
    <t>kcalTOMJ</t>
  </si>
  <si>
    <t>kJTOBtu</t>
  </si>
  <si>
    <t>kWhTOBtu</t>
  </si>
  <si>
    <t>kWhTOMJ</t>
  </si>
  <si>
    <t>MJTOBtu</t>
  </si>
  <si>
    <t>MJTOkWh</t>
  </si>
  <si>
    <t>MJTOkcal</t>
  </si>
  <si>
    <t>MJTOMWh</t>
  </si>
  <si>
    <t>MJTOtherm</t>
  </si>
  <si>
    <t>mmBtuTOMJ</t>
  </si>
  <si>
    <t>mmBtuTOMWh</t>
  </si>
  <si>
    <t>mmBtuTOtherm</t>
  </si>
  <si>
    <t>TJ</t>
  </si>
  <si>
    <t>mmBtuTOTJ</t>
  </si>
  <si>
    <t>Mtoe</t>
  </si>
  <si>
    <t>GWh</t>
  </si>
  <si>
    <t>MtoeTOGWh</t>
  </si>
  <si>
    <t>MtoeTOmmBtu</t>
  </si>
  <si>
    <t>MtoeTOTJ</t>
  </si>
  <si>
    <t>MWa</t>
  </si>
  <si>
    <t>MWaTOMWh</t>
  </si>
  <si>
    <t>MWhTOGJ</t>
  </si>
  <si>
    <t>MWhTOmmBtu</t>
  </si>
  <si>
    <t>MWhTOMWa</t>
  </si>
  <si>
    <t>MWhTOTJ</t>
  </si>
  <si>
    <t>quad</t>
  </si>
  <si>
    <t>quadTOEJ</t>
  </si>
  <si>
    <t>quadTOTWh</t>
  </si>
  <si>
    <t>thermTOBtu</t>
  </si>
  <si>
    <t>thermTOGJ</t>
  </si>
  <si>
    <t>thermTOkWh</t>
  </si>
  <si>
    <t>thermTOMJ</t>
  </si>
  <si>
    <t>thermTOTJ</t>
  </si>
  <si>
    <t>TWhTOEJ</t>
  </si>
  <si>
    <t>TWhTOquad</t>
  </si>
  <si>
    <t>WhTOBtu</t>
  </si>
  <si>
    <t>WhTOJ</t>
  </si>
  <si>
    <t>power (energy/time)</t>
  </si>
  <si>
    <t>GJ/hr</t>
  </si>
  <si>
    <t>GJ.hrTOMW</t>
  </si>
  <si>
    <t>GW</t>
  </si>
  <si>
    <t>kW</t>
  </si>
  <si>
    <t>GWTOkW</t>
  </si>
  <si>
    <t>quad/yr</t>
  </si>
  <si>
    <t>GWTOquad.yr</t>
  </si>
  <si>
    <t>TWh/yr</t>
  </si>
  <si>
    <t>GWTOTWh.yr</t>
  </si>
  <si>
    <t>hp</t>
  </si>
  <si>
    <t>hpTOkW</t>
  </si>
  <si>
    <t>kWTOhp</t>
  </si>
  <si>
    <t>MJ/hr</t>
  </si>
  <si>
    <t>MJ.hrTOkW</t>
  </si>
  <si>
    <t>MWTOGJ.hr</t>
  </si>
  <si>
    <t>MWTOkW</t>
  </si>
  <si>
    <t>quad.yrTOGW</t>
  </si>
  <si>
    <t>TWh.yrTOGW</t>
  </si>
  <si>
    <t>flow (volume/time)</t>
  </si>
  <si>
    <t>gpm</t>
  </si>
  <si>
    <t>liter/s</t>
  </si>
  <si>
    <t>gpmTOliter.s</t>
  </si>
  <si>
    <t>L/s</t>
  </si>
  <si>
    <t>L.sTOgpm</t>
  </si>
  <si>
    <r>
      <t>m</t>
    </r>
    <r>
      <rPr>
        <b/>
        <vertAlign val="superscript"/>
        <sz val="10"/>
        <color theme="3"/>
        <rFont val="Calibri"/>
        <family val="2"/>
        <scheme val="minor"/>
      </rPr>
      <t>3</t>
    </r>
    <r>
      <rPr>
        <b/>
        <sz val="9"/>
        <color rgb="FF08519C"/>
        <rFont val="Calibri"/>
        <family val="2"/>
        <scheme val="minor"/>
      </rPr>
      <t>/day</t>
    </r>
  </si>
  <si>
    <t>m3.dayTOgpm</t>
  </si>
  <si>
    <t>heat rate (energy/energy)</t>
  </si>
  <si>
    <t>Btu/hp-h</t>
  </si>
  <si>
    <t>mmBtu/MWh</t>
  </si>
  <si>
    <t>Btu.hphTOmmBtu.MWh</t>
  </si>
  <si>
    <t>kJ/kWh</t>
  </si>
  <si>
    <t>kJ.kWhTOmmBtu.MWh</t>
  </si>
  <si>
    <t>MJ/kWh</t>
  </si>
  <si>
    <t>MJ.kWhTOmmBtu.MWh</t>
  </si>
  <si>
    <t>mmBtu.MWhTOBtu.hph</t>
  </si>
  <si>
    <t>mmBtu.MWhTOkJ.kWh</t>
  </si>
  <si>
    <t>mmBtu.MWhTOMJ.kWh</t>
  </si>
  <si>
    <t>emission rate (mass/energy)</t>
  </si>
  <si>
    <t>g/hp-h</t>
  </si>
  <si>
    <t>lb/MWh</t>
  </si>
  <si>
    <t>g.hphTOlb.MWh</t>
  </si>
  <si>
    <t>g/kWh</t>
  </si>
  <si>
    <t>g.kWhTOlb.MWh</t>
  </si>
  <si>
    <t>kg/GJ</t>
  </si>
  <si>
    <t>kg.GJTOlb.MWh</t>
  </si>
  <si>
    <t>lb/mmBtu</t>
  </si>
  <si>
    <t>Mg/mmBtu</t>
  </si>
  <si>
    <t>lb.mmBtuTOMg.mmBtu</t>
  </si>
  <si>
    <t>ng/J</t>
  </si>
  <si>
    <t>lb.mmBtuTOng.J</t>
  </si>
  <si>
    <t>Tg/quad</t>
  </si>
  <si>
    <t>lb.mmBtuTOTg.quad</t>
  </si>
  <si>
    <t>lb.MWhTOg.hph</t>
  </si>
  <si>
    <t>lb.MWhTOg.kWh</t>
  </si>
  <si>
    <t>lb.MWhTOkg.GJ</t>
  </si>
  <si>
    <t>ton/GWh</t>
  </si>
  <si>
    <t>lb.MWhTOton.GWh</t>
  </si>
  <si>
    <t>ng.JTOlb.mmBtu</t>
  </si>
  <si>
    <t>Tg.quadTOlb.mmBtu</t>
  </si>
  <si>
    <t>ton.GWhTOlb.MWh</t>
  </si>
  <si>
    <t>heating value (energy/mass)</t>
  </si>
  <si>
    <t>Btu/lb</t>
  </si>
  <si>
    <t>MJ/kg</t>
  </si>
  <si>
    <t>Btu.lbTOMJ.kg</t>
  </si>
  <si>
    <t>mmBtu/ton</t>
  </si>
  <si>
    <t>Btu.lbTOmmBtu.ton</t>
  </si>
  <si>
    <t>kWh/ton</t>
  </si>
  <si>
    <t>kWh.tonTOMJ.kg</t>
  </si>
  <si>
    <t>MJ.kgTOBtu.lb</t>
  </si>
  <si>
    <t>MJ.kgTOkWh.ton</t>
  </si>
  <si>
    <t>MJ.kgTOmmBtu.ton</t>
  </si>
  <si>
    <t>mmBtu.tonTOBtu.lb</t>
  </si>
  <si>
    <t>heating value (energy/volume)</t>
  </si>
  <si>
    <t>Btu/ft3</t>
  </si>
  <si>
    <t>MJ/m3</t>
  </si>
  <si>
    <t>Btu.ft3TOMJ.m3</t>
  </si>
  <si>
    <t>MJ.m3TOBtu.ft3</t>
  </si>
  <si>
    <t>fuel efficiency (distance/volume)</t>
  </si>
  <si>
    <t>km/l</t>
  </si>
  <si>
    <t>mi/gal</t>
  </si>
  <si>
    <t>km.lTOmi.gal</t>
  </si>
  <si>
    <t>yield (mass/(area x time))</t>
  </si>
  <si>
    <t>Mg/ha-yr</t>
  </si>
  <si>
    <t>ton/acre-yr</t>
  </si>
  <si>
    <t>Mg.hayrTOton.acreyr</t>
  </si>
  <si>
    <t>Notes:</t>
  </si>
  <si>
    <t>Constants (green boxes) are from A203 unless otherwise noted, and contain the same number of significant digits as the original source.</t>
  </si>
  <si>
    <t>Calculated values (black numbers) are displayed to 4 significant digits.</t>
  </si>
  <si>
    <t>Joules are absolute joules (not archaic international joules).</t>
  </si>
  <si>
    <t>"cal" or "calorie" are gram-based calories.  kg-based Calories are referred to as "kcal."</t>
  </si>
  <si>
    <t>Gallons are U.S. liquid gallons (not dry gallons).</t>
  </si>
  <si>
    <t>Barrels are U.S. "blue barrel" oil barrels</t>
  </si>
  <si>
    <t>English system weights are in the avoirdupois system unless noted otherwise.</t>
  </si>
  <si>
    <t>mmBtuTOkWh</t>
  </si>
  <si>
    <t>residential elec., ¢/kWh</t>
  </si>
  <si>
    <t>industrial elec., ¢/kWh</t>
  </si>
  <si>
    <t>temporary value obtained at https://www.unitjuggler.com/convert-energy-from-boe-to-MMBtu.html</t>
  </si>
  <si>
    <t>gasoline, $/gal</t>
  </si>
  <si>
    <t>diesel, $/gal</t>
  </si>
  <si>
    <t>Motor Gasoline HHV</t>
  </si>
  <si>
    <t>Btu/gal</t>
  </si>
  <si>
    <t>A011</t>
  </si>
  <si>
    <t>"</t>
  </si>
  <si>
    <t>Distillate Fuel HHV</t>
  </si>
  <si>
    <t>LPG HHV</t>
  </si>
  <si>
    <t>Emissions before application of carbon tax</t>
  </si>
  <si>
    <r>
      <t>kgCO</t>
    </r>
    <r>
      <rPr>
        <b/>
        <vertAlign val="subscript"/>
        <sz val="10"/>
        <color indexed="8"/>
        <rFont val="Calibri"/>
        <family val="2"/>
      </rPr>
      <t>2</t>
    </r>
    <r>
      <rPr>
        <b/>
        <sz val="9"/>
        <color rgb="FF08519C"/>
        <rFont val="Calibri"/>
        <family val="2"/>
        <scheme val="minor"/>
      </rPr>
      <t>/mmBtu is the same as TgCO</t>
    </r>
    <r>
      <rPr>
        <b/>
        <vertAlign val="subscript"/>
        <sz val="10"/>
        <color indexed="8"/>
        <rFont val="Calibri"/>
        <family val="2"/>
      </rPr>
      <t>2</t>
    </r>
    <r>
      <rPr>
        <b/>
        <sz val="9"/>
        <color rgb="FF08519C"/>
        <rFont val="Calibri"/>
        <family val="2"/>
        <scheme val="minor"/>
      </rPr>
      <t>/quad</t>
    </r>
  </si>
  <si>
    <t>Electric  generators - generation shares by prime mover</t>
  </si>
  <si>
    <t>biomass</t>
  </si>
  <si>
    <t>wind</t>
  </si>
  <si>
    <t>solar</t>
  </si>
  <si>
    <r>
      <t>kgCO</t>
    </r>
    <r>
      <rPr>
        <b/>
        <vertAlign val="subscript"/>
        <sz val="10"/>
        <color indexed="8"/>
        <rFont val="Calibri"/>
        <family val="2"/>
      </rPr>
      <t>2</t>
    </r>
    <r>
      <rPr>
        <b/>
        <sz val="9"/>
        <color rgb="FF08519C"/>
        <rFont val="Calibri"/>
        <family val="2"/>
        <scheme val="minor"/>
      </rPr>
      <t>e/mmBtu</t>
    </r>
  </si>
  <si>
    <t>apply ramps to fuel emissions factors</t>
  </si>
  <si>
    <t>generate adjustment factor ramps</t>
  </si>
  <si>
    <t>gasoline-like fuels</t>
  </si>
  <si>
    <t>diesel-like fuels</t>
  </si>
  <si>
    <t>For:</t>
  </si>
  <si>
    <t>Washington State Department of Commerce</t>
  </si>
  <si>
    <t>Document no.:</t>
  </si>
  <si>
    <t>This workbook conforms with Best Practice Spreadsheet Modeling Standards version 6.1</t>
  </si>
  <si>
    <t>Table of Contents</t>
  </si>
  <si>
    <t>tab</t>
  </si>
  <si>
    <t>sheet title</t>
  </si>
  <si>
    <t>cover</t>
  </si>
  <si>
    <t>Styles key</t>
  </si>
  <si>
    <t>style</t>
  </si>
  <si>
    <t>purpose</t>
  </si>
  <si>
    <t>Sheet title</t>
  </si>
  <si>
    <t>label</t>
  </si>
  <si>
    <t>column labels</t>
  </si>
  <si>
    <t>units label</t>
  </si>
  <si>
    <t>a label describing units in a column</t>
  </si>
  <si>
    <t>Heading 1</t>
  </si>
  <si>
    <t>top-level heading in data hierarchy</t>
  </si>
  <si>
    <t>Heading 2</t>
  </si>
  <si>
    <t>second-level heading in data hierarchy</t>
  </si>
  <si>
    <t>Normal</t>
  </si>
  <si>
    <t>descriptive text</t>
  </si>
  <si>
    <t>calculation</t>
  </si>
  <si>
    <t>calculation with no embedded constants</t>
  </si>
  <si>
    <t>may have a text result; not necessarily numeric</t>
  </si>
  <si>
    <t>mixed</t>
  </si>
  <si>
    <t>calculation with embedded constants</t>
  </si>
  <si>
    <t>strongly discouraged</t>
  </si>
  <si>
    <t>hyperlink</t>
  </si>
  <si>
    <t>constant</t>
  </si>
  <si>
    <t>constant (parameter from an external source)</t>
  </si>
  <si>
    <t>each constant requires a source citation</t>
  </si>
  <si>
    <t>tax, $/gal</t>
  </si>
  <si>
    <t>carbon tax policy year</t>
  </si>
  <si>
    <t>$/gal</t>
  </si>
  <si>
    <t>supplemental fuel tax rate (gasoline)</t>
  </si>
  <si>
    <t>supplemental fuel tax rate (diesel)</t>
  </si>
  <si>
    <t>composite target series (for Dashboard)</t>
  </si>
  <si>
    <t>data labels (for Dashboard)</t>
  </si>
  <si>
    <t>Revenue (mm$) = Adjusted Consumption (quad) * 1000 * Carbon Tax ($/mmBtu)</t>
  </si>
  <si>
    <r>
      <t>ODS substitutes</t>
    </r>
    <r>
      <rPr>
        <b/>
        <vertAlign val="superscript"/>
        <sz val="10"/>
        <color indexed="8"/>
        <rFont val="Calibri"/>
        <family val="2"/>
      </rPr>
      <t>e</t>
    </r>
  </si>
  <si>
    <t>c. USE CAUTION. The baseline forecast you chose in cell D22 may already include aggressive assumptions of sector energy demands.</t>
  </si>
  <si>
    <t>e. Ozone depleting substance (ODS) substitutes are refrigerants that replace chlorofluorocarbons per requirements of the Montreal Protocol.</t>
  </si>
  <si>
    <t>* These are INCLUDED in each sector's emissions forecast above.</t>
  </si>
  <si>
    <t>d. Industrial process emissions are not taxed by CTAM, but you may invoke exogenous reductions in Step 5.</t>
  </si>
  <si>
    <t>b. CTAM will use your values of Revenue Fate only when they add to 100% (cell D18 will read "valid").</t>
  </si>
  <si>
    <t>a. The supplemental fuel tax decreases consumption but does not add to the carbon tax revenue stream. This is equivalent, for example, to an increase in the federal gasoline tax.</t>
  </si>
  <si>
    <t>Version 3.0</t>
  </si>
  <si>
    <t>all</t>
  </si>
  <si>
    <t>Baseline Price</t>
  </si>
  <si>
    <t>Baseline expend</t>
  </si>
  <si>
    <t>Adjusted Consumption</t>
  </si>
  <si>
    <t>Adjusted expend</t>
  </si>
  <si>
    <t>lookup</t>
  </si>
  <si>
    <t>Lookup Tables for Spreadsheet Automation</t>
  </si>
  <si>
    <t>CTAM is a project of the Washington State Energy Office, and as such is a public asset freely available for use or further modification.</t>
  </si>
  <si>
    <t>For extended assistance under contract (Japan):
   Keibun Mori
   keibun.mori@gmail.com</t>
  </si>
  <si>
    <t>See spreadsheet 230-09a for documentation.</t>
  </si>
  <si>
    <t>All elasticities are long-run and are phased in on linear ramps as specified in tab 'elasticities' (user may override).</t>
  </si>
  <si>
    <t>Baseline Policies &amp; Data</t>
  </si>
  <si>
    <r>
      <t>GHG emissions are in metric tons CO</t>
    </r>
    <r>
      <rPr>
        <b/>
        <vertAlign val="subscript"/>
        <sz val="10"/>
        <color indexed="8"/>
        <rFont val="Calibri"/>
        <family val="2"/>
      </rPr>
      <t>2</t>
    </r>
    <r>
      <rPr>
        <b/>
        <sz val="9"/>
        <color rgb="FF08519C"/>
        <rFont val="Calibri"/>
        <family val="2"/>
        <scheme val="minor"/>
      </rPr>
      <t>-equivalent (tCO</t>
    </r>
    <r>
      <rPr>
        <b/>
        <vertAlign val="subscript"/>
        <sz val="10"/>
        <color indexed="8"/>
        <rFont val="Calibri"/>
        <family val="2"/>
      </rPr>
      <t>2</t>
    </r>
    <r>
      <rPr>
        <b/>
        <sz val="9"/>
        <color rgb="FF08519C"/>
        <rFont val="Calibri"/>
        <family val="2"/>
        <scheme val="minor"/>
      </rPr>
      <t>e)</t>
    </r>
  </si>
  <si>
    <t>h. Use extreme caution when deploying a low carbon fuel standard (LCFS, #7) and EV penetration (#9) simultaneously: in some LCFS designs EV penetration contributes to AFCI target achievement.</t>
  </si>
  <si>
    <t>displaced</t>
  </si>
  <si>
    <t>energy displacement ratio</t>
  </si>
  <si>
    <t>R043</t>
  </si>
  <si>
    <t>Annual Energy Outlook: Transportation Sector Key Indicators and Delivered Energy Consumption</t>
  </si>
  <si>
    <t>http://www.eia.gov/oiaf/aeo/tablebrowser/#release=AEO2014&amp;subject=0-AEO2014&amp;table=7-AEO2014&amp;region=0-0&amp;cases=ref2014-d102413a</t>
  </si>
  <si>
    <t>http://www.ofm.wa.gov/economy/longterm/2014/lt2014ch4.pdf</t>
  </si>
  <si>
    <t>http://www.ofm.wa.gov/pop/stfc/default.asp</t>
  </si>
  <si>
    <t>AEO consumption and price sheets</t>
  </si>
  <si>
    <t>low growth case</t>
  </si>
  <si>
    <t>high growth case</t>
  </si>
  <si>
    <t>EIA data update</t>
  </si>
  <si>
    <t>9/8-9/2015</t>
  </si>
  <si>
    <t>CO2 emissions forecast</t>
  </si>
  <si>
    <t>Several adjustments made to both spreadsheets: Forecast and CTAM. Created sector specific proration factors to correct sector specific inaccuracies in natural gas and distillate consumption. Added "other petroleum" to the calculations, removed Lease plant fuel from natural gas calculations. Adjusted for CA LCFS, lowers Pacific region EIA forecast for gasoline and diesel.</t>
  </si>
  <si>
    <t>Consumption and emissions spreadsheets</t>
  </si>
  <si>
    <t>same as above</t>
  </si>
  <si>
    <t>Completed similar updates for the two EIA side cases in CTAM: low and high economic growth</t>
  </si>
  <si>
    <t>Consumption tab</t>
  </si>
  <si>
    <t>Updated with insertion of the revised 2013 FMD data into consumption tab</t>
  </si>
  <si>
    <t>Revenue calc tab</t>
  </si>
  <si>
    <t>Referenced wrong cell for distillate fuel: change row 19 to row 18 (tax rate) in ramp tab.</t>
  </si>
  <si>
    <t>Altered WA forecast by taking into account CA LCFS and its impact on gasoline and diesel consumption reductions in CA. WA does not have an LCFS and so would not see such reductions.</t>
  </si>
  <si>
    <t>WA forecast(s)</t>
  </si>
  <si>
    <t xml:space="preserve"> Greg</t>
  </si>
  <si>
    <t>Update AEO consumption and price sheets with AEO2015 reference, high and low price cases. Modify electricity sheet to change historical WA electricity to constant dollars.</t>
  </si>
  <si>
    <t>Relabeled "Fuel Mix Change" to "Electric Fuel Mix Change"</t>
  </si>
  <si>
    <t>Added fuel price summary table to dashboard. Fuel prices are in common units both before and after carbon tax. Detailed price data in common units ($/gal. etc.) added at bottom of Base price tab.</t>
  </si>
  <si>
    <t>Added a toggle on the dashboard which brings emissions associated  with imported electricity into the spreadsheet.  Industrial process emissions were also brought into the model. A separate toggle allows for the exclusion of the ODS (refrigerant) sub-category. Updated 1990 and 2035 targets to include imported electricity and industrial process emissions.</t>
  </si>
  <si>
    <t>http://www.eia.gov/electricity/annual/html/epa_08_01.html</t>
  </si>
  <si>
    <t>Update/change heat rate trend values in Baseline Consumption tab and Centralia output that is taxable in Baseline Emissions tab</t>
  </si>
  <si>
    <t>All</t>
  </si>
  <si>
    <t xml:space="preserve"> Update and add detail to proration table. </t>
  </si>
  <si>
    <t>Updated consumption and price forecast</t>
  </si>
  <si>
    <t>Additional correction to consumption forecast</t>
  </si>
  <si>
    <t>correction to electric forecast</t>
  </si>
  <si>
    <t>7th Plan forecast received from power Council did not include agriculture use in the total or commercial sector. Corrected and electric forecast fits historical values much better.</t>
  </si>
  <si>
    <t xml:space="preserve"> Greg (reviewer Gibson Peters)</t>
  </si>
  <si>
    <t>Fuel Mix 2014 and EIA 2014 WA electric sector update. Centralia output reduced to 8.7 million MWh.</t>
  </si>
  <si>
    <t xml:space="preserve"> Greg (Yoram Bauman review)</t>
  </si>
  <si>
    <t>Baseline  and Adjusted expend. + Adjusted cons. Coal sum value</t>
  </si>
  <si>
    <t>Corrected formula errors that reviewer noted on line 41 for expenditures, line 43 for consumption (no change observable for this last correction)</t>
  </si>
  <si>
    <t>FY 2016</t>
  </si>
  <si>
    <t>https://www.eia.gov/electricity/annual/html/epa_08_02.html</t>
  </si>
  <si>
    <t xml:space="preserve">Washington Dept. Of Commerce Energy Division </t>
  </si>
  <si>
    <t>Fuel Mix Disclosure series</t>
  </si>
  <si>
    <t>update forecast spreadsheet</t>
  </si>
  <si>
    <t>update Colstrip values</t>
  </si>
  <si>
    <t>heat rates</t>
  </si>
  <si>
    <t>Colstrip share/unit generation numbers changed to 5-year average. Values in forecast spreadsheet. PSE phase-out of Colstrip 1&amp;2 included on dashboard page.</t>
  </si>
  <si>
    <t>CTAM 3.2 for web</t>
  </si>
  <si>
    <t>Proration updates, Adjustment tab added (population, CA share, LCFS corrections), CA LCFS changes (EIA informed), etc. See notes in CTAM forecast spreadsheet</t>
  </si>
  <si>
    <t>Added 2013 &amp;14 EIA heat rate values and modified trend formula in Baseline emissions tab. Natural gas heat rate forecast is still not realistic. Use trend analysis for coal, but not natural gas (.2% improvement per year). CEC reference documenting little change in NG CCCT fleet heat rates over 10+ years.</t>
  </si>
  <si>
    <t>Finalize forecast spreadsheets for Reference, High growth, and Low growth cases. Test and trouble-shoot CTAM spreadsheet, correct minor referencing problems.</t>
  </si>
  <si>
    <t>CTAM 3.2c for web final</t>
  </si>
  <si>
    <t>Finished testing, formatting changes</t>
  </si>
  <si>
    <t>Update of consumption and price forecast using AEO 2016 Reference case with CPP. Change Centralia CF from 80% to 73.5% (2000-15 reported generation #). Update proration table with additional year of data, and more detail for distillate fuel use. Added a new correction factor to account for more rapid forecast of population growth in WA relative to rest of Pacific region. Added option of escalating process emissions (from historical emissions) using population growth rate instead of per capita personal income (using the population escalation factor current iteration of CTAM).</t>
  </si>
  <si>
    <t>Found several calculations were still using lease and plant fuel (natural gas) which WA does not have and consequently should not be prorated from Pac. Region # (AK and CA have this subcategory). Removing this sub-category of fuel use reduces calculated emissions and revenue collected. Also note that for 2016 the LPG industrial consumption forecast for Pacific region is 1/6 of what it was in the 2015 AEO Reference case. This in explicable change reduces emissions and revenue collected.</t>
  </si>
  <si>
    <t>cogeneration</t>
  </si>
  <si>
    <t>Adjusted levelized costs of electricity ($/MWh)</t>
  </si>
  <si>
    <t>Roel &amp; Greg</t>
  </si>
  <si>
    <t>baseline price, adjusted price, price change</t>
  </si>
  <si>
    <t>Changed computation of tax-affected components of levelized electricity cost, to affect only the fuel price portion of the levelized cost. (CTAM was scaling the entire levelized cost by the ratio of taxed and untaxed fuel).</t>
  </si>
  <si>
    <r>
      <t>Legislated federal and state policies (</t>
    </r>
    <r>
      <rPr>
        <b/>
        <i/>
        <sz val="10"/>
        <color indexed="8"/>
        <rFont val="Calibri"/>
        <family val="2"/>
      </rPr>
      <t>e.g.</t>
    </r>
    <r>
      <rPr>
        <b/>
        <sz val="9"/>
        <color rgb="FF08519C"/>
        <rFont val="Calibri"/>
        <family val="2"/>
        <scheme val="minor"/>
      </rPr>
      <t xml:space="preserve"> CAFE standards) are incorporated in the U.S. Energy Information Administration (EIA) baseline forecasts.</t>
    </r>
  </si>
  <si>
    <t>Energy consumption</t>
  </si>
  <si>
    <t>Change in expenditures</t>
  </si>
  <si>
    <t>Revenue generated</t>
  </si>
  <si>
    <t>Consumer expend redux net of carbon reduction</t>
  </si>
  <si>
    <t>R044</t>
  </si>
  <si>
    <t>Efficiency of CA electric natural gas fleet:  http://www.energy.ca.gov/2014publications/CEC-200-2014-005/CEC-200-2014-005.pdf</t>
  </si>
  <si>
    <t>Annual percent increase</t>
  </si>
  <si>
    <t>carbon tax rate, fixed $ amt</t>
  </si>
  <si>
    <t xml:space="preserve">carbon tax rate, fixed percentage inc. </t>
  </si>
  <si>
    <r>
      <t xml:space="preserve">annual percentage increase </t>
    </r>
    <r>
      <rPr>
        <b/>
        <vertAlign val="superscript"/>
        <sz val="10"/>
        <color indexed="8"/>
        <rFont val="Calibri"/>
        <family val="2"/>
      </rPr>
      <t>i</t>
    </r>
  </si>
  <si>
    <t>AEO 2017 Reference Case</t>
  </si>
  <si>
    <t>Consider modifying population adjustment factor</t>
  </si>
  <si>
    <t>Energy consumption and price. Colstrip 2022 closure now in baseline</t>
  </si>
  <si>
    <t>Corrected for ethanol in gasoline. No emissions for ethanol. Moved  "other petroleum" category for non-energy correction to forecast spreadsheet .</t>
  </si>
  <si>
    <t>AEO  Pac region forecast</t>
  </si>
  <si>
    <t>Electric module</t>
  </si>
  <si>
    <t>Cleanup and testing</t>
  </si>
  <si>
    <t>Roel/Keibun</t>
  </si>
  <si>
    <t>Significant upgrades to CTAM -preliminary release. See Commerce contract no. F14-52110-001 for work description.</t>
  </si>
  <si>
    <t>Baseline Consumption'!R52*ramps!S72*ramps!S97*(1+'Price Change'!R33*ramps!S44)</t>
  </si>
  <si>
    <t>EIA AEO 2017</t>
  </si>
  <si>
    <t>State population</t>
  </si>
  <si>
    <t>jet fuel, $/gal</t>
  </si>
  <si>
    <t>Base case = baseline elasticity values, no elasticity of substitution or other policies.</t>
  </si>
  <si>
    <t>Checking and combining all changes made during last 2 months which were distributed between 2 versions of CTAM. Changed EV ramp factors to reflect current EV MPGe (was too high in the near term). Changed coal electric price elasticity value to -0.14 (WECCC value instead of natl. value).</t>
  </si>
  <si>
    <t>Forecast update</t>
  </si>
  <si>
    <t>Incorporate Colstrip 1 &amp; 2 closure in 2022, hard coded now.</t>
  </si>
  <si>
    <t>New EIA correction for AEO  Pac region forecast. Takes into account CA cap &amp; trade targets. Reassessed mechanism for incorporating CA AB32 into forecast</t>
  </si>
  <si>
    <t>More replacement power (tax induced) is now attributed to new renewables, wind, biomass and solar.</t>
  </si>
  <si>
    <t>Set process emissions inflation factor to population growth factor. Removed population adjust factor from industrial sector which has not shown growth over the past 15-20 years.</t>
  </si>
  <si>
    <t>Revisited this topic, reworking calculations in cashare file. Slightly less growth in resid &amp; comm nat. gas, less growth in indust. nat gas use, slower decline in motor gas use, added still gas adjustment (adds cons) to indust other petroleum category. Net result is a smaller decline in energy consumption during 2018-30, and less consumption rebound during 2035-40.</t>
  </si>
  <si>
    <t>Misc.</t>
  </si>
  <si>
    <t>Minor formatting changes and updating of historical comparative data</t>
  </si>
  <si>
    <t>Greg/NPCC</t>
  </si>
  <si>
    <t>fuel tax rates: fixed amt/yr or fixed %/yr</t>
  </si>
  <si>
    <t>On-road Distillate Fuel, + supplemental fuel tax option</t>
  </si>
  <si>
    <t>Motor Gasoline, + supplemental fuel tax option</t>
  </si>
  <si>
    <t>Grand Revenue Total</t>
  </si>
  <si>
    <t>Historical data</t>
  </si>
  <si>
    <t>Synced up historical energy consumption and price data for Scenarios A, B and C.</t>
  </si>
  <si>
    <t>Centralia tax exemption</t>
  </si>
  <si>
    <t>Electric: natural gas sub. for coal</t>
  </si>
  <si>
    <t>2015 EIA Levelized Cost of Generation Table 2 *</t>
  </si>
  <si>
    <t>https://www.eia.gov/outlooks/aeo/pdf/electricity_generation_2015.pdf</t>
  </si>
  <si>
    <t>Levelized Cost of New Generation Resources in the Annual Energy Outlook 2015 and 2017</t>
  </si>
  <si>
    <t>$/MWh (2016$)</t>
  </si>
  <si>
    <t>Dashboard control</t>
  </si>
  <si>
    <t>OFM population forecast. Shared with energy forecast spreadsheet.</t>
  </si>
  <si>
    <t>per capita emissions</t>
  </si>
  <si>
    <t>residential NG, $/therm</t>
  </si>
  <si>
    <t>f. You may select from three EIA baseline scenarios: 1. Reference, 2. Extended policies, and 3. Low oil and natural gas price. See EIA Annual Energy Outlook for details: http://www.eia.gov/forecasts/aeo/</t>
  </si>
  <si>
    <t>exogenous industrial emissions adjustment factors (user forces from 'dashboard' tab)</t>
  </si>
  <si>
    <t>EV improvement per year</t>
  </si>
  <si>
    <t>State and County Quick Facts, Washington</t>
  </si>
  <si>
    <t>Retail Sales of Electricity (Megawatt hours) by State by Sector by Provider, 1990-2012</t>
  </si>
  <si>
    <t>Average Price (Cents/kilowatt-hour) by State by Provider, 1990-2012</t>
  </si>
  <si>
    <t>California Energy Commission</t>
  </si>
  <si>
    <t>Add note about modifying residential and commercial electricity and natural gas elasticity values to reflect cost effectiveness test.</t>
  </si>
  <si>
    <t>Added a toggle for removing part of the energy input to the "other petroleum" category. Other petroleum includes non-energy categories which the toggle removes. This reduces fossil fuel energy in the industrial category and associated CO2 emissions.</t>
  </si>
  <si>
    <t>Updated electricity forecast</t>
  </si>
  <si>
    <t xml:space="preserve">Multiple changes to the electricity forecast: Reduced FMD averaging period to 4 years, which boosts wind contribution in 2011-15 period. Incorporate Energy Independence Act into the forecast; assuming statewide 6% renewables in 2016 and 10% in 2020, all wind and maintained through 2040. </t>
  </si>
  <si>
    <t>Option to add renewables as replacement power for Colstrip 1&amp;2 shutdown in 2022.</t>
  </si>
  <si>
    <t>Added electricity irrigation and street lighting/facilities in NPCC forecast to industrial sector. This prevents significant drop in industrial electric use in the CTAM forecast (we ignored these small subcategories before).</t>
  </si>
  <si>
    <t>Extended Centralia capacity factor calc thru 2016 resulting in lower value. Reduced rated capacity in Centralia tax calculation (emissions tab) from 1460 to 1360 MW (NPCC "big spreadsheet).</t>
  </si>
  <si>
    <t>Corrected error in %/yr. calc controlled from dashboard. Added per capita emission estimates for 1990, 2020 2035 and 2050 at bottom of Emission tab</t>
  </si>
  <si>
    <t>Jet Fuel (+ other petroleum in transportation = aviation gasoline)</t>
  </si>
  <si>
    <t>mmBtu/bbl.</t>
  </si>
  <si>
    <t>Electric Price Change ($/MMBtu)</t>
  </si>
  <si>
    <t>Electricity price change</t>
  </si>
  <si>
    <t>Additional Centralia calculations</t>
  </si>
  <si>
    <t>1990 WA population</t>
  </si>
  <si>
    <t>persons</t>
  </si>
  <si>
    <t>Proposed 2018 changes</t>
  </si>
  <si>
    <t>Electric generator fuel cost, $/MWh</t>
  </si>
  <si>
    <t>Fuel cost to electric generators, $/MWh</t>
  </si>
  <si>
    <t>i. The carbon tax ramp can also be set using an annual percentage increase. The user must enter a starting price otherwise the default value will be used. The maximum value is set to $200/ton</t>
  </si>
  <si>
    <t>All monetary data are in the current units used in the EIA forecast</t>
  </si>
  <si>
    <t>Sector level energy expenditures were calculated by multiplying baseline or adjusted energy prices by baseline or adjusted state energy consumption.</t>
  </si>
  <si>
    <t>yr.</t>
  </si>
  <si>
    <t xml:space="preserve">Corrected error in electricity calculation: dashboard showing the same % increase for sectors with different baseline price forecasts. Previously a global % Price Change was calculated, but now unique % Price Changes are calcautled for electricity used in the residential, commercial, industrial and transportation sectors. See Price Change tab rows 86 and 88. </t>
  </si>
  <si>
    <t>marine residual oil, $/bbl.</t>
  </si>
  <si>
    <t xml:space="preserve">Assumed to be carbon neutral for this analysis, including renewable energy, liquid hydrogen, biofuel, nuclear power, feedstock, heat and power (co-generation), and other petroleum (e.g. lubricant) </t>
  </si>
  <si>
    <t>In the Baseline Emissions tab, starting at row 109 &amp; column N, are additional exogenous calculations that reflect the taxed coal power to non-taxed coal power shift (Centralia "transition coal" exemption from tax) that might occur. The values also appear at the bottom of the Revenue tab: row 95 to 99. This hypothetical shift would be by the 3 IOUs that own shares of (imported) production from coal-fired power plants in MT, WY and NV (taxed) who would switch to power produced by the Trans Alta Centralia power plant during the 2019-2025 interval (Agreement with Trans Alta calls for cessation of Centralia operation after Dec. 21 2025).</t>
  </si>
  <si>
    <t>Distribute the replacement MWhs used to compensate for coal plant closure to 25% hydropower genr, 50% wind, 12.5% solar and 12.5% biomass.   Corrected an error in electric sector calcs.</t>
  </si>
  <si>
    <t>Elasticity values &amp; WA forecast methodology</t>
  </si>
  <si>
    <t>Comm. electric subs for nat. gas</t>
  </si>
  <si>
    <t>Resid. electric subs for nat. gas</t>
  </si>
  <si>
    <t>Flared natural gas (sub. for still gas)</t>
  </si>
  <si>
    <t>https://www.eia.gov/environment/emissions/co2_vol_mass.php</t>
  </si>
  <si>
    <t>Elec. forecast</t>
  </si>
  <si>
    <t>Consumption ratio: Nat gas/coal</t>
  </si>
  <si>
    <t>New consumption ratio: Nat gas/coal</t>
  </si>
  <si>
    <t>New natural gas consumption Qbtu</t>
  </si>
  <si>
    <t>New coal consumption Qbtu</t>
  </si>
  <si>
    <t>Change in coal cons. due to subs effect</t>
  </si>
  <si>
    <t>Change in nat gas cons. due to subs effect</t>
  </si>
  <si>
    <t>This calc used the residual fuel emis factor. Changed to natural gas emis factor.</t>
  </si>
  <si>
    <t xml:space="preserve"> lb. CO2/gal</t>
  </si>
  <si>
    <t>Modified Pacific region prices</t>
  </si>
  <si>
    <t xml:space="preserve">Electric Generators (consumption-basis) </t>
  </si>
  <si>
    <t>Modified elec. forecast to reduce coal pwr genr, and bring in more renewables over forecast period. This reflects EIA requirements and recent IRP reports taht renewables are the low cost resource presented in most utility IRPs (simple cost basis calc, not service provided basis). Previous method relied on historical FMD reporting with trend analysis. Have limited the trend analysis period as it creates problems if extended much more than 10 yrs. In addition we are undertaking measures to more accurately assess coal pwr genr in the FMD market purchase pwr, resulting in lower overall coal genr purchases for WA utilities. The old FMD market power fuel mix created an upward bias for coal pwr gener in market power purchases.</t>
  </si>
  <si>
    <t>artifact of change in forecast methodology</t>
  </si>
  <si>
    <t>Coal--&gt; Nat. gas subs elasticity raised to 0.28 (2X documented), reflecting current lower gas price, higher value of CCCT power plant services. Natural gas own elasticity reduced to 0.17 (ref. report shows .29 natl, .05 WECC, averaged), reasoning that report data is limited and the WECC value is too low - reference is also somewhat out of date (2008-09 data) and does not reflect increasing option to switch to renewables or DR.  Switch to an energy forecast based on the AEO national reference case. The forecast was previously based on AEO Pacific region forecast, but there were forecast challenges because of CA's more aggressive climate policy goals. Extend the energy forecast, with concerns, to 2050 but not implemented in the CTAM model. Changed cogeneration emission factor ref. to natural gas - was inexplicably referring to the residual fuel emission factor.</t>
  </si>
  <si>
    <t>Coal price nat. gas subs elasticity and stickiness values are changed: increase substitution rate of gas for coal. EIA elasticity study used 2008-09 data and is not reflecting current lower price and superior nature of natural gas. The electricity forecast is different than 2017, see forecast spreadsheet for changes: result is different resource % shares, in particular a lower coal share. Consider adding exemption option for EITE's, etc for DOR use. Correct double count of one small category in NPCC WA electric load forecast: reduces total MWh forecast (and emissions) WA.</t>
  </si>
  <si>
    <t xml:space="preserve">E10 gasoline and ethanol have approx. 121,000 and 84,000 Btu/gal respectively </t>
  </si>
  <si>
    <t>apply industrial natural gas price and tax ramp to other petroleum</t>
  </si>
  <si>
    <t>Other petroleum calculation</t>
  </si>
  <si>
    <t>apply residential distillate price and tax ramp rate to residential kerosene consumption and revenue calcs.</t>
  </si>
  <si>
    <t>apply commercial distillate price and tax ramp rate to commercial kerosene consumption and revenue calcs.</t>
  </si>
  <si>
    <t>residential and commercial kerosene</t>
  </si>
  <si>
    <t>Kerosene calcs</t>
  </si>
  <si>
    <t>Industrial and commercial motor gasoline calcs</t>
  </si>
  <si>
    <t xml:space="preserve">Industrial and commercial motor gasoline </t>
  </si>
  <si>
    <t>Added a carbon tax exemption for Colstrip 1&amp;2, similar to the existing Centralia "transition coal" exemption. Controlled from the Dashboard. Note this version of CTAM has only the EIA reference case loaded. Low and High growth cases have not been updated.</t>
  </si>
  <si>
    <t>Similar to above, assuming price, elasticity, price change for these minor categories of fuel consumption. Result, more revenue and lower emissions</t>
  </si>
  <si>
    <t>Residual Fuel (non-marine fuel use)</t>
  </si>
  <si>
    <t xml:space="preserve">   Lease and Plant Fuel </t>
  </si>
  <si>
    <t xml:space="preserve">   Renewable Energy </t>
  </si>
  <si>
    <t xml:space="preserve">   Motor Gasoline </t>
  </si>
  <si>
    <t xml:space="preserve">   Renewable Energy</t>
  </si>
  <si>
    <t xml:space="preserve"> Industrial </t>
  </si>
  <si>
    <t xml:space="preserve">   Motor Gasoline</t>
  </si>
  <si>
    <t xml:space="preserve">   Other Petroleum </t>
  </si>
  <si>
    <t xml:space="preserve">   E85 </t>
  </si>
  <si>
    <t xml:space="preserve">   Jet Fuel </t>
  </si>
  <si>
    <t xml:space="preserve">   Distillate Fuel Oil </t>
  </si>
  <si>
    <t xml:space="preserve">Electric Power </t>
  </si>
  <si>
    <t xml:space="preserve">     Total </t>
  </si>
  <si>
    <t>E10 lb CO2/gal</t>
  </si>
  <si>
    <t>Tax Exemptions</t>
  </si>
  <si>
    <t>other petroleum, which is mostly still gas, light ends that is used as a fuel source at refineries</t>
  </si>
  <si>
    <t>Residual fuel exemption</t>
  </si>
  <si>
    <t>The residual fuel exemption should be applied in the transportation sector. Residual fuel use in other sectors is not exempt from the carbon tax.</t>
  </si>
  <si>
    <t>Include "other petroleum" in adjusted emission and revenue calculation. Note that non-energy components of this category have been removed in the forecast spreadsheet. Initially no EIA price for "other petroleum" consequently left out of carbon tax exemption. Applied the industrial natural gas price and tax ramp schedule to "other petroleum".</t>
  </si>
  <si>
    <t>Applied residential distillate price and tax ramp schedule to residential kerosene consumption and revenue calcs. This is a very small fuel category, but would be impacted by a carbon tax. Also applied commercial distillate price and tax ramp schedule to commercial kerosene consumption and revenue calcs.</t>
  </si>
  <si>
    <t>CTAM correction list</t>
  </si>
  <si>
    <t>I-1631, option for Colstrip 1&amp;2 exemption</t>
  </si>
  <si>
    <t>corrections</t>
  </si>
  <si>
    <t>Corrected referencing error for CNG tranportation fuel, commercial motor gas</t>
  </si>
  <si>
    <t xml:space="preserve">CNG transport referencing, one row off. Commercial motor gas was too large. Problem w change in forecast methdology - reduced to historical ave. </t>
  </si>
  <si>
    <t>lb. CO2/MMBtu</t>
  </si>
  <si>
    <t>Federal fuel tax revenue increase (option 6 on dashboard)</t>
  </si>
  <si>
    <t>https://www.census.gov/quickfacts/wa</t>
  </si>
  <si>
    <t xml:space="preserve">https://dor.wa.gov/sites/default/files/legacy/docs/reports/historical-tax-collections.xlsx </t>
  </si>
  <si>
    <t>Washington State Department of Revenue</t>
  </si>
  <si>
    <t>Historical Tax Collections</t>
  </si>
  <si>
    <t>Total levelized price of generation per EIA</t>
  </si>
  <si>
    <t>Adjusted levelized price $/MWh</t>
  </si>
  <si>
    <t>Calcs for the coal value need to be modified: See Adj. Cons tab row 123 for comments</t>
  </si>
  <si>
    <t>Heat rates won't change much especially with recent trend away from thermal resources</t>
  </si>
  <si>
    <t>Baseline Forecast</t>
  </si>
  <si>
    <t>Carbon Tax Analysis Model (CTAM), version 4.0 base case</t>
  </si>
  <si>
    <t>For technical assistance please contact:
   Greg Nothstein
   Program Manager, Washington State Energy Strategy
   greg.nothstein@commerce.wa.gov
   tel. 360-725-3112, 253 278-0825 (cell)</t>
  </si>
  <si>
    <t xml:space="preserve">Cogeneration  </t>
  </si>
  <si>
    <t>10-year heat rate forecast, then take average for subsequent years forecast.</t>
  </si>
  <si>
    <t>levelized costs of electricity generation from specific fuels (EIA)</t>
  </si>
  <si>
    <t>2018 EIA Levelized Cost of Generation Table 2 *</t>
  </si>
  <si>
    <t>$/MWh (2017$)</t>
  </si>
  <si>
    <t>residential LPG</t>
  </si>
  <si>
    <t>commercial LPG</t>
  </si>
  <si>
    <t>commercial NG, $/therm</t>
  </si>
  <si>
    <t>commercial elec., ¢/kWh</t>
  </si>
  <si>
    <t>residential LPG,  $/gal</t>
  </si>
  <si>
    <t>commercial LPG,  $/gal</t>
  </si>
  <si>
    <t>industrial distillate, $/gal</t>
  </si>
  <si>
    <t>Percent change in price due to carbon tax</t>
  </si>
  <si>
    <t>residential NG</t>
  </si>
  <si>
    <t>residential elec.</t>
  </si>
  <si>
    <t>commercial NG</t>
  </si>
  <si>
    <t>commercial elec.</t>
  </si>
  <si>
    <t>industrial distillate</t>
  </si>
  <si>
    <t>industrial NG</t>
  </si>
  <si>
    <t>industrial elec.</t>
  </si>
  <si>
    <t>marine residual oil</t>
  </si>
  <si>
    <t>Baseline emissions, metric tons/year</t>
  </si>
  <si>
    <t>Adjusted emissions, metric tons/year</t>
  </si>
  <si>
    <t>commercial distillate,  $/gal</t>
  </si>
  <si>
    <t>commercial distillate</t>
  </si>
  <si>
    <t>Change in emissions due to carbon tax, metric tons/year</t>
  </si>
  <si>
    <t>Fuel cost of electricity, $/MMBtu</t>
  </si>
  <si>
    <t>Total Revenue</t>
  </si>
  <si>
    <t>minor fuels</t>
  </si>
  <si>
    <t>Total reduction due to tax</t>
  </si>
  <si>
    <t>Sector and Fuel Category</t>
  </si>
  <si>
    <t>https://www.commerce.wa.gov/growing-the-economy/energy/fuel-mix-disclosure/</t>
  </si>
  <si>
    <t>2014-17</t>
  </si>
  <si>
    <t>Electric calcs modified and new forecast</t>
  </si>
  <si>
    <t>Using 2010-17 FMD electric sector fuel share averages instead of trend analysis. Minor correction and added detail in electric section of parameters tab</t>
  </si>
  <si>
    <t>reference case: AEO 2019</t>
  </si>
  <si>
    <t>CTAM updates for 2019, DRAFT</t>
  </si>
  <si>
    <t>AEO 2019 update</t>
  </si>
  <si>
    <t>Updated the energy and price forecast to AEO 2019 Reference case. Pacific region based forecast.</t>
  </si>
  <si>
    <t>Uses historical average approach based on 2010-17 Fuel Mix to forecast electric sector fuel shares.</t>
  </si>
  <si>
    <t>Energy indicators data for transport fuels</t>
  </si>
  <si>
    <t>substitution of forecast coal generation with natural gas generation</t>
  </si>
  <si>
    <t>Clean Energy Legis</t>
  </si>
  <si>
    <t>Initial attempt at integrating the Clean Energy Legis. into CTAM. Zero out coal-fired genr in 2026, replace with natural gas genr, which is zeroed out in 2046. Sent to Ecology.</t>
  </si>
  <si>
    <t>assumption</t>
  </si>
  <si>
    <t>always associated with a constant</t>
  </si>
  <si>
    <t>ns</t>
  </si>
  <si>
    <t>constant without source (programmer's assumption)</t>
  </si>
  <si>
    <t>user input</t>
  </si>
  <si>
    <t>undefined</t>
  </si>
  <si>
    <t>result</t>
  </si>
  <si>
    <t>checksum</t>
  </si>
  <si>
    <t>black "o.k." if zero, red otherwise</t>
  </si>
  <si>
    <t>WIP</t>
  </si>
  <si>
    <t>work in progress</t>
  </si>
  <si>
    <t>For extended assistance under contract (U.S.):
   Roel Hammerschlag
   roel@hammerschlag.llc
   tel. 360-352-6866</t>
  </si>
  <si>
    <t>energy prices, 2018 dollars</t>
  </si>
  <si>
    <t>effects of revenue</t>
  </si>
  <si>
    <t>Carbon tax, $/MgCO2</t>
  </si>
  <si>
    <t>return to TOC</t>
  </si>
  <si>
    <t>growth</t>
  </si>
  <si>
    <t>2018-2050</t>
  </si>
  <si>
    <t>baseline consumption duplicated from either scenario A, B or C depending on the user's choice</t>
  </si>
  <si>
    <t>[as received from State Energy Forecast]</t>
  </si>
  <si>
    <t>baseline price duplicated from either scenario A, B or C depending on the user's choice</t>
  </si>
  <si>
    <r>
      <t>baseline emissions (MtCO</t>
    </r>
    <r>
      <rPr>
        <b/>
        <vertAlign val="subscript"/>
        <sz val="9"/>
        <color rgb="FF08519C"/>
        <rFont val="Arial Narrow"/>
        <family val="2"/>
      </rPr>
      <t>2</t>
    </r>
    <r>
      <rPr>
        <b/>
        <sz val="9"/>
        <color rgb="FF08519C"/>
        <rFont val="Arial Narrow"/>
        <family val="2"/>
      </rPr>
      <t>) = baseline consumption (quad) * emission factor (MtCO</t>
    </r>
    <r>
      <rPr>
        <b/>
        <vertAlign val="subscript"/>
        <sz val="9"/>
        <color rgb="FF08519C"/>
        <rFont val="Arial Narrow"/>
        <family val="2"/>
      </rPr>
      <t>2</t>
    </r>
    <r>
      <rPr>
        <b/>
        <sz val="9"/>
        <color rgb="FF08519C"/>
        <rFont val="Arial Narrow"/>
        <family val="2"/>
      </rPr>
      <t>/quad)</t>
    </r>
  </si>
  <si>
    <r>
      <t>million tCO</t>
    </r>
    <r>
      <rPr>
        <b/>
        <vertAlign val="subscript"/>
        <sz val="9"/>
        <color rgb="FF08519C"/>
        <rFont val="Arial Narrow"/>
        <family val="2"/>
      </rPr>
      <t>2</t>
    </r>
  </si>
  <si>
    <t>Targets (for Dashboard graphic)</t>
  </si>
  <si>
    <t>Version 4.0</t>
  </si>
  <si>
    <r>
      <t>Price Elasticities of Demand</t>
    </r>
    <r>
      <rPr>
        <b/>
        <vertAlign val="superscript"/>
        <sz val="20"/>
        <color rgb="FF08519C"/>
        <rFont val="Arial Narrow"/>
        <family val="2"/>
      </rPr>
      <t>a</t>
    </r>
  </si>
  <si>
    <r>
      <t xml:space="preserve">a. These are </t>
    </r>
    <r>
      <rPr>
        <b/>
        <i/>
        <sz val="10"/>
        <color rgb="FF08519C"/>
        <rFont val="Calibri"/>
        <family val="2"/>
      </rPr>
      <t>long-run</t>
    </r>
    <r>
      <rPr>
        <b/>
        <sz val="9"/>
        <color rgb="FF08519C"/>
        <rFont val="Calibri"/>
        <family val="2"/>
        <scheme val="minor"/>
      </rPr>
      <t xml:space="preserve"> elasticities of demand. All default values are computed in spreadsheet 230-08c</t>
    </r>
  </si>
  <si>
    <r>
      <t>Stickinessb (yr.)</t>
    </r>
    <r>
      <rPr>
        <b/>
        <vertAlign val="superscript"/>
        <sz val="8"/>
        <color theme="0"/>
        <rFont val="Arial Narrow"/>
        <family val="2"/>
      </rPr>
      <t>b</t>
    </r>
  </si>
  <si>
    <r>
      <t xml:space="preserve">4. (optional) add exogenous reductions to sector energy demands [note </t>
    </r>
    <r>
      <rPr>
        <b/>
        <i/>
        <sz val="9"/>
        <color theme="0"/>
        <rFont val="Arial Black"/>
        <family val="2"/>
      </rPr>
      <t>c</t>
    </r>
    <r>
      <rPr>
        <b/>
        <sz val="9"/>
        <color theme="0"/>
        <rFont val="Arial Black"/>
        <family val="2"/>
      </rPr>
      <t>]</t>
    </r>
  </si>
  <si>
    <t>E10</t>
  </si>
  <si>
    <t>LCFS</t>
  </si>
  <si>
    <t>j. The model assumes that consumers transitioning to EV due to the subsidy remain loyal to EVs after subsidy ends.</t>
  </si>
  <si>
    <t>Fuels</t>
  </si>
  <si>
    <t>Technologies</t>
  </si>
  <si>
    <t>EVs</t>
  </si>
  <si>
    <t>begin year,</t>
  </si>
  <si>
    <t>inclusive</t>
  </si>
  <si>
    <t>end year,</t>
  </si>
  <si>
    <t>baseline change in electricity demand</t>
  </si>
  <si>
    <t>transportation sector effects</t>
  </si>
  <si>
    <t>additional new demand due to subsidy</t>
  </si>
  <si>
    <t>Liquefied Petroleum Gases</t>
  </si>
  <si>
    <t>Distillate Fuel Oil</t>
  </si>
  <si>
    <t>Renewable Energy</t>
  </si>
  <si>
    <t>TOTAL</t>
  </si>
  <si>
    <t>Petrochemical Feedstocks</t>
  </si>
  <si>
    <t>Other Petroleum</t>
  </si>
  <si>
    <t>Natural-Gas-to-Liquids Heat and Power</t>
  </si>
  <si>
    <t>Lease and Plant Fuel</t>
  </si>
  <si>
    <t>Natural Gas Subtotal</t>
  </si>
  <si>
    <t>Metallurgical Coal</t>
  </si>
  <si>
    <t>Other Industrial Coal</t>
  </si>
  <si>
    <t>Coal-to-Liquids Heat and Power</t>
  </si>
  <si>
    <t>Net Coal Coke Imports</t>
  </si>
  <si>
    <t>Coal Subtotal</t>
  </si>
  <si>
    <t>Biofuels Heat and Coproducts</t>
  </si>
  <si>
    <t>E85</t>
  </si>
  <si>
    <t>Pipeline Fuel Natural Gas</t>
  </si>
  <si>
    <t>Compressed Natural Gas</t>
  </si>
  <si>
    <t>Liquid Hydrogen</t>
  </si>
  <si>
    <r>
      <t>Electricity</t>
    </r>
    <r>
      <rPr>
        <b/>
        <sz val="9"/>
        <color rgb="FFFF0000"/>
        <rFont val="Calibri"/>
        <family val="2"/>
        <scheme val="minor"/>
      </rPr>
      <t xml:space="preserve"> - Electricity Step 4</t>
    </r>
  </si>
  <si>
    <t>revenue impact</t>
  </si>
  <si>
    <r>
      <t xml:space="preserve">2. assign fates for the revenue [note </t>
    </r>
    <r>
      <rPr>
        <b/>
        <i/>
        <sz val="9"/>
        <color theme="0"/>
        <rFont val="Arial Black"/>
        <family val="2"/>
      </rPr>
      <t>b</t>
    </r>
    <r>
      <rPr>
        <b/>
        <sz val="9"/>
        <color theme="0"/>
        <rFont val="Arial Black"/>
        <family val="2"/>
      </rPr>
      <t>]</t>
    </r>
  </si>
  <si>
    <t>hydro</t>
  </si>
  <si>
    <t>renewables replacing fossil fuel priced out of electric generation</t>
  </si>
  <si>
    <t>total replacement</t>
  </si>
  <si>
    <t>Adjustments to electricity demand and price are calculated as follows:
Step 1: Adjust gross demand by electric generators for each of the fossil fuels by applying elasticities measured for the electric sector (EIA 2012) against fossil fuel price increases created by the modeled carbon tax.
Step 2: Calculate a new electric fuel mix by replacing any reduced fossil fuel consumption with the mix of renewables specified by the user in Dashboard section 3.
Step 3: Calculate a new retail price for electricity by increasing the levelized costs of generation from fossil fuels, and applying the new set of levelized costs to the new fuel mix.
Step 4:  Adjust demand for electricity in each of the four end-use sectors from baseline values according to their respective price elasticities of demand for electricity.
Step 5: Calculate gross, adjusted electric generation by summing adjusted consumption in the four end-use sectors.
Step 6: Calculate the quantities of all primary fuels consumed by the electric sector by applying the new fuel mix (Step 2) to the adjusted gross consumption (Step 5).</t>
  </si>
  <si>
    <t>renewables replacing fossil electricity</t>
  </si>
  <si>
    <t>...taxable, before application of the tax;</t>
  </si>
  <si>
    <r>
      <t>Fraction of fuel mix that is... (</t>
    </r>
    <r>
      <rPr>
        <b/>
        <sz val="9"/>
        <color rgb="FFFF0000"/>
        <rFont val="Calibri"/>
        <family val="2"/>
        <scheme val="minor"/>
      </rPr>
      <t>Electricity Step 2a</t>
    </r>
    <r>
      <rPr>
        <b/>
        <sz val="9"/>
        <color rgb="FF08519C"/>
        <rFont val="Calibri"/>
        <family val="2"/>
        <scheme val="minor"/>
      </rPr>
      <t>)</t>
    </r>
  </si>
  <si>
    <t>baseline electric fuel mix (direct references to 'Baseline Consumption' sheet, for convenience)</t>
  </si>
  <si>
    <t>Totals</t>
  </si>
  <si>
    <t>energy-related emissions</t>
  </si>
  <si>
    <r>
      <t xml:space="preserve">adjusted/baseline fossil fuel consumption - </t>
    </r>
    <r>
      <rPr>
        <b/>
        <sz val="9"/>
        <color rgb="FFFF0000"/>
        <rFont val="Calibri"/>
        <family val="2"/>
        <scheme val="minor"/>
      </rPr>
      <t>Electricity step 6a</t>
    </r>
  </si>
  <si>
    <r>
      <t xml:space="preserve">total electricity consumption after tax -- </t>
    </r>
    <r>
      <rPr>
        <b/>
        <sz val="9"/>
        <color rgb="FFFF0000"/>
        <rFont val="Calibri"/>
        <family val="2"/>
        <scheme val="minor"/>
      </rPr>
      <t>Electricity step 5</t>
    </r>
  </si>
  <si>
    <t>coal-NG substitution effect</t>
  </si>
  <si>
    <t>State Population</t>
  </si>
  <si>
    <t>Revenue collected from the carbon tax, million 2018$</t>
  </si>
  <si>
    <t>Baseline energy prices, units as indicated</t>
  </si>
  <si>
    <t>Adjusted energy prices, units as indicated</t>
  </si>
  <si>
    <t>price forecast chained to year:</t>
  </si>
  <si>
    <t>name of baseline forecast:</t>
  </si>
  <si>
    <t>k. Set carbon tax rates using dollars from the same year used by the forecast (cell C25 or D25).</t>
  </si>
  <si>
    <t>State Revenue</t>
  </si>
  <si>
    <t>Note implication that all revenue values are for this SAME year!</t>
  </si>
  <si>
    <t>calendar year</t>
  </si>
  <si>
    <t>data year</t>
  </si>
  <si>
    <t>Average Growth Rate between 2020 and 2050</t>
  </si>
  <si>
    <t>Baseline prices of primary fuels</t>
  </si>
  <si>
    <t>...priced out or forced out.</t>
  </si>
  <si>
    <t>...taxed, after application of tax and law; and</t>
  </si>
  <si>
    <r>
      <t xml:space="preserve">increases to consumption of taxed fuels induced by taxes -- </t>
    </r>
    <r>
      <rPr>
        <b/>
        <sz val="9"/>
        <color rgb="FFFF0000"/>
        <rFont val="Calibri"/>
        <family val="2"/>
        <scheme val="minor"/>
      </rPr>
      <t>Electricity Step 1a</t>
    </r>
  </si>
  <si>
    <t>ramp</t>
  </si>
  <si>
    <t>start year</t>
  </si>
  <si>
    <t>mix allowed</t>
  </si>
  <si>
    <t>command-and-control of fossil electric generation</t>
  </si>
  <si>
    <t>baseline fuel shares in target year</t>
  </si>
  <si>
    <t>ramp lengths</t>
  </si>
  <si>
    <t>target year caps</t>
  </si>
  <si>
    <t>model directive</t>
  </si>
  <si>
    <t>fossil fuel shares after tax</t>
  </si>
  <si>
    <t>baseline fuel shares in start year</t>
  </si>
  <si>
    <t>points of fuel share lost</t>
  </si>
  <si>
    <t>unit ramps of policy (0 = no policy, 1 = policy fully implemented)</t>
  </si>
  <si>
    <r>
      <t xml:space="preserve">adjusted consumption of taxed fuels before substitution effect -- </t>
    </r>
    <r>
      <rPr>
        <b/>
        <sz val="9"/>
        <color rgb="FFFF0000"/>
        <rFont val="Calibri"/>
        <family val="2"/>
        <scheme val="minor"/>
      </rPr>
      <t>Electricity step 6b</t>
    </r>
  </si>
  <si>
    <r>
      <t xml:space="preserve">adjusted consumption of taxed fuels after substitution effect -- </t>
    </r>
    <r>
      <rPr>
        <b/>
        <sz val="9"/>
        <color rgb="FFFF0000"/>
        <rFont val="Calibri"/>
        <family val="2"/>
        <scheme val="minor"/>
      </rPr>
      <t>Electricity step 6c</t>
    </r>
  </si>
  <si>
    <r>
      <t xml:space="preserve">6. Command-and-control of fossil electric generation [note </t>
    </r>
    <r>
      <rPr>
        <i/>
        <sz val="8"/>
        <color theme="0"/>
        <rFont val="Arial Black"/>
        <family val="2"/>
      </rPr>
      <t>i</t>
    </r>
    <r>
      <rPr>
        <sz val="8"/>
        <color theme="0"/>
        <rFont val="Arial Black"/>
        <family val="2"/>
      </rPr>
      <t>]</t>
    </r>
  </si>
  <si>
    <r>
      <t xml:space="preserve">7. (optional) add a supplemental fuel tax [note </t>
    </r>
    <r>
      <rPr>
        <b/>
        <i/>
        <sz val="8"/>
        <color theme="0"/>
        <rFont val="Arial Black"/>
        <family val="2"/>
      </rPr>
      <t>a</t>
    </r>
    <r>
      <rPr>
        <b/>
        <sz val="8"/>
        <color theme="0"/>
        <rFont val="Arial Black"/>
        <family val="2"/>
      </rPr>
      <t>]</t>
    </r>
  </si>
  <si>
    <t>8. (optional) invoke a low carbon fuel standard</t>
  </si>
  <si>
    <t>Totals and Targets</t>
  </si>
  <si>
    <r>
      <t xml:space="preserve">price change -- </t>
    </r>
    <r>
      <rPr>
        <b/>
        <sz val="10"/>
        <color rgb="FFFF0000"/>
        <rFont val="Calibri"/>
        <family val="2"/>
      </rPr>
      <t>Electricity Step 3a</t>
    </r>
  </si>
  <si>
    <r>
      <t xml:space="preserve">Adjusted Contributions to Electric Price ($/MWh-fuel) -- </t>
    </r>
    <r>
      <rPr>
        <b/>
        <sz val="10"/>
        <color rgb="FFFF0000"/>
        <rFont val="Calibri"/>
        <family val="2"/>
      </rPr>
      <t>Electricity Step 3b</t>
    </r>
  </si>
  <si>
    <r>
      <t xml:space="preserve">fossil fuel shares allowed by law -- </t>
    </r>
    <r>
      <rPr>
        <b/>
        <sz val="9"/>
        <color rgb="FFFF0000"/>
        <rFont val="Calibri"/>
        <family val="2"/>
        <scheme val="minor"/>
      </rPr>
      <t>Electricity Step 1b (law modeled in dashboard option 6)</t>
    </r>
  </si>
  <si>
    <t>2050 target</t>
  </si>
  <si>
    <t>tax exemption for transition coal</t>
  </si>
  <si>
    <t>baseline consumption of electricity</t>
  </si>
  <si>
    <t>WA electricity generated by tax exempt coal</t>
  </si>
  <si>
    <t>tax exempt coal share of electric fuel mix</t>
  </si>
  <si>
    <t>taxed coal share of electric fuel mix</t>
  </si>
  <si>
    <t>Electricity - Tax exempt generation from coal</t>
  </si>
  <si>
    <t>WA electricity generated by tax-exempt coal, quad</t>
  </si>
  <si>
    <t>taxed electric sector coal, quad</t>
  </si>
  <si>
    <t>tax-exempt electric sector coal, quad</t>
  </si>
  <si>
    <t>displacing gasoline vehicles</t>
  </si>
  <si>
    <t>displacing diesel vehicles</t>
  </si>
  <si>
    <r>
      <t xml:space="preserve">9. (optional) force increased penetration of EVs [note </t>
    </r>
    <r>
      <rPr>
        <i/>
        <sz val="9"/>
        <color theme="0"/>
        <rFont val="Arial Black"/>
        <family val="2"/>
      </rPr>
      <t>h</t>
    </r>
    <r>
      <rPr>
        <sz val="9"/>
        <color theme="0"/>
        <rFont val="Arial Black"/>
        <family val="2"/>
      </rPr>
      <t>]</t>
    </r>
  </si>
  <si>
    <t>g. "Transition coal" is coal-fired generation from Trans Alta's Centralia facility.</t>
  </si>
  <si>
    <t>l. The subsidy is ignored if the user is forcing EV penetration to displace gasoline (dashboard section 9, first row)</t>
  </si>
  <si>
    <t>displacement of gasoline by EVs</t>
  </si>
  <si>
    <t>gasoline displaced by subsidy</t>
  </si>
  <si>
    <t>cum. new electric demand due to subsidy</t>
  </si>
  <si>
    <t>effect of EV subsidy</t>
  </si>
  <si>
    <t>gasoline consumption factor (unitless)</t>
  </si>
  <si>
    <t>gasoline displacement factor (unitless)</t>
  </si>
  <si>
    <t>light vehicle mpg (mi/gal)</t>
  </si>
  <si>
    <t>EV mpge (mil/gal-equivalent)</t>
  </si>
  <si>
    <t>energy displacement ratio (unitless)</t>
  </si>
  <si>
    <t>gasoline displaced in baseline scenario</t>
  </si>
  <si>
    <t>new electric demand in baseline scenario</t>
  </si>
  <si>
    <t>displacement of diesel by EVs</t>
  </si>
  <si>
    <t>diesel consumption factor (unitless)</t>
  </si>
  <si>
    <t>diesel displacement factor (unitless)</t>
  </si>
  <si>
    <t>diesel displaced in baseline scenario</t>
  </si>
  <si>
    <t>medium heavy vehicle mpg (mi/gal)</t>
  </si>
  <si>
    <t>policy segment 1</t>
  </si>
  <si>
    <t>policy segment 2</t>
  </si>
  <si>
    <t>policy segment 3</t>
  </si>
  <si>
    <t>subsidy-driven increases to new electricity demand</t>
  </si>
  <si>
    <t>subsidy segment 1 is active</t>
  </si>
  <si>
    <t>subsidy segment 2 is active</t>
  </si>
  <si>
    <t>subsidy segment 3 is active</t>
  </si>
  <si>
    <t>overlap?</t>
  </si>
  <si>
    <t>active subsidy segment (4 = none)</t>
  </si>
  <si>
    <t>active subsidy segment</t>
  </si>
  <si>
    <r>
      <t xml:space="preserve">do not overwrite this cell </t>
    </r>
    <r>
      <rPr>
        <b/>
        <sz val="9"/>
        <color rgb="FF08519C"/>
        <rFont val="Calibri"/>
        <family val="2"/>
      </rPr>
      <t>→</t>
    </r>
  </si>
  <si>
    <t>m. Only one subsidy policy segment is required. Segments 2 and 3 are optional. Policy segments may not overlap.</t>
  </si>
  <si>
    <r>
      <t xml:space="preserve">natural gas </t>
    </r>
    <r>
      <rPr>
        <b/>
        <sz val="9"/>
        <color rgb="FF08519C"/>
        <rFont val="Calibri"/>
        <family val="2"/>
      </rPr>
      <t>→ electricity substitution effect</t>
    </r>
  </si>
  <si>
    <t>consumption change to electricity</t>
  </si>
  <si>
    <t>own-elasticities</t>
  </si>
  <si>
    <t>own-elasticies</t>
  </si>
  <si>
    <t>cross-elasticities</t>
  </si>
  <si>
    <r>
      <t>coal</t>
    </r>
    <r>
      <rPr>
        <b/>
        <sz val="9"/>
        <color rgb="FF08519C"/>
        <rFont val="Calibri"/>
        <family val="2"/>
      </rPr>
      <t>→NG: Electricity</t>
    </r>
  </si>
  <si>
    <r>
      <t>NG</t>
    </r>
    <r>
      <rPr>
        <b/>
        <sz val="9"/>
        <color rgb="FF08519C"/>
        <rFont val="Calibri"/>
        <family val="2"/>
      </rPr>
      <t>→electricity: Residential</t>
    </r>
  </si>
  <si>
    <r>
      <t>NG</t>
    </r>
    <r>
      <rPr>
        <b/>
        <sz val="9"/>
        <color rgb="FF08519C"/>
        <rFont val="Calibri"/>
        <family val="2"/>
      </rPr>
      <t>→electricity: Commercial</t>
    </r>
  </si>
  <si>
    <t>electricity consumption multiplier</t>
  </si>
  <si>
    <t>natural gas efficiency (expressed as COP)</t>
  </si>
  <si>
    <t>heat pump COP</t>
  </si>
  <si>
    <t>new electric consumption</t>
  </si>
  <si>
    <t>lost natural gas consumption</t>
  </si>
  <si>
    <t>dashboard</t>
  </si>
  <si>
    <t>annual tables</t>
  </si>
  <si>
    <t>quinquennial tables</t>
  </si>
  <si>
    <t>Adjusted price</t>
  </si>
  <si>
    <t>cites</t>
  </si>
  <si>
    <t>log</t>
  </si>
  <si>
    <t>Cleanup. Add EV subsidy, EV displacement of diesel, command-and-control regulation of electricity, selected cross elasticities. Extend to 2050. Add standard output tables.</t>
  </si>
  <si>
    <t>CM-010(g)</t>
  </si>
  <si>
    <t>Fuel Price spreadsheet</t>
  </si>
  <si>
    <t>R045</t>
  </si>
  <si>
    <t xml:space="preserve">Special request accessing CA policy impact on the AEO 2018 Pacifc region energy consumption forecast. </t>
  </si>
  <si>
    <t>per capita expenditures</t>
  </si>
  <si>
    <t>7/30-8/5/2019</t>
  </si>
  <si>
    <t>AEO 2019 Freight Transport Energy Use, Table 50</t>
  </si>
  <si>
    <t>Adjusted Cons</t>
  </si>
  <si>
    <t>Annual percent</t>
  </si>
  <si>
    <t>Table 2 (p.6)</t>
  </si>
  <si>
    <t>Washington State Greenhouse Gas Emissions Inventory: 1990-2015</t>
  </si>
  <si>
    <t>https://fortress.wa.gov/ecy/publications/documents/1802043.pdf</t>
  </si>
  <si>
    <t>Table 2 (p.6): Note, that there was a small increase in 1990 GHG emissions in the most recent version of the state inventory</t>
  </si>
  <si>
    <t>apply industrial natural gas price and tax ramp to other petroleum (still gas)</t>
  </si>
  <si>
    <t>same as diesel</t>
  </si>
  <si>
    <r>
      <t xml:space="preserve">adjusted electric fuel mix -- </t>
    </r>
    <r>
      <rPr>
        <b/>
        <sz val="9"/>
        <color rgb="FFFF0000"/>
        <rFont val="Calibri"/>
        <family val="2"/>
      </rPr>
      <t>Electricity Step 2b</t>
    </r>
  </si>
  <si>
    <t>Freeze process emission values</t>
  </si>
  <si>
    <t>annual</t>
  </si>
  <si>
    <t xml:space="preserve">Low &amp; High Growth cases </t>
  </si>
  <si>
    <t>Medium &amp; Heavy Duty Freight vehicle fuel economy and EV replacement fuel economy. Added annual % changes to Baseline and Adjusted emission time series</t>
  </si>
  <si>
    <t>Added AEO 2019 Low &amp; High Economic Growth Cases. Minor editing throughout spreadsheet</t>
  </si>
  <si>
    <t>Process emissions</t>
  </si>
  <si>
    <t>Reference case</t>
  </si>
  <si>
    <t>High growth case</t>
  </si>
  <si>
    <t>Low growth case</t>
  </si>
  <si>
    <t>Emissions used in chart</t>
  </si>
  <si>
    <t>RPS adjust, and modify dashboard chart.</t>
  </si>
  <si>
    <t>Reduced RPS requirement values to account for partial applicability of the statute (80+% of WA load) and cost cap/other mechanisms that allow utilities to limit their renewable or REC procurement. Added complementary policy line to dashboard chart for all three AEO cases: Reference, High Growth and Low Growth.</t>
  </si>
  <si>
    <t xml:space="preserve">Vehicle sales </t>
  </si>
  <si>
    <t>R046</t>
  </si>
  <si>
    <t>National Renewable Energy Lab</t>
  </si>
  <si>
    <t>National Electrification Study</t>
  </si>
  <si>
    <t>Review CTAM update. Extend forecasts and associated calculations to 2050. Add 2050 data columns to dashboard tables. Added per capita energy expenditures on dashboard. Changed default tax rate to $10 --&gt; $50/MT over 15 years. Previous default range of $10 --&gt; $30/MT was drawn from British Columbia carbon tax prgm, which has now been extended to $50/MT.  Minor formatting changes.</t>
  </si>
  <si>
    <t xml:space="preserve">To calculate the policy only emission values for rows 92-94 set the carbon tax to zero and paste values in row 88 into the appropriate case row. </t>
  </si>
  <si>
    <t>Annual improvement</t>
  </si>
  <si>
    <t>Includes Al smelter upgrade proposal and HFC redux legislation</t>
  </si>
  <si>
    <t>Above if process emissions are included</t>
  </si>
  <si>
    <t>Change in coal to nat gas price ratio due to carbon tax</t>
  </si>
  <si>
    <t>Draft Release date:</t>
  </si>
  <si>
    <t>tax subsidy</t>
  </si>
  <si>
    <t>if values in optional policy blocks 4 - 10 are altered.</t>
  </si>
  <si>
    <t xml:space="preserve"> AEO 2019 Reference Case, derived from the Pacific region reference forecast. AEO High and Low Growth side cases included</t>
  </si>
  <si>
    <t>Summary of outputs</t>
  </si>
  <si>
    <t>in target yr.</t>
  </si>
  <si>
    <t>Heat rate trend forecast</t>
  </si>
  <si>
    <t>Based on 4-yr average</t>
  </si>
  <si>
    <t>Detailed Fuel Price and Emission Tables by Sector and Major Fuel Category</t>
  </si>
  <si>
    <t>change to electricity/natural gas price ratio</t>
  </si>
  <si>
    <t>Correct coal power exemptions  and nat. gas substitution interaction</t>
  </si>
  <si>
    <t>Pasted in SEDS based historical Energy indicators data for the 4 primary transport fuels. This is more a more reliable data set than previous, which was a mix of forecast and historical data</t>
  </si>
  <si>
    <t>Nat gas --&gt; Elec subs in Adj Cons tab</t>
  </si>
  <si>
    <t>Altered Nat gas --&gt; Elec subs formula. Calc is now based on relative % change in Elec/nat gas prices before and after application of carbon tax. Also changed heat pump COP and furnace efficiency values, adding trend improvement from 2020 start value.</t>
  </si>
  <si>
    <t xml:space="preserve">must be updated and manually added in rows 90-93 of the Adjusted Emissions tab </t>
  </si>
  <si>
    <r>
      <t xml:space="preserve">Note: the non-tax, or complementary policy trend line is </t>
    </r>
    <r>
      <rPr>
        <b/>
        <u/>
        <sz val="8"/>
        <color rgb="FFFF0000"/>
        <rFont val="Calibri"/>
        <family val="2"/>
        <scheme val="minor"/>
      </rPr>
      <t>not</t>
    </r>
    <r>
      <rPr>
        <b/>
        <sz val="8"/>
        <color rgb="FFFF0000"/>
        <rFont val="Calibri"/>
        <family val="2"/>
        <scheme val="minor"/>
      </rPr>
      <t xml:space="preserve"> dynamically calculated and </t>
    </r>
  </si>
  <si>
    <t>annual light vehicle miles travelled</t>
  </si>
  <si>
    <t>miles per year</t>
  </si>
  <si>
    <t>ave. gasoline vehicle consumption, MMBtu/yr</t>
  </si>
  <si>
    <t>ave. electric vehicle consumption, MMBtu/yr</t>
  </si>
  <si>
    <t>electric veh. relative savings due to tax, $/yr</t>
  </si>
  <si>
    <t>NPV of additional EV savings due to tax</t>
  </si>
  <si>
    <t>Additional EV savings from tax as % total cost</t>
  </si>
  <si>
    <t>EV subsidy modification</t>
  </si>
  <si>
    <t>used in subsidy calc</t>
  </si>
  <si>
    <t>other EV ownership costs</t>
  </si>
  <si>
    <t>(add.  EV savings)/(Initial cost)*(1+X%)</t>
  </si>
  <si>
    <t>EIA AEO 2019, New EV price forecast for midsized cars and cross-over SUVs, 200 and 300 mi range</t>
  </si>
  <si>
    <t>Ave. price 200 &amp; 300 mi light duty EV, 1000$</t>
  </si>
  <si>
    <t xml:space="preserve">A carbon tax makes an EV more cost competitive relative to an ICE vehicle, much like a subsidy. The Net Present Value of the additional fuel savings for an EV relative to and ICE is converted into an apparent subsidy. </t>
  </si>
  <si>
    <t>Transportation sector</t>
  </si>
  <si>
    <t>total redux</t>
  </si>
  <si>
    <t>C-tax redux</t>
  </si>
  <si>
    <t>Electricity sector</t>
  </si>
  <si>
    <r>
      <t xml:space="preserve">10. (optional) EV subsidy [notes </t>
    </r>
    <r>
      <rPr>
        <i/>
        <sz val="8"/>
        <color theme="0"/>
        <rFont val="Arial Black"/>
        <family val="2"/>
      </rPr>
      <t>j</t>
    </r>
    <r>
      <rPr>
        <sz val="8"/>
        <color theme="0"/>
        <rFont val="Arial Black"/>
        <family val="2"/>
      </rPr>
      <t xml:space="preserve">, </t>
    </r>
    <r>
      <rPr>
        <i/>
        <sz val="8"/>
        <color theme="0"/>
        <rFont val="Arial Black"/>
        <family val="2"/>
      </rPr>
      <t>l, m, n</t>
    </r>
    <r>
      <rPr>
        <sz val="8"/>
        <color theme="0"/>
        <rFont val="Arial Black"/>
        <family val="2"/>
      </rPr>
      <t>]</t>
    </r>
  </si>
  <si>
    <t>EV elasticity multiplier</t>
  </si>
  <si>
    <t>Dashboard table: redux due to carbon tax</t>
  </si>
  <si>
    <t>EV subsidy elasticity</t>
  </si>
  <si>
    <t>Added calcs for additional savings for EVs relative to ICEs because of carbon tax. Uses same methodology , parameters as option block 10.</t>
  </si>
  <si>
    <t xml:space="preserve">n. The EV subsidy elasticity is historical and is in large part based on the relative prices of EVs relative to comparable ICEs from around 2017. The multiplier assumes that the elasticity value will increase over time </t>
  </si>
  <si>
    <t>as the price differential between EVs and ICEs narrows over time. The percent decline in the price differential is the basis for the multiplier</t>
  </si>
  <si>
    <t>Added an option to apply a multiplier to the EV subsidy elasticity value. Controlled by a Yes/No toggle from the dashboard bottom of EV section. The multiplier takes into account the diminishing cost differential (percent basis relative to 2018 differential) between EVs and ICEs. Values are in Row 123.</t>
  </si>
  <si>
    <t>EV subsidy elasticity multiplier</t>
  </si>
  <si>
    <t>direct subsidy-driven increases to new demand</t>
  </si>
  <si>
    <t>direct and induced subsidy increases to new demand</t>
  </si>
  <si>
    <t>tax induced subsidy-driven increases to new demand</t>
  </si>
  <si>
    <t>EV relative savings due to a carbon tax, induced electric demand</t>
  </si>
  <si>
    <t>EV elasticity multiplier: Reducion in EV vs ICE price differential relative to 2018</t>
  </si>
  <si>
    <r>
      <t xml:space="preserve">forecast energy related emissions and emission reductions, million metric tons CO2 [note </t>
    </r>
    <r>
      <rPr>
        <i/>
        <sz val="9"/>
        <color theme="0"/>
        <rFont val="Arial Black"/>
        <family val="2"/>
      </rPr>
      <t>o</t>
    </r>
    <r>
      <rPr>
        <sz val="8"/>
        <color theme="0"/>
        <rFont val="Arial Black"/>
        <family val="2"/>
      </rPr>
      <t>]</t>
    </r>
  </si>
  <si>
    <t>o. total emission reductions includes reductions from policy measures and the carbon tax</t>
  </si>
  <si>
    <t>This is part of the calcualtion estimating the subsidy driven increase in electricty demand from EVs purchased each year, relative to the baseline forecast.</t>
  </si>
  <si>
    <t>set to income inflator</t>
  </si>
  <si>
    <t>Trend measure</t>
  </si>
  <si>
    <t>population inflator</t>
  </si>
  <si>
    <t xml:space="preserve">Includes CETA, EV subs + induced %, </t>
  </si>
  <si>
    <t>Emissions trend solely with complementary policies (no carbon tax): must be hardcoded for every change to policy - sorry</t>
  </si>
  <si>
    <t>2018 dollars per million Btu</t>
  </si>
  <si>
    <t>Billions of 2018 dollars</t>
  </si>
  <si>
    <t xml:space="preserve">gross energy expenditures, </t>
  </si>
  <si>
    <t>billions of 2018 dollars</t>
  </si>
  <si>
    <t>Carbon tax, $/MT CO2</t>
  </si>
  <si>
    <t xml:space="preserve">carbon tax revenue </t>
  </si>
  <si>
    <t>million 2018 dollars</t>
  </si>
  <si>
    <t xml:space="preserve">Summary of Outputs Table, top section. Enabled calculation of emission reduction (delta in MMT) solely due to the applied carbon tax. Total emission reduction (delta MMT) value includes complementary policies. </t>
  </si>
  <si>
    <t>Electricty forecast</t>
  </si>
  <si>
    <t>Changed ODS (HFCs) process emission inflator to income rate of growth from population rate of growth value. Added new values (ODS only) to forecasts A, B and C. Swithced to ECY forecast of HFC redux due to HB 1112 legislation.</t>
  </si>
  <si>
    <t>Altered  Colstrip 1&amp;2 closoure date to 2020 and Bridger 1&amp;2 to 2025 (ave of PAC IRP dates).</t>
  </si>
  <si>
    <t xml:space="preserve">CETA zero coal </t>
  </si>
  <si>
    <t xml:space="preserve">CETA net zero </t>
  </si>
  <si>
    <t>CETA zero emissions</t>
  </si>
  <si>
    <t>Changes to forecast spreadsheet</t>
  </si>
  <si>
    <t>Exogenous nat gas and elec policies</t>
  </si>
  <si>
    <t>Consulted with Chuck Murray regarding recent legislation impacts on natural gas and electricity consumption growth. Updated adjustment factors in option block 4.</t>
  </si>
  <si>
    <r>
      <t>initial rate</t>
    </r>
    <r>
      <rPr>
        <b/>
        <vertAlign val="superscript"/>
        <sz val="9"/>
        <rFont val="Calibri"/>
        <family val="2"/>
        <scheme val="minor"/>
      </rPr>
      <t>k</t>
    </r>
  </si>
  <si>
    <r>
      <t xml:space="preserve">exempt "transition coal" </t>
    </r>
    <r>
      <rPr>
        <b/>
        <vertAlign val="superscript"/>
        <sz val="11"/>
        <color indexed="8"/>
        <rFont val="Calibri"/>
        <family val="2"/>
      </rPr>
      <t>g</t>
    </r>
  </si>
  <si>
    <r>
      <t>include industrial process emis.</t>
    </r>
    <r>
      <rPr>
        <b/>
        <vertAlign val="superscript"/>
        <sz val="10"/>
        <color indexed="8"/>
        <rFont val="Calibri"/>
        <family val="2"/>
      </rPr>
      <t>d</t>
    </r>
  </si>
  <si>
    <t>Growth 2020-2050</t>
  </si>
  <si>
    <t>Elec. sector values from June 2019 ECY &amp; COM review</t>
  </si>
  <si>
    <t>Carbon Tax Analysis Model (CTAM) version 4.0 base case (Washington State)</t>
  </si>
  <si>
    <t>Residul fuel values, transportation</t>
  </si>
  <si>
    <t>Historical values varied between forecast scenarios. Subsitutued 2010-16 Energy Indicator values.</t>
  </si>
  <si>
    <t>Switch to Energy Indicators/EIA consumption numbers for historical (thru 2018) sector natural gas and electricty consumption. Include renewables in sector energy totals. Substituted Energy Indicator values for Mogas, distillate and jet fuel for historic (2005-2016) forecast derived values</t>
  </si>
  <si>
    <t>Current non-tax policies: CETA (100% clean elec. transition), EV subsidy, ODS phase-out, Building efficiency and appliance standards</t>
  </si>
  <si>
    <t xml:space="preserve"> Posting Date: 11/8/2019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</si>
</sst>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
    <numFmt numFmtId="165" formatCode="#,##0.0000"/>
    <numFmt numFmtId="166" formatCode="0.0"/>
    <numFmt numFmtId="167" formatCode="0.000"/>
    <numFmt numFmtId="168" formatCode="###,###,###,##0;\-#,###,###,##0;\-"/>
    <numFmt numFmtId="169" formatCode="0.0%"/>
    <numFmt numFmtId="170" formatCode="&quot;$&quot;#,##0.00"/>
    <numFmt numFmtId="171" formatCode="&quot;$&quot;#,##0"/>
    <numFmt numFmtId="172" formatCode="0.0000"/>
    <numFmt numFmtId="173" formatCode="#,##0.0"/>
    <numFmt numFmtId="174" formatCode="#,##0.000"/>
    <numFmt numFmtId="175" formatCode="[Red]#.####;[Red]\-#.####;\o.\k.;@"/>
    <numFmt numFmtId="176" formatCode="0.00000"/>
    <numFmt numFmtId="177" formatCode="0.0000000"/>
    <numFmt numFmtId="178" formatCode="#,##0.00000"/>
    <numFmt numFmtId="179" formatCode="0.000000"/>
    <numFmt numFmtId="180" formatCode="0.0000E+00"/>
    <numFmt numFmtId="181" formatCode="0.000E+00"/>
    <numFmt numFmtId="182" formatCode="#,##0.000000"/>
    <numFmt numFmtId="183" formatCode="#,##0.0000000"/>
    <numFmt numFmtId="184" formatCode="[$-409]mmmm\ d\,\ yyyy;@"/>
    <numFmt numFmtId="185" formatCode="_(* #,##0_);_(* \(#,##0\);_(* &quot;-&quot;??_);_(@_)"/>
    <numFmt numFmtId="186" formatCode="\$#,##0.0_);[Red]\(\$#,##0.0\)"/>
    <numFmt numFmtId="187" formatCode="0.000%"/>
    <numFmt numFmtId="188" formatCode="[Red]0;[Red]\-0;&quot;o.k.&quot;;[Red]General"/>
    <numFmt numFmtId="189" formatCode="0_);\(0\)"/>
  </numFmts>
  <fonts count="104">
    <font>
      <b/>
      <sz val="9"/>
      <color rgb="FF08519C"/>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6"/>
      <name val="ＭＳ Ｐゴシック"/>
      <family val="3"/>
      <charset val="128"/>
    </font>
    <font>
      <sz val="11"/>
      <color indexed="8"/>
      <name val="Calibri"/>
      <family val="2"/>
    </font>
    <font>
      <b/>
      <sz val="11"/>
      <color indexed="8"/>
      <name val="Calibri"/>
      <family val="2"/>
    </font>
    <font>
      <b/>
      <sz val="11"/>
      <name val="Calibri"/>
      <family val="2"/>
    </font>
    <font>
      <sz val="11"/>
      <name val="Calibri"/>
      <family val="2"/>
    </font>
    <font>
      <i/>
      <sz val="11"/>
      <color indexed="8"/>
      <name val="Calibri"/>
      <family val="2"/>
    </font>
    <font>
      <b/>
      <u/>
      <sz val="11"/>
      <color indexed="8"/>
      <name val="Calibri"/>
      <family val="2"/>
    </font>
    <font>
      <u/>
      <sz val="11"/>
      <color indexed="12"/>
      <name val="Calibri"/>
      <family val="2"/>
    </font>
    <font>
      <sz val="11"/>
      <color theme="1"/>
      <name val="Calibri"/>
      <family val="2"/>
    </font>
    <font>
      <sz val="11"/>
      <color theme="0"/>
      <name val="Calibri"/>
      <family val="2"/>
    </font>
    <font>
      <sz val="11"/>
      <color rgb="FF9C0006"/>
      <name val="Calibri"/>
      <family val="2"/>
    </font>
    <font>
      <sz val="11"/>
      <color rgb="FF006100"/>
      <name val="Calibri"/>
      <family val="2"/>
    </font>
    <font>
      <sz val="11"/>
      <color rgb="FF3F3F76"/>
      <name val="Calibri"/>
      <family val="2"/>
    </font>
    <font>
      <b/>
      <sz val="11"/>
      <color theme="3"/>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1"/>
      <color theme="1"/>
      <name val="Calibri"/>
      <family val="2"/>
    </font>
    <font>
      <b/>
      <vertAlign val="superscript"/>
      <sz val="11"/>
      <color indexed="8"/>
      <name val="Calibri"/>
      <family val="2"/>
    </font>
    <font>
      <b/>
      <sz val="10"/>
      <color theme="1"/>
      <name val="Calibri"/>
      <family val="2"/>
      <scheme val="minor"/>
    </font>
    <font>
      <b/>
      <sz val="22"/>
      <color theme="1"/>
      <name val="Arial Narrow"/>
      <family val="2"/>
    </font>
    <font>
      <b/>
      <sz val="10"/>
      <name val="Calibri"/>
      <family val="2"/>
    </font>
    <font>
      <sz val="10"/>
      <name val="Calibri"/>
      <family val="2"/>
    </font>
    <font>
      <b/>
      <sz val="10"/>
      <color rgb="FFFF0000"/>
      <name val="Calibri"/>
      <family val="2"/>
    </font>
    <font>
      <i/>
      <sz val="10"/>
      <name val="Calibri"/>
      <family val="2"/>
    </font>
    <font>
      <b/>
      <i/>
      <sz val="10"/>
      <color indexed="8"/>
      <name val="Calibri"/>
      <family val="2"/>
    </font>
    <font>
      <i/>
      <sz val="10"/>
      <color indexed="8"/>
      <name val="Calibri"/>
      <family val="2"/>
    </font>
    <font>
      <b/>
      <vertAlign val="subscript"/>
      <sz val="10"/>
      <color indexed="8"/>
      <name val="Calibri"/>
      <family val="2"/>
    </font>
    <font>
      <b/>
      <vertAlign val="superscript"/>
      <sz val="10"/>
      <color indexed="8"/>
      <name val="Calibri"/>
      <family val="2"/>
    </font>
    <font>
      <b/>
      <sz val="10"/>
      <color rgb="FF800026"/>
      <name val="Calibri"/>
      <family val="2"/>
    </font>
    <font>
      <sz val="9"/>
      <name val="Calibri"/>
      <family val="2"/>
      <scheme val="minor"/>
    </font>
    <font>
      <b/>
      <vertAlign val="superscript"/>
      <sz val="10"/>
      <color theme="3"/>
      <name val="Calibri"/>
      <family val="2"/>
      <scheme val="minor"/>
    </font>
    <font>
      <b/>
      <u/>
      <sz val="10"/>
      <color theme="10"/>
      <name val="Calibri"/>
      <family val="2"/>
    </font>
    <font>
      <b/>
      <sz val="9"/>
      <color rgb="FF0070C0"/>
      <name val="Arial Narrow"/>
      <family val="2"/>
    </font>
    <font>
      <b/>
      <sz val="10"/>
      <color theme="10"/>
      <name val="Calibri"/>
      <family val="2"/>
    </font>
    <font>
      <sz val="11"/>
      <color rgb="FF9C0006"/>
      <name val="Calibri"/>
      <family val="2"/>
      <scheme val="minor"/>
    </font>
    <font>
      <sz val="11"/>
      <color rgb="FF006100"/>
      <name val="Calibri"/>
      <family val="2"/>
      <scheme val="minor"/>
    </font>
    <font>
      <b/>
      <sz val="10"/>
      <name val="Calibri"/>
      <family val="2"/>
      <scheme val="minor"/>
    </font>
    <font>
      <sz val="9"/>
      <color indexed="81"/>
      <name val="Tahoma"/>
      <family val="2"/>
    </font>
    <font>
      <b/>
      <sz val="9"/>
      <color indexed="81"/>
      <name val="Tahoma"/>
      <family val="2"/>
    </font>
    <font>
      <sz val="10"/>
      <color indexed="8"/>
      <name val="Calibri"/>
      <family val="2"/>
    </font>
    <font>
      <b/>
      <sz val="10"/>
      <color theme="3"/>
      <name val="Calibri"/>
      <family val="2"/>
    </font>
    <font>
      <b/>
      <sz val="10"/>
      <color rgb="FF08306B"/>
      <name val="Calibri"/>
      <family val="2"/>
    </font>
    <font>
      <b/>
      <sz val="9"/>
      <color rgb="FF000000"/>
      <name val="Tahoma"/>
      <family val="2"/>
    </font>
    <font>
      <sz val="9"/>
      <color rgb="FF000000"/>
      <name val="Tahoma"/>
      <family val="2"/>
    </font>
    <font>
      <b/>
      <u/>
      <sz val="10"/>
      <color indexed="8"/>
      <name val="Calibri"/>
      <family val="2"/>
    </font>
    <font>
      <b/>
      <sz val="14"/>
      <color indexed="8"/>
      <name val="Calibri"/>
      <family val="2"/>
    </font>
    <font>
      <b/>
      <sz val="10"/>
      <color rgb="FF7030A0"/>
      <name val="Calibri"/>
      <family val="2"/>
    </font>
    <font>
      <b/>
      <sz val="9"/>
      <color rgb="FF7030A0"/>
      <name val="Arial Black"/>
      <family val="2"/>
    </font>
    <font>
      <b/>
      <i/>
      <sz val="10"/>
      <color rgb="FF7030A0"/>
      <name val="Calibri"/>
      <family val="2"/>
    </font>
    <font>
      <b/>
      <sz val="9"/>
      <color rgb="FF08306B"/>
      <name val="Calibri"/>
      <family val="2"/>
      <scheme val="minor"/>
    </font>
    <font>
      <b/>
      <sz val="9"/>
      <color theme="1"/>
      <name val="Calibri"/>
      <family val="2"/>
      <scheme val="minor"/>
    </font>
    <font>
      <b/>
      <u/>
      <sz val="9"/>
      <color theme="11"/>
      <name val="Calibri"/>
      <family val="2"/>
      <scheme val="minor"/>
    </font>
    <font>
      <sz val="8"/>
      <color theme="0"/>
      <name val="Arial Black"/>
      <family val="2"/>
    </font>
    <font>
      <b/>
      <u/>
      <sz val="10"/>
      <color rgb="FF08519C"/>
      <name val="Cambria"/>
      <family val="2"/>
      <scheme val="major"/>
    </font>
    <font>
      <b/>
      <sz val="8"/>
      <color theme="0"/>
      <name val="Arial Narrow"/>
      <family val="2"/>
    </font>
    <font>
      <b/>
      <sz val="9"/>
      <color rgb="FFFD8D3C"/>
      <name val="Calibri"/>
      <family val="2"/>
      <scheme val="minor"/>
    </font>
    <font>
      <b/>
      <sz val="9"/>
      <color theme="0"/>
      <name val="Calibri"/>
      <family val="2"/>
      <scheme val="minor"/>
    </font>
    <font>
      <b/>
      <u/>
      <sz val="9"/>
      <color theme="10"/>
      <name val="Calibri"/>
      <family val="2"/>
      <scheme val="minor"/>
    </font>
    <font>
      <b/>
      <sz val="20"/>
      <color rgb="FF08519C"/>
      <name val="Arial Narrow"/>
      <family val="2"/>
    </font>
    <font>
      <b/>
      <i/>
      <sz val="9"/>
      <color rgb="FF08519C"/>
      <name val="Calibri"/>
      <family val="2"/>
      <scheme val="minor"/>
    </font>
    <font>
      <i/>
      <sz val="8"/>
      <color rgb="FF08519C"/>
      <name val="Arial Narrow"/>
      <family val="2"/>
    </font>
    <font>
      <b/>
      <vertAlign val="subscript"/>
      <sz val="9"/>
      <color rgb="FF08519C"/>
      <name val="Arial Narrow"/>
      <family val="2"/>
    </font>
    <font>
      <b/>
      <sz val="9"/>
      <color rgb="FF08519C"/>
      <name val="Arial Narrow"/>
      <family val="2"/>
    </font>
    <font>
      <b/>
      <sz val="9"/>
      <color rgb="FFFF0000"/>
      <name val="Calibri"/>
      <family val="2"/>
      <scheme val="minor"/>
    </font>
    <font>
      <b/>
      <vertAlign val="superscript"/>
      <sz val="20"/>
      <color rgb="FF08519C"/>
      <name val="Arial Narrow"/>
      <family val="2"/>
    </font>
    <font>
      <b/>
      <i/>
      <sz val="10"/>
      <color rgb="FF08519C"/>
      <name val="Calibri"/>
      <family val="2"/>
    </font>
    <font>
      <b/>
      <vertAlign val="superscript"/>
      <sz val="8"/>
      <color theme="0"/>
      <name val="Arial Narrow"/>
      <family val="2"/>
    </font>
    <font>
      <b/>
      <i/>
      <sz val="9"/>
      <color theme="0"/>
      <name val="Arial Black"/>
      <family val="2"/>
    </font>
    <font>
      <b/>
      <sz val="9"/>
      <color theme="0"/>
      <name val="Arial Black"/>
      <family val="2"/>
    </font>
    <font>
      <i/>
      <sz val="9"/>
      <color theme="0"/>
      <name val="Arial Black"/>
      <family val="2"/>
    </font>
    <font>
      <sz val="9"/>
      <color theme="0"/>
      <name val="Arial Black"/>
      <family val="2"/>
    </font>
    <font>
      <i/>
      <sz val="8"/>
      <color theme="0"/>
      <name val="Arial Black"/>
      <family val="2"/>
    </font>
    <font>
      <b/>
      <sz val="10"/>
      <color rgb="FFFF0000"/>
      <name val="Calibri"/>
      <family val="2"/>
      <scheme val="minor"/>
    </font>
    <font>
      <b/>
      <sz val="9"/>
      <color rgb="FFFF0000"/>
      <name val="Calibri"/>
      <family val="2"/>
    </font>
    <font>
      <b/>
      <i/>
      <sz val="8"/>
      <color theme="0"/>
      <name val="Arial Black"/>
      <family val="2"/>
    </font>
    <font>
      <b/>
      <sz val="8"/>
      <color theme="0"/>
      <name val="Arial Black"/>
      <family val="2"/>
    </font>
    <font>
      <sz val="9"/>
      <color rgb="FFFF0000"/>
      <name val="Arial Black"/>
      <family val="2"/>
    </font>
    <font>
      <b/>
      <sz val="9"/>
      <color rgb="FF08519C"/>
      <name val="Calibri"/>
      <family val="2"/>
    </font>
    <font>
      <b/>
      <sz val="9"/>
      <name val="Calibri"/>
      <family val="2"/>
      <scheme val="minor"/>
    </font>
    <font>
      <b/>
      <sz val="9"/>
      <name val="Calibri"/>
      <family val="2"/>
    </font>
    <font>
      <b/>
      <sz val="9"/>
      <color rgb="FFC00000"/>
      <name val="Calibri"/>
      <family val="2"/>
      <scheme val="minor"/>
    </font>
    <font>
      <b/>
      <sz val="9"/>
      <color rgb="FFC00000"/>
      <name val="Calibri"/>
      <family val="2"/>
    </font>
    <font>
      <b/>
      <sz val="10"/>
      <color rgb="FF08519C"/>
      <name val="Calibri"/>
      <family val="2"/>
      <scheme val="minor"/>
    </font>
    <font>
      <b/>
      <sz val="10"/>
      <color indexed="8"/>
      <name val="Calibri"/>
      <family val="2"/>
    </font>
    <font>
      <b/>
      <sz val="9"/>
      <color theme="3"/>
      <name val="Calibri"/>
      <family val="2"/>
      <scheme val="minor"/>
    </font>
    <font>
      <b/>
      <sz val="10"/>
      <color rgb="FFC00000"/>
      <name val="Calibri"/>
      <family val="2"/>
    </font>
    <font>
      <b/>
      <sz val="8"/>
      <color rgb="FFFF0000"/>
      <name val="Calibri"/>
      <family val="2"/>
      <scheme val="minor"/>
    </font>
    <font>
      <b/>
      <u/>
      <sz val="8"/>
      <color rgb="FFFF0000"/>
      <name val="Calibri"/>
      <family val="2"/>
      <scheme val="minor"/>
    </font>
    <font>
      <sz val="8"/>
      <color indexed="81"/>
      <name val="Tahoma"/>
      <family val="2"/>
    </font>
    <font>
      <b/>
      <vertAlign val="superscript"/>
      <sz val="9"/>
      <name val="Calibri"/>
      <family val="2"/>
      <scheme val="minor"/>
    </font>
  </fonts>
  <fills count="46">
    <fill>
      <patternFill patternType="none"/>
    </fill>
    <fill>
      <patternFill patternType="gray125"/>
    </fill>
    <fill>
      <patternFill patternType="solid">
        <fgColor indexed="42"/>
      </patternFill>
    </fill>
    <fill>
      <patternFill patternType="solid">
        <fgColor theme="8" tint="0.79998168889431442"/>
        <bgColor indexed="65"/>
      </patternFill>
    </fill>
    <fill>
      <patternFill patternType="solid">
        <fgColor theme="9" tint="0.79998168889431442"/>
        <bgColor indexed="65"/>
      </patternFill>
    </fill>
    <fill>
      <patternFill patternType="solid">
        <fgColor theme="8" tint="0.59999389629810485"/>
        <bgColor indexed="65"/>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00"/>
        <bgColor indexed="64"/>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5F5E0"/>
        <bgColor indexed="64"/>
      </patternFill>
    </fill>
    <fill>
      <patternFill patternType="solid">
        <fgColor rgb="FFD9D9D9"/>
        <bgColor indexed="64"/>
      </patternFill>
    </fill>
    <fill>
      <patternFill patternType="solid">
        <fgColor theme="6" tint="0.79998168889431442"/>
        <bgColor indexed="65"/>
      </patternFill>
    </fill>
    <fill>
      <patternFill patternType="solid">
        <fgColor rgb="FFC00000"/>
        <bgColor indexed="64"/>
      </patternFill>
    </fill>
    <fill>
      <patternFill patternType="solid">
        <fgColor rgb="FFFFFFFF"/>
        <bgColor rgb="FF000000"/>
      </patternFill>
    </fill>
    <fill>
      <patternFill patternType="solid">
        <fgColor rgb="FFFED976"/>
        <bgColor indexed="64"/>
      </patternFill>
    </fill>
    <fill>
      <patternFill patternType="solid">
        <fgColor rgb="FF2171B5"/>
        <bgColor indexed="64"/>
      </patternFill>
    </fill>
    <fill>
      <patternFill patternType="solid">
        <fgColor rgb="FF08306B"/>
        <bgColor indexed="64"/>
      </patternFill>
    </fill>
    <fill>
      <patternFill patternType="darkUp">
        <fgColor rgb="FFD9D9D9"/>
        <bgColor theme="0"/>
      </patternFill>
    </fill>
    <fill>
      <patternFill patternType="solid">
        <fgColor theme="0"/>
        <bgColor auto="1"/>
      </patternFill>
    </fill>
    <fill>
      <patternFill patternType="solid">
        <fgColor rgb="FFFFA3A3"/>
        <bgColor indexed="64"/>
      </patternFill>
    </fill>
  </fills>
  <borders count="44">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style="thin">
        <color theme="0"/>
      </right>
      <top/>
      <bottom/>
      <diagonal/>
    </border>
    <border>
      <left/>
      <right/>
      <top style="thin">
        <color theme="0"/>
      </top>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right/>
      <top/>
      <bottom style="dotted">
        <color indexed="64"/>
      </bottom>
      <diagonal/>
    </border>
    <border>
      <left style="thin">
        <color rgb="FF238B45"/>
      </left>
      <right style="thin">
        <color rgb="FF238B45"/>
      </right>
      <top style="thin">
        <color rgb="FF238B45"/>
      </top>
      <bottom style="thin">
        <color rgb="FF238B45"/>
      </bottom>
      <diagonal/>
    </border>
    <border diagonalUp="1" diagonalDown="1">
      <left style="thin">
        <color theme="0"/>
      </left>
      <right style="thin">
        <color theme="0"/>
      </right>
      <top style="thin">
        <color theme="0"/>
      </top>
      <bottom style="thin">
        <color theme="0"/>
      </bottom>
      <diagonal style="thin">
        <color rgb="FF08519C"/>
      </diagonal>
    </border>
    <border>
      <left/>
      <right/>
      <top/>
      <bottom style="thin">
        <color rgb="FF08306B"/>
      </bottom>
      <diagonal/>
    </border>
    <border>
      <left/>
      <right/>
      <top style="thin">
        <color auto="1"/>
      </top>
      <bottom/>
      <diagonal/>
    </border>
    <border>
      <left/>
      <right/>
      <top style="dotted">
        <color auto="1"/>
      </top>
      <bottom/>
      <diagonal/>
    </border>
    <border>
      <left style="thin">
        <color theme="0"/>
      </left>
      <right style="thin">
        <color theme="0"/>
      </right>
      <top/>
      <bottom style="thin">
        <color rgb="FF08306B"/>
      </bottom>
      <diagonal/>
    </border>
    <border>
      <left style="thin">
        <color theme="0"/>
      </left>
      <right/>
      <top style="thin">
        <color theme="0"/>
      </top>
      <bottom style="thin">
        <color rgb="FF08306B"/>
      </bottom>
      <diagonal/>
    </border>
    <border>
      <left/>
      <right/>
      <top style="thin">
        <color theme="0"/>
      </top>
      <bottom style="thin">
        <color rgb="FF08306B"/>
      </bottom>
      <diagonal/>
    </border>
    <border>
      <left/>
      <right style="thin">
        <color theme="0"/>
      </right>
      <top style="thin">
        <color theme="0"/>
      </top>
      <bottom style="thin">
        <color rgb="FF08306B"/>
      </bottom>
      <diagonal/>
    </border>
    <border>
      <left/>
      <right style="hair">
        <color auto="1"/>
      </right>
      <top style="thin">
        <color theme="0"/>
      </top>
      <bottom/>
      <diagonal/>
    </border>
    <border>
      <left/>
      <right style="hair">
        <color auto="1"/>
      </right>
      <top/>
      <bottom/>
      <diagonal/>
    </border>
    <border>
      <left/>
      <right style="hair">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03">
    <xf numFmtId="0" fontId="0" fillId="34" borderId="0" applyNumberFormat="0">
      <alignment vertical="top"/>
    </xf>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 fillId="8"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8" fillId="9" borderId="0" applyNumberFormat="0" applyBorder="0" applyAlignment="0" applyProtection="0"/>
    <xf numFmtId="0" fontId="66" fillId="41" borderId="9" applyNumberFormat="0">
      <alignment horizontal="left"/>
    </xf>
    <xf numFmtId="0" fontId="14" fillId="0" borderId="0" applyNumberFormat="0" applyFill="0" applyBorder="0" applyAlignment="0" applyProtection="0">
      <alignment vertical="top"/>
      <protection locked="0"/>
    </xf>
    <xf numFmtId="0" fontId="19" fillId="10" borderId="2" applyNumberFormat="0" applyAlignment="0" applyProtection="0"/>
    <xf numFmtId="9" fontId="6" fillId="0" borderId="0" applyFont="0" applyFill="0" applyBorder="0" applyAlignment="0" applyProtection="0"/>
    <xf numFmtId="49" fontId="67" fillId="34" borderId="0" applyNumberFormat="0"/>
    <xf numFmtId="0" fontId="20" fillId="0" borderId="3" applyNumberFormat="0" applyFill="0" applyAlignment="0" applyProtection="0"/>
    <xf numFmtId="0" fontId="20" fillId="0" borderId="0" applyNumberFormat="0" applyFill="0" applyBorder="0" applyAlignment="0" applyProtection="0"/>
    <xf numFmtId="0" fontId="21" fillId="12" borderId="0" applyNumberFormat="0" applyBorder="0" applyAlignment="0" applyProtection="0"/>
    <xf numFmtId="0" fontId="22" fillId="13" borderId="4" applyNumberFormat="0" applyAlignment="0" applyProtection="0"/>
    <xf numFmtId="0" fontId="23" fillId="13" borderId="2" applyNumberFormat="0" applyAlignment="0" applyProtection="0"/>
    <xf numFmtId="0" fontId="24" fillId="0" borderId="5" applyNumberFormat="0" applyFill="0" applyAlignment="0" applyProtection="0"/>
    <xf numFmtId="0" fontId="25" fillId="14" borderId="6"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8" applyNumberFormat="0" applyFill="0" applyAlignment="0" applyProtection="0"/>
    <xf numFmtId="0" fontId="29"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4"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4" fillId="32" borderId="0" applyNumberFormat="0" applyBorder="0" applyAlignment="0" applyProtection="0"/>
    <xf numFmtId="0" fontId="29" fillId="33" borderId="0" applyNumberFormat="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5" fillId="15" borderId="7" applyNumberFormat="0" applyFont="0" applyAlignment="0" applyProtection="0"/>
    <xf numFmtId="49" fontId="33" fillId="34" borderId="0" applyNumberFormat="0" applyProtection="0">
      <alignment horizontal="left" vertical="center"/>
      <protection locked="0"/>
    </xf>
    <xf numFmtId="2" fontId="64" fillId="34" borderId="0" applyNumberFormat="0" applyAlignment="0">
      <alignment vertical="top"/>
    </xf>
    <xf numFmtId="167" fontId="32" fillId="35" borderId="11" applyNumberFormat="0">
      <alignment vertical="top"/>
      <protection locked="0"/>
    </xf>
    <xf numFmtId="0" fontId="45" fillId="34" borderId="0" applyNumberFormat="0" applyFill="0" applyBorder="0" applyAlignment="0" applyProtection="0">
      <alignment vertical="top"/>
    </xf>
    <xf numFmtId="0" fontId="63" fillId="43" borderId="9" applyNumberFormat="0" applyAlignment="0">
      <alignment vertical="top"/>
    </xf>
    <xf numFmtId="0" fontId="3" fillId="17" borderId="0" applyNumberFormat="0" applyBorder="0" applyAlignment="0" applyProtection="0"/>
    <xf numFmtId="0" fontId="3" fillId="21" borderId="0" applyNumberFormat="0" applyBorder="0" applyAlignment="0" applyProtection="0"/>
    <xf numFmtId="0" fontId="3" fillId="37" borderId="0" applyNumberFormat="0" applyBorder="0" applyAlignment="0" applyProtection="0"/>
    <xf numFmtId="0" fontId="3" fillId="28"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48" fillId="8" borderId="0" applyNumberFormat="0" applyBorder="0" applyAlignment="0" applyProtection="0"/>
    <xf numFmtId="0" fontId="25" fillId="14" borderId="6" applyNumberFormat="0" applyAlignment="0" applyProtection="0"/>
    <xf numFmtId="0" fontId="27" fillId="0" borderId="0" applyNumberFormat="0" applyFill="0" applyBorder="0" applyAlignment="0" applyProtection="0"/>
    <xf numFmtId="0" fontId="49" fillId="9" borderId="0" applyNumberFormat="0" applyBorder="0" applyAlignment="0" applyProtection="0"/>
    <xf numFmtId="0" fontId="20" fillId="0" borderId="3" applyNumberFormat="0" applyFill="0" applyAlignment="0" applyProtection="0"/>
    <xf numFmtId="0" fontId="20" fillId="0" borderId="0" applyNumberFormat="0" applyFill="0" applyBorder="0" applyAlignment="0" applyProtection="0"/>
    <xf numFmtId="0" fontId="24" fillId="0" borderId="5" applyNumberFormat="0" applyFill="0" applyAlignment="0" applyProtection="0"/>
    <xf numFmtId="0" fontId="21" fillId="12" borderId="0" applyNumberFormat="0" applyBorder="0" applyAlignment="0" applyProtection="0"/>
    <xf numFmtId="0" fontId="3" fillId="15" borderId="7" applyNumberFormat="0" applyFont="0" applyAlignment="0" applyProtection="0"/>
    <xf numFmtId="0" fontId="22" fillId="13" borderId="4" applyNumberFormat="0" applyAlignment="0" applyProtection="0"/>
    <xf numFmtId="0" fontId="28" fillId="0" borderId="8" applyNumberFormat="0" applyFill="0" applyAlignment="0" applyProtection="0"/>
    <xf numFmtId="0" fontId="74" fillId="34" borderId="28" applyNumberFormat="0" applyProtection="0">
      <alignment horizontal="center"/>
    </xf>
    <xf numFmtId="0" fontId="63" fillId="36" borderId="9" applyNumberFormat="0" applyAlignment="0">
      <alignment vertical="top"/>
    </xf>
    <xf numFmtId="0" fontId="63" fillId="40" borderId="9" applyNumberFormat="0" applyAlignment="0">
      <alignment vertical="top"/>
      <protection locked="0"/>
    </xf>
    <xf numFmtId="0" fontId="69" fillId="34" borderId="0" applyNumberFormat="0" applyAlignment="0">
      <alignment vertical="top"/>
    </xf>
    <xf numFmtId="0" fontId="64" fillId="45" borderId="9" applyNumberFormat="0" applyFont="0" applyBorder="0" applyAlignment="0" applyProtection="0">
      <alignment vertical="top"/>
    </xf>
    <xf numFmtId="0" fontId="70" fillId="38" borderId="9" applyNumberFormat="0" applyAlignment="0"/>
    <xf numFmtId="3" fontId="63" fillId="44" borderId="27">
      <alignment horizontal="center" vertical="top"/>
    </xf>
    <xf numFmtId="188" fontId="64" fillId="34" borderId="0">
      <alignment horizontal="center" vertical="top"/>
    </xf>
    <xf numFmtId="9" fontId="2" fillId="0" borderId="0" applyFont="0" applyFill="0" applyBorder="0" applyAlignment="0" applyProtection="0"/>
    <xf numFmtId="3" fontId="64" fillId="34" borderId="26" applyNumberFormat="0" applyFont="0" applyAlignment="0">
      <alignment vertical="top"/>
    </xf>
    <xf numFmtId="0" fontId="68" fillId="42" borderId="9" applyNumberFormat="0">
      <alignment horizontal="center"/>
    </xf>
    <xf numFmtId="43" fontId="1" fillId="0" borderId="0" applyFont="0" applyFill="0" applyBorder="0" applyAlignment="0" applyProtection="0"/>
    <xf numFmtId="0" fontId="63" fillId="36" borderId="9">
      <alignment horizontal="center" vertical="top"/>
    </xf>
    <xf numFmtId="0" fontId="65" fillId="34" borderId="0" applyNumberFormat="0" applyFill="0" applyBorder="0" applyAlignment="0" applyProtection="0">
      <alignment vertical="top"/>
    </xf>
    <xf numFmtId="0" fontId="71" fillId="34" borderId="0" applyNumberFormat="0" applyFill="0" applyBorder="0" applyAlignment="0" applyProtection="0">
      <alignment vertical="top"/>
    </xf>
    <xf numFmtId="0" fontId="72" fillId="34" borderId="0">
      <alignment vertical="top"/>
    </xf>
  </cellStyleXfs>
  <cellXfs count="557">
    <xf numFmtId="0" fontId="0" fillId="34" borderId="0" xfId="0">
      <alignment vertical="top"/>
    </xf>
    <xf numFmtId="0" fontId="0" fillId="34" borderId="0" xfId="0" applyBorder="1">
      <alignment vertical="top"/>
    </xf>
    <xf numFmtId="169" fontId="8" fillId="34" borderId="0" xfId="0" applyNumberFormat="1" applyFont="1">
      <alignment vertical="top"/>
    </xf>
    <xf numFmtId="169" fontId="8" fillId="34" borderId="0" xfId="0" quotePrefix="1" applyNumberFormat="1" applyFont="1" applyAlignment="1">
      <alignment horizontal="center"/>
    </xf>
    <xf numFmtId="0" fontId="9" fillId="34" borderId="0" xfId="0" applyFont="1">
      <alignment vertical="top"/>
    </xf>
    <xf numFmtId="0" fontId="0" fillId="34" borderId="0" xfId="0" applyFont="1">
      <alignment vertical="top"/>
    </xf>
    <xf numFmtId="2" fontId="0" fillId="34" borderId="0" xfId="0" applyNumberFormat="1" applyFont="1">
      <alignment vertical="top"/>
    </xf>
    <xf numFmtId="167" fontId="0" fillId="34" borderId="0" xfId="0" applyNumberFormat="1" applyFont="1">
      <alignment vertical="top"/>
    </xf>
    <xf numFmtId="169" fontId="10" fillId="34" borderId="0" xfId="0" applyNumberFormat="1" applyFont="1">
      <alignment vertical="top"/>
    </xf>
    <xf numFmtId="0" fontId="10" fillId="34" borderId="0" xfId="0" applyFont="1">
      <alignment vertical="top"/>
    </xf>
    <xf numFmtId="2" fontId="10" fillId="34" borderId="0" xfId="0" applyNumberFormat="1" applyFont="1">
      <alignment vertical="top"/>
    </xf>
    <xf numFmtId="0" fontId="0" fillId="34" borderId="0" xfId="0" applyFont="1" applyBorder="1">
      <alignment vertical="top"/>
    </xf>
    <xf numFmtId="0" fontId="13" fillId="34" borderId="0" xfId="0" applyFont="1" applyAlignment="1">
      <alignment horizontal="left"/>
    </xf>
    <xf numFmtId="2" fontId="11" fillId="34" borderId="0" xfId="0" applyNumberFormat="1" applyFont="1" applyBorder="1" applyAlignment="1">
      <alignment vertical="center"/>
    </xf>
    <xf numFmtId="0" fontId="11" fillId="34" borderId="0" xfId="0" applyFont="1" applyBorder="1" applyAlignment="1">
      <alignment vertical="top"/>
    </xf>
    <xf numFmtId="170" fontId="0" fillId="34" borderId="0" xfId="0" applyNumberFormat="1">
      <alignment vertical="top"/>
    </xf>
    <xf numFmtId="0" fontId="0" fillId="34" borderId="0" xfId="0" applyFont="1" applyAlignment="1"/>
    <xf numFmtId="0" fontId="0" fillId="34" borderId="0" xfId="0" quotePrefix="1">
      <alignment vertical="top"/>
    </xf>
    <xf numFmtId="0" fontId="0" fillId="34" borderId="0" xfId="0" applyAlignment="1"/>
    <xf numFmtId="0" fontId="0" fillId="34" borderId="0" xfId="0" applyAlignment="1">
      <alignment vertical="top" wrapText="1"/>
    </xf>
    <xf numFmtId="0" fontId="0" fillId="34" borderId="0" xfId="0" applyAlignment="1">
      <alignment vertical="top"/>
    </xf>
    <xf numFmtId="0" fontId="0" fillId="11" borderId="0" xfId="0" applyFill="1">
      <alignment vertical="top"/>
    </xf>
    <xf numFmtId="2" fontId="9" fillId="34" borderId="0" xfId="0" applyNumberFormat="1" applyFont="1">
      <alignment vertical="top"/>
    </xf>
    <xf numFmtId="0" fontId="0" fillId="34" borderId="0" xfId="0" applyAlignment="1">
      <alignment horizontal="left"/>
    </xf>
    <xf numFmtId="0" fontId="0" fillId="34" borderId="0" xfId="0">
      <alignment vertical="top"/>
    </xf>
    <xf numFmtId="0" fontId="0" fillId="34" borderId="0" xfId="0" applyAlignment="1">
      <alignment horizontal="left" vertical="distributed"/>
    </xf>
    <xf numFmtId="0" fontId="0" fillId="34" borderId="0" xfId="0" applyAlignment="1"/>
    <xf numFmtId="0" fontId="0" fillId="34" borderId="0" xfId="0" applyBorder="1" applyAlignment="1"/>
    <xf numFmtId="0" fontId="0" fillId="11" borderId="0" xfId="0" applyFill="1" applyAlignment="1">
      <alignment vertical="top" wrapText="1"/>
    </xf>
    <xf numFmtId="0" fontId="9" fillId="34" borderId="0" xfId="0" applyFont="1" applyAlignment="1">
      <alignment vertical="top" wrapText="1"/>
    </xf>
    <xf numFmtId="0" fontId="0" fillId="34" borderId="0" xfId="0" applyFont="1" applyAlignment="1">
      <alignment vertical="top" wrapText="1"/>
    </xf>
    <xf numFmtId="0" fontId="0" fillId="34" borderId="0" xfId="0" applyAlignment="1">
      <alignment wrapText="1"/>
    </xf>
    <xf numFmtId="0" fontId="0" fillId="34" borderId="1" xfId="0" applyBorder="1">
      <alignment vertical="top"/>
    </xf>
    <xf numFmtId="4" fontId="0" fillId="34" borderId="0" xfId="0" applyNumberFormat="1">
      <alignment vertical="top"/>
    </xf>
    <xf numFmtId="2" fontId="0" fillId="34" borderId="0" xfId="0" applyNumberFormat="1">
      <alignment vertical="top"/>
    </xf>
    <xf numFmtId="6" fontId="0" fillId="34" borderId="0" xfId="0" applyNumberFormat="1">
      <alignment vertical="top"/>
    </xf>
    <xf numFmtId="171" fontId="0" fillId="34" borderId="0" xfId="0" applyNumberFormat="1">
      <alignment vertical="top"/>
    </xf>
    <xf numFmtId="0" fontId="0" fillId="34" borderId="0" xfId="0" applyAlignment="1">
      <alignment horizontal="right"/>
    </xf>
    <xf numFmtId="0" fontId="0" fillId="34" borderId="0" xfId="0" applyAlignment="1">
      <alignment horizontal="left"/>
    </xf>
    <xf numFmtId="0" fontId="0" fillId="34" borderId="0" xfId="0" applyAlignment="1"/>
    <xf numFmtId="0" fontId="0" fillId="34" borderId="0" xfId="0">
      <alignment vertical="top"/>
    </xf>
    <xf numFmtId="0" fontId="0" fillId="34" borderId="0" xfId="0" applyAlignment="1">
      <alignment vertical="top"/>
    </xf>
    <xf numFmtId="167" fontId="0" fillId="34" borderId="0" xfId="0" applyNumberFormat="1">
      <alignment vertical="top"/>
    </xf>
    <xf numFmtId="165" fontId="0" fillId="34" borderId="0" xfId="0" applyNumberFormat="1" applyAlignment="1">
      <alignment vertical="top"/>
    </xf>
    <xf numFmtId="0" fontId="34" fillId="34" borderId="0" xfId="0" applyFont="1">
      <alignment vertical="top"/>
    </xf>
    <xf numFmtId="0" fontId="0" fillId="34" borderId="0" xfId="0" applyNumberFormat="1">
      <alignment vertical="top"/>
    </xf>
    <xf numFmtId="0" fontId="0" fillId="34" borderId="0" xfId="0" applyAlignment="1">
      <alignment horizontal="left" vertical="top" indent="1"/>
    </xf>
    <xf numFmtId="0" fontId="0" fillId="11" borderId="12" xfId="0" applyFill="1" applyBorder="1" applyAlignment="1">
      <alignment horizontal="center" vertical="top"/>
    </xf>
    <xf numFmtId="0" fontId="0" fillId="34" borderId="0" xfId="0" applyAlignment="1">
      <alignment horizontal="center" vertical="top" wrapText="1"/>
    </xf>
    <xf numFmtId="0" fontId="0" fillId="34" borderId="0" xfId="0" applyAlignment="1">
      <alignment horizontal="left" indent="1"/>
    </xf>
    <xf numFmtId="0" fontId="0" fillId="34" borderId="0" xfId="0" applyAlignment="1">
      <alignment horizontal="left"/>
    </xf>
    <xf numFmtId="3" fontId="0" fillId="34" borderId="0" xfId="0" applyNumberFormat="1" applyAlignment="1">
      <alignment horizontal="left" vertical="top" indent="1"/>
    </xf>
    <xf numFmtId="0" fontId="0" fillId="34" borderId="0" xfId="0" applyNumberFormat="1">
      <alignment vertical="top"/>
    </xf>
    <xf numFmtId="0" fontId="0" fillId="34" borderId="0" xfId="0" applyAlignment="1">
      <alignment horizontal="left" vertical="top" indent="1"/>
    </xf>
    <xf numFmtId="3" fontId="0" fillId="34" borderId="0" xfId="0" applyNumberFormat="1" applyProtection="1">
      <alignment vertical="top"/>
    </xf>
    <xf numFmtId="1" fontId="0" fillId="34" borderId="0" xfId="0" applyNumberFormat="1">
      <alignment vertical="top"/>
    </xf>
    <xf numFmtId="3" fontId="0" fillId="34" borderId="0" xfId="0" applyNumberFormat="1">
      <alignment vertical="top"/>
    </xf>
    <xf numFmtId="0" fontId="0" fillId="34" borderId="0" xfId="0" applyAlignment="1">
      <alignment horizontal="left" indent="1"/>
    </xf>
    <xf numFmtId="49" fontId="0" fillId="34" borderId="0" xfId="0" applyNumberFormat="1" applyAlignment="1">
      <alignment horizontal="left" indent="1"/>
    </xf>
    <xf numFmtId="0" fontId="0" fillId="34" borderId="0" xfId="0" applyFont="1" applyAlignment="1">
      <alignment horizontal="center" vertical="top"/>
    </xf>
    <xf numFmtId="0" fontId="0" fillId="34" borderId="0" xfId="0" applyAlignment="1">
      <alignment horizontal="center" vertical="top"/>
    </xf>
    <xf numFmtId="0" fontId="0" fillId="34" borderId="0" xfId="0" quotePrefix="1" applyAlignment="1">
      <alignment horizontal="center" vertical="top"/>
    </xf>
    <xf numFmtId="0" fontId="0" fillId="34" borderId="0" xfId="0" applyBorder="1" applyAlignment="1">
      <alignment horizontal="center" vertical="top"/>
    </xf>
    <xf numFmtId="3" fontId="0" fillId="34" borderId="0" xfId="0" applyNumberFormat="1" applyAlignment="1">
      <alignment horizontal="left" vertical="top"/>
    </xf>
    <xf numFmtId="4" fontId="0" fillId="34" borderId="0" xfId="0" applyNumberFormat="1" applyAlignment="1">
      <alignment vertical="top"/>
    </xf>
    <xf numFmtId="0" fontId="0" fillId="34" borderId="0" xfId="0" applyNumberFormat="1" applyAlignment="1"/>
    <xf numFmtId="0" fontId="0" fillId="34" borderId="13" xfId="0" applyBorder="1" applyProtection="1">
      <alignment vertical="top"/>
    </xf>
    <xf numFmtId="0" fontId="0" fillId="34" borderId="14" xfId="0" applyBorder="1">
      <alignment vertical="top"/>
    </xf>
    <xf numFmtId="0" fontId="0" fillId="34" borderId="15" xfId="0" applyBorder="1">
      <alignment vertical="top"/>
    </xf>
    <xf numFmtId="1" fontId="0" fillId="34" borderId="0" xfId="0" applyNumberFormat="1" applyAlignment="1">
      <alignment horizontal="left" indent="1"/>
    </xf>
    <xf numFmtId="170" fontId="0" fillId="34" borderId="0" xfId="0" applyNumberFormat="1" applyAlignment="1">
      <alignment horizontal="center"/>
    </xf>
    <xf numFmtId="0" fontId="0" fillId="34" borderId="0" xfId="0" applyAlignment="1">
      <alignment horizontal="left" vertical="top" indent="2"/>
    </xf>
    <xf numFmtId="0" fontId="0" fillId="34" borderId="0" xfId="0" applyNumberFormat="1" applyAlignment="1">
      <alignment horizontal="center" vertical="top"/>
    </xf>
    <xf numFmtId="167" fontId="0" fillId="34" borderId="0" xfId="0" applyNumberFormat="1" applyAlignment="1">
      <alignment horizontal="center" vertical="top"/>
    </xf>
    <xf numFmtId="0" fontId="0" fillId="34" borderId="0" xfId="0" applyAlignment="1">
      <alignment horizontal="center" vertical="top"/>
    </xf>
    <xf numFmtId="1" fontId="0" fillId="34" borderId="0" xfId="0" applyNumberFormat="1" applyAlignment="1">
      <alignment horizontal="center"/>
    </xf>
    <xf numFmtId="0" fontId="0" fillId="34" borderId="0" xfId="0" applyAlignment="1">
      <alignment horizontal="center"/>
    </xf>
    <xf numFmtId="2" fontId="0" fillId="34" borderId="0" xfId="0" applyNumberFormat="1" applyAlignment="1">
      <alignment horizontal="center"/>
    </xf>
    <xf numFmtId="169" fontId="0" fillId="34" borderId="0" xfId="0" applyNumberFormat="1" applyAlignment="1">
      <alignment horizontal="center"/>
    </xf>
    <xf numFmtId="9" fontId="0" fillId="34" borderId="0" xfId="0" applyNumberFormat="1" applyAlignment="1">
      <alignment horizontal="center"/>
    </xf>
    <xf numFmtId="171" fontId="0" fillId="34" borderId="0" xfId="0" applyNumberFormat="1" applyAlignment="1">
      <alignment horizontal="center"/>
    </xf>
    <xf numFmtId="171" fontId="0" fillId="34" borderId="0" xfId="0" applyNumberFormat="1" applyAlignment="1">
      <alignment horizontal="center" vertical="center"/>
    </xf>
    <xf numFmtId="0" fontId="0" fillId="34" borderId="0" xfId="0" applyAlignment="1">
      <alignment horizontal="center" vertical="center"/>
    </xf>
    <xf numFmtId="0" fontId="0" fillId="34" borderId="0" xfId="0" applyAlignment="1">
      <alignment horizontal="centerContinuous" vertical="top"/>
    </xf>
    <xf numFmtId="0" fontId="0" fillId="34" borderId="0" xfId="0" applyAlignment="1">
      <alignment horizontal="left" vertical="top"/>
    </xf>
    <xf numFmtId="9" fontId="0" fillId="34" borderId="0" xfId="0" applyNumberFormat="1">
      <alignment vertical="top"/>
    </xf>
    <xf numFmtId="0" fontId="0" fillId="34" borderId="0" xfId="0" applyAlignment="1">
      <alignment horizontal="left" wrapText="1"/>
    </xf>
    <xf numFmtId="9" fontId="0" fillId="34" borderId="0" xfId="0" applyNumberFormat="1" applyAlignment="1">
      <alignment horizontal="center" vertical="justify"/>
    </xf>
    <xf numFmtId="9" fontId="42" fillId="34" borderId="0" xfId="0" applyNumberFormat="1" applyFont="1" applyAlignment="1">
      <alignment horizontal="center"/>
    </xf>
    <xf numFmtId="0" fontId="0" fillId="34" borderId="0" xfId="0" applyAlignment="1">
      <alignment horizontal="left" vertical="center" wrapText="1"/>
    </xf>
    <xf numFmtId="0" fontId="0" fillId="34" borderId="0" xfId="0" applyAlignment="1">
      <alignment horizontal="left" vertical="center"/>
    </xf>
    <xf numFmtId="0" fontId="42" fillId="34" borderId="0" xfId="0" applyFont="1" applyAlignment="1">
      <alignment horizontal="center" vertical="top"/>
    </xf>
    <xf numFmtId="0" fontId="0" fillId="34" borderId="0" xfId="0" applyFont="1" applyAlignment="1">
      <alignment horizontal="left"/>
    </xf>
    <xf numFmtId="170" fontId="0" fillId="34" borderId="0" xfId="0" applyNumberFormat="1" applyAlignment="1">
      <alignment horizontal="center"/>
    </xf>
    <xf numFmtId="0" fontId="0" fillId="34" borderId="0" xfId="0" applyFont="1" applyAlignment="1">
      <alignment horizontal="left" vertical="top" indent="1"/>
    </xf>
    <xf numFmtId="0" fontId="43" fillId="34" borderId="0" xfId="0" applyFont="1">
      <alignment vertical="top"/>
    </xf>
    <xf numFmtId="0" fontId="43" fillId="0" borderId="20" xfId="0" applyFont="1" applyFill="1" applyBorder="1">
      <alignment vertical="top"/>
    </xf>
    <xf numFmtId="172" fontId="0" fillId="34" borderId="0" xfId="0" applyNumberFormat="1">
      <alignment vertical="top"/>
    </xf>
    <xf numFmtId="177" fontId="0" fillId="34" borderId="0" xfId="0" applyNumberFormat="1">
      <alignment vertical="top"/>
    </xf>
    <xf numFmtId="179" fontId="0" fillId="34" borderId="0" xfId="0" applyNumberFormat="1">
      <alignment vertical="top"/>
    </xf>
    <xf numFmtId="176" fontId="0" fillId="34" borderId="0" xfId="0" applyNumberFormat="1">
      <alignment vertical="top"/>
    </xf>
    <xf numFmtId="180" fontId="0" fillId="34" borderId="0" xfId="0" applyNumberFormat="1">
      <alignment vertical="top"/>
    </xf>
    <xf numFmtId="4" fontId="0" fillId="34" borderId="0" xfId="0" applyNumberFormat="1">
      <alignment vertical="top"/>
    </xf>
    <xf numFmtId="181" fontId="0" fillId="34" borderId="0" xfId="0" applyNumberFormat="1">
      <alignment vertical="top"/>
    </xf>
    <xf numFmtId="3" fontId="0" fillId="34" borderId="0" xfId="0" applyNumberFormat="1">
      <alignment vertical="top"/>
    </xf>
    <xf numFmtId="178" fontId="0" fillId="34" borderId="0" xfId="0" applyNumberFormat="1">
      <alignment vertical="top"/>
    </xf>
    <xf numFmtId="1" fontId="0" fillId="34" borderId="0" xfId="0" applyNumberFormat="1">
      <alignment vertical="top"/>
    </xf>
    <xf numFmtId="183" fontId="0" fillId="34" borderId="0" xfId="0" applyNumberFormat="1">
      <alignment vertical="top"/>
    </xf>
    <xf numFmtId="182" fontId="0" fillId="34" borderId="0" xfId="0" applyNumberFormat="1">
      <alignment vertical="top"/>
    </xf>
    <xf numFmtId="173" fontId="43" fillId="34" borderId="0" xfId="0" applyNumberFormat="1" applyFont="1">
      <alignment vertical="top"/>
    </xf>
    <xf numFmtId="165" fontId="0" fillId="34" borderId="0" xfId="0" applyNumberFormat="1">
      <alignment vertical="top"/>
    </xf>
    <xf numFmtId="4" fontId="0" fillId="34" borderId="0" xfId="0" applyNumberFormat="1" applyAlignment="1">
      <alignment horizontal="left" indent="1"/>
    </xf>
    <xf numFmtId="0" fontId="0" fillId="34" borderId="0" xfId="0" applyBorder="1" applyAlignment="1">
      <alignment horizontal="left" vertical="top" indent="1"/>
    </xf>
    <xf numFmtId="170" fontId="0" fillId="34" borderId="0" xfId="0" applyNumberFormat="1" applyAlignment="1">
      <alignment vertical="top"/>
    </xf>
    <xf numFmtId="0" fontId="0" fillId="34" borderId="1" xfId="0" applyBorder="1" applyAlignment="1">
      <alignment horizontal="left"/>
    </xf>
    <xf numFmtId="0" fontId="0" fillId="34" borderId="0" xfId="0" applyNumberFormat="1" applyBorder="1">
      <alignment vertical="top"/>
    </xf>
    <xf numFmtId="0" fontId="46" fillId="34" borderId="0" xfId="0" applyFont="1">
      <alignment vertical="top"/>
    </xf>
    <xf numFmtId="184" fontId="0" fillId="34" borderId="0" xfId="0" applyNumberFormat="1" applyAlignment="1">
      <alignment horizontal="left" vertical="top"/>
    </xf>
    <xf numFmtId="0" fontId="0" fillId="34" borderId="0" xfId="0">
      <alignment vertical="top"/>
    </xf>
    <xf numFmtId="0" fontId="0" fillId="34" borderId="0" xfId="0">
      <alignment vertical="top"/>
    </xf>
    <xf numFmtId="0" fontId="0" fillId="34" borderId="0" xfId="0">
      <alignment vertical="top"/>
    </xf>
    <xf numFmtId="0" fontId="0" fillId="34" borderId="0" xfId="0" applyAlignment="1">
      <alignment vertical="top" wrapText="1"/>
    </xf>
    <xf numFmtId="0" fontId="0" fillId="34" borderId="0" xfId="0" applyNumberFormat="1" applyProtection="1">
      <alignment vertical="top"/>
    </xf>
    <xf numFmtId="0" fontId="32" fillId="34" borderId="0" xfId="0" applyNumberFormat="1" applyFont="1">
      <alignment vertical="top"/>
    </xf>
    <xf numFmtId="184" fontId="0" fillId="34" borderId="0" xfId="0" applyNumberFormat="1" applyFont="1" applyAlignment="1">
      <alignment horizontal="left" vertical="top"/>
    </xf>
    <xf numFmtId="0" fontId="0" fillId="34" borderId="24" xfId="0" applyFont="1" applyBorder="1" applyAlignment="1">
      <alignment vertical="top" wrapText="1"/>
    </xf>
    <xf numFmtId="0" fontId="0" fillId="34" borderId="0" xfId="0" applyAlignment="1">
      <alignment vertical="top" wrapText="1"/>
    </xf>
    <xf numFmtId="0" fontId="0" fillId="34" borderId="0" xfId="0">
      <alignment vertical="top"/>
    </xf>
    <xf numFmtId="0" fontId="47" fillId="34" borderId="0" xfId="0" applyFont="1" applyAlignment="1">
      <alignment vertical="top" wrapText="1"/>
    </xf>
    <xf numFmtId="0" fontId="34" fillId="34" borderId="0" xfId="0" applyFont="1" applyAlignment="1">
      <alignment vertical="top" wrapText="1"/>
    </xf>
    <xf numFmtId="0" fontId="0" fillId="34" borderId="0" xfId="0" applyNumberFormat="1">
      <alignment vertical="top"/>
    </xf>
    <xf numFmtId="0" fontId="0" fillId="34" borderId="0" xfId="0" applyAlignment="1">
      <alignment vertical="top" wrapText="1"/>
    </xf>
    <xf numFmtId="0" fontId="53" fillId="34" borderId="0" xfId="0" applyFont="1">
      <alignment vertical="top"/>
    </xf>
    <xf numFmtId="0" fontId="0" fillId="34" borderId="0" xfId="0" applyAlignment="1">
      <alignment horizontal="left" vertical="top" wrapText="1"/>
    </xf>
    <xf numFmtId="0" fontId="9" fillId="11" borderId="0" xfId="0" applyFont="1" applyFill="1" applyAlignment="1">
      <alignment horizontal="left" vertical="top"/>
    </xf>
    <xf numFmtId="0" fontId="0" fillId="11" borderId="0" xfId="0" applyFill="1" applyAlignment="1">
      <alignment horizontal="left" vertical="top" wrapText="1"/>
    </xf>
    <xf numFmtId="0" fontId="0" fillId="34" borderId="0" xfId="0" applyAlignment="1">
      <alignment vertical="top" wrapText="1"/>
    </xf>
    <xf numFmtId="0" fontId="0" fillId="34" borderId="0" xfId="0" applyAlignment="1">
      <alignment vertical="top" wrapText="1"/>
    </xf>
    <xf numFmtId="0" fontId="0" fillId="34" borderId="0" xfId="0">
      <alignment vertical="top"/>
    </xf>
    <xf numFmtId="0" fontId="0" fillId="34" borderId="0" xfId="0" applyBorder="1">
      <alignment vertical="top"/>
    </xf>
    <xf numFmtId="169" fontId="0" fillId="34" borderId="0" xfId="0" applyNumberFormat="1" applyAlignment="1">
      <alignment vertical="top"/>
    </xf>
    <xf numFmtId="169" fontId="0" fillId="34" borderId="0" xfId="0" applyNumberFormat="1" applyAlignment="1">
      <alignment vertical="top"/>
    </xf>
    <xf numFmtId="0" fontId="0" fillId="34" borderId="13" xfId="0" applyBorder="1">
      <alignment vertical="top"/>
    </xf>
    <xf numFmtId="0" fontId="36" fillId="34" borderId="0" xfId="0" applyFont="1">
      <alignment vertical="top"/>
    </xf>
    <xf numFmtId="0" fontId="0" fillId="34" borderId="0" xfId="0" applyAlignment="1">
      <alignment vertical="top" wrapText="1"/>
    </xf>
    <xf numFmtId="0" fontId="0" fillId="34" borderId="0" xfId="0">
      <alignment vertical="top"/>
    </xf>
    <xf numFmtId="164" fontId="0" fillId="34" borderId="0" xfId="0" applyNumberFormat="1">
      <alignment vertical="top"/>
    </xf>
    <xf numFmtId="0" fontId="0" fillId="34" borderId="0" xfId="0" applyAlignment="1">
      <alignment vertical="top" wrapText="1"/>
    </xf>
    <xf numFmtId="14" fontId="0" fillId="34" borderId="0" xfId="0" applyNumberFormat="1" applyAlignment="1">
      <alignment horizontal="left" vertical="top"/>
    </xf>
    <xf numFmtId="0" fontId="0" fillId="34" borderId="0" xfId="0" applyAlignment="1">
      <alignment horizontal="left" vertical="top" wrapText="1"/>
    </xf>
    <xf numFmtId="0" fontId="0" fillId="34" borderId="0" xfId="0">
      <alignment vertical="top"/>
    </xf>
    <xf numFmtId="0" fontId="0" fillId="34" borderId="0" xfId="0" applyBorder="1" applyAlignment="1">
      <alignment horizontal="left"/>
    </xf>
    <xf numFmtId="0" fontId="0" fillId="34" borderId="0" xfId="0" applyAlignment="1">
      <alignment vertical="top" wrapText="1"/>
    </xf>
    <xf numFmtId="0" fontId="0" fillId="34" borderId="0" xfId="0" applyAlignment="1">
      <alignment horizontal="left" vertical="top" wrapText="1"/>
    </xf>
    <xf numFmtId="0" fontId="0" fillId="34" borderId="0" xfId="0">
      <alignment vertical="top"/>
    </xf>
    <xf numFmtId="2" fontId="0" fillId="34" borderId="0" xfId="0" applyNumberFormat="1">
      <alignment vertical="top"/>
    </xf>
    <xf numFmtId="0" fontId="0" fillId="34" borderId="0" xfId="0" applyBorder="1">
      <alignment vertical="top"/>
    </xf>
    <xf numFmtId="166" fontId="0" fillId="34" borderId="0" xfId="0" applyNumberFormat="1">
      <alignment vertical="top"/>
    </xf>
    <xf numFmtId="0" fontId="54" fillId="34" borderId="0" xfId="0" applyFont="1">
      <alignment vertical="top"/>
    </xf>
    <xf numFmtId="0" fontId="0" fillId="34" borderId="0" xfId="0" applyAlignment="1">
      <alignment horizontal="left" vertical="top" wrapText="1"/>
    </xf>
    <xf numFmtId="0" fontId="0" fillId="34" borderId="0" xfId="0" applyAlignment="1">
      <alignment vertical="top" wrapText="1"/>
    </xf>
    <xf numFmtId="169" fontId="0" fillId="34" borderId="0" xfId="0" applyNumberFormat="1" applyFont="1" applyFill="1" applyBorder="1" applyAlignment="1">
      <alignment horizontal="center"/>
    </xf>
    <xf numFmtId="0" fontId="0" fillId="34" borderId="0" xfId="0" applyAlignment="1">
      <alignment horizontal="center" vertical="top"/>
    </xf>
    <xf numFmtId="3" fontId="0" fillId="34" borderId="0" xfId="0" applyNumberFormat="1" applyAlignment="1">
      <alignment horizontal="center" vertical="top"/>
    </xf>
    <xf numFmtId="2" fontId="54" fillId="34" borderId="0" xfId="0" applyNumberFormat="1" applyFont="1" applyAlignment="1">
      <alignment horizontal="center" vertical="top"/>
    </xf>
    <xf numFmtId="167" fontId="0" fillId="34" borderId="0" xfId="0" applyNumberFormat="1">
      <alignment vertical="top"/>
    </xf>
    <xf numFmtId="167" fontId="0" fillId="34" borderId="0" xfId="0" applyNumberFormat="1" applyBorder="1">
      <alignment vertical="top"/>
    </xf>
    <xf numFmtId="0" fontId="0" fillId="34" borderId="0" xfId="0">
      <alignment vertical="top"/>
    </xf>
    <xf numFmtId="0" fontId="0" fillId="34" borderId="0" xfId="0" applyAlignment="1">
      <alignment vertical="top" wrapText="1"/>
    </xf>
    <xf numFmtId="0" fontId="0" fillId="34" borderId="0" xfId="0">
      <alignment vertical="top"/>
    </xf>
    <xf numFmtId="0" fontId="50" fillId="34" borderId="0" xfId="0" applyNumberFormat="1" applyFont="1" applyBorder="1" applyAlignment="1">
      <alignment vertical="top" wrapText="1"/>
    </xf>
    <xf numFmtId="0" fontId="0" fillId="34" borderId="0" xfId="0" applyAlignment="1">
      <alignment vertical="top" wrapText="1"/>
    </xf>
    <xf numFmtId="0" fontId="0" fillId="34" borderId="0" xfId="0" applyAlignment="1">
      <alignment vertical="center" wrapText="1"/>
    </xf>
    <xf numFmtId="0" fontId="0" fillId="34" borderId="0" xfId="0" applyAlignment="1">
      <alignment vertical="center"/>
    </xf>
    <xf numFmtId="0" fontId="0" fillId="34" borderId="0" xfId="0" applyAlignment="1">
      <alignment horizontal="left" vertical="top" wrapText="1"/>
    </xf>
    <xf numFmtId="0" fontId="0" fillId="34" borderId="0" xfId="0" applyAlignment="1">
      <alignment horizontal="left" vertical="top" wrapText="1"/>
    </xf>
    <xf numFmtId="0" fontId="0" fillId="34" borderId="0" xfId="0" applyAlignment="1">
      <alignment vertical="top" wrapText="1"/>
    </xf>
    <xf numFmtId="0" fontId="0" fillId="34" borderId="0" xfId="0" applyAlignment="1">
      <alignment horizontal="left" vertical="top" wrapText="1"/>
    </xf>
    <xf numFmtId="0" fontId="0" fillId="34" borderId="0" xfId="0" applyBorder="1">
      <alignment vertical="top"/>
    </xf>
    <xf numFmtId="0" fontId="0" fillId="34" borderId="0" xfId="0">
      <alignment vertical="top"/>
    </xf>
    <xf numFmtId="0" fontId="0" fillId="34" borderId="0" xfId="0" applyAlignment="1">
      <alignment horizontal="center" vertical="top"/>
    </xf>
    <xf numFmtId="0" fontId="0" fillId="34" borderId="0" xfId="0" applyAlignment="1">
      <alignment vertical="top" wrapText="1"/>
    </xf>
    <xf numFmtId="0" fontId="0" fillId="34" borderId="0" xfId="0" applyAlignment="1">
      <alignment horizontal="left" vertical="top" wrapText="1"/>
    </xf>
    <xf numFmtId="0" fontId="34" fillId="34" borderId="0" xfId="0" applyFont="1" applyAlignment="1">
      <alignment vertical="top" wrapText="1"/>
    </xf>
    <xf numFmtId="0" fontId="0" fillId="34" borderId="0" xfId="0" applyAlignment="1">
      <alignment horizontal="left" vertical="top" wrapText="1"/>
    </xf>
    <xf numFmtId="173" fontId="0" fillId="34" borderId="0" xfId="0" applyNumberFormat="1">
      <alignment vertical="top"/>
    </xf>
    <xf numFmtId="0" fontId="0" fillId="34" borderId="0" xfId="0" applyBorder="1" applyAlignment="1">
      <alignment vertical="top"/>
    </xf>
    <xf numFmtId="0" fontId="59" fillId="34" borderId="0" xfId="0" applyFont="1" applyBorder="1" applyAlignment="1">
      <alignment horizontal="left" vertical="top"/>
    </xf>
    <xf numFmtId="0" fontId="0" fillId="34" borderId="0" xfId="0">
      <alignment vertical="top"/>
    </xf>
    <xf numFmtId="0" fontId="55" fillId="34" borderId="0" xfId="0" applyFont="1">
      <alignment vertical="top"/>
    </xf>
    <xf numFmtId="14" fontId="50" fillId="34" borderId="0" xfId="0" applyNumberFormat="1" applyFont="1" applyBorder="1" applyAlignment="1">
      <alignment horizontal="left" vertical="top"/>
    </xf>
    <xf numFmtId="14" fontId="0" fillId="34" borderId="0" xfId="0" applyNumberFormat="1" applyAlignment="1">
      <alignment horizontal="left" vertical="center"/>
    </xf>
    <xf numFmtId="14" fontId="0" fillId="34" borderId="0" xfId="0" applyNumberFormat="1" applyAlignment="1">
      <alignment horizontal="left" vertical="top" wrapText="1"/>
    </xf>
    <xf numFmtId="0" fontId="0" fillId="34" borderId="0" xfId="0">
      <alignment vertical="top"/>
    </xf>
    <xf numFmtId="0" fontId="0" fillId="34" borderId="0" xfId="0">
      <alignment vertical="top"/>
    </xf>
    <xf numFmtId="0" fontId="0" fillId="34" borderId="0" xfId="0" applyAlignment="1">
      <alignment horizontal="center" vertical="top"/>
    </xf>
    <xf numFmtId="0" fontId="0" fillId="34" borderId="0" xfId="0">
      <alignment vertical="top"/>
    </xf>
    <xf numFmtId="0" fontId="36" fillId="34" borderId="0" xfId="0" applyFont="1" applyAlignment="1">
      <alignment horizontal="left" vertical="top"/>
    </xf>
    <xf numFmtId="0" fontId="0" fillId="34" borderId="0" xfId="0">
      <alignment vertical="top"/>
    </xf>
    <xf numFmtId="169" fontId="0" fillId="34" borderId="0" xfId="0" applyNumberFormat="1">
      <alignment vertical="top"/>
    </xf>
    <xf numFmtId="0" fontId="0" fillId="34" borderId="0" xfId="0">
      <alignment vertical="top"/>
    </xf>
    <xf numFmtId="174" fontId="0" fillId="34" borderId="0" xfId="0" applyNumberFormat="1">
      <alignment vertical="top"/>
    </xf>
    <xf numFmtId="164" fontId="0" fillId="34" borderId="0" xfId="0" applyNumberFormat="1" applyAlignment="1">
      <alignment horizontal="left" indent="1"/>
    </xf>
    <xf numFmtId="164" fontId="0" fillId="34" borderId="0" xfId="0" applyNumberFormat="1" applyAlignment="1">
      <alignment horizontal="center"/>
    </xf>
    <xf numFmtId="186" fontId="0" fillId="34" borderId="0" xfId="0" applyNumberFormat="1" applyAlignment="1">
      <alignment horizontal="left" indent="1"/>
    </xf>
    <xf numFmtId="186" fontId="0" fillId="34" borderId="0" xfId="0" applyNumberFormat="1" applyAlignment="1">
      <alignment horizontal="center"/>
    </xf>
    <xf numFmtId="169" fontId="0" fillId="34" borderId="0" xfId="0" applyNumberFormat="1" applyAlignment="1">
      <alignment horizontal="left"/>
    </xf>
    <xf numFmtId="0" fontId="0" fillId="34" borderId="0" xfId="0" applyAlignment="1">
      <alignment horizontal="left" vertical="top" wrapText="1"/>
    </xf>
    <xf numFmtId="0" fontId="0" fillId="34" borderId="0" xfId="0" applyAlignment="1">
      <alignment vertical="top" wrapText="1"/>
    </xf>
    <xf numFmtId="0" fontId="0" fillId="34" borderId="0" xfId="0">
      <alignment vertical="top"/>
    </xf>
    <xf numFmtId="0" fontId="58" fillId="34" borderId="0" xfId="0" applyFont="1" applyAlignment="1"/>
    <xf numFmtId="0" fontId="0" fillId="34" borderId="0" xfId="0" applyAlignment="1">
      <alignment vertical="top" wrapText="1"/>
    </xf>
    <xf numFmtId="0" fontId="36" fillId="34" borderId="0" xfId="0" applyFont="1">
      <alignment vertical="top"/>
    </xf>
    <xf numFmtId="0" fontId="36" fillId="34" borderId="0" xfId="0" applyFont="1" applyBorder="1" applyAlignment="1">
      <alignment horizontal="left" vertical="top"/>
    </xf>
    <xf numFmtId="0" fontId="0" fillId="34" borderId="0" xfId="0">
      <alignment vertical="top"/>
    </xf>
    <xf numFmtId="0" fontId="0" fillId="34" borderId="0" xfId="0">
      <alignment vertical="top"/>
    </xf>
    <xf numFmtId="0" fontId="0" fillId="34" borderId="0" xfId="0" applyAlignment="1">
      <alignment horizontal="center" vertical="top"/>
    </xf>
    <xf numFmtId="0" fontId="0" fillId="34" borderId="25" xfId="0" applyBorder="1">
      <alignment vertical="top"/>
    </xf>
    <xf numFmtId="2" fontId="0" fillId="34" borderId="0" xfId="0" applyNumberFormat="1" applyBorder="1">
      <alignment vertical="top"/>
    </xf>
    <xf numFmtId="0" fontId="61" fillId="34" borderId="0" xfId="0" applyFont="1">
      <alignment vertical="top"/>
    </xf>
    <xf numFmtId="0" fontId="60" fillId="34" borderId="0" xfId="0" applyFont="1">
      <alignment vertical="top"/>
    </xf>
    <xf numFmtId="0" fontId="62" fillId="34" borderId="0" xfId="0" applyFont="1" applyAlignment="1">
      <alignment horizontal="center" vertical="top"/>
    </xf>
    <xf numFmtId="0" fontId="0" fillId="34" borderId="0" xfId="0" applyAlignment="1">
      <alignment vertical="top" wrapText="1"/>
    </xf>
    <xf numFmtId="0" fontId="0" fillId="34" borderId="0" xfId="0" applyAlignment="1">
      <alignment horizontal="left" vertical="top" wrapText="1"/>
    </xf>
    <xf numFmtId="0" fontId="0" fillId="34" borderId="0" xfId="0">
      <alignment vertical="top"/>
    </xf>
    <xf numFmtId="10" fontId="0" fillId="34" borderId="0" xfId="0" applyNumberFormat="1" applyFont="1" applyFill="1" applyAlignment="1">
      <alignment vertical="top"/>
    </xf>
    <xf numFmtId="0" fontId="0" fillId="34" borderId="0" xfId="0">
      <alignment vertical="top"/>
    </xf>
    <xf numFmtId="0" fontId="0" fillId="34" borderId="0" xfId="0">
      <alignment vertical="top"/>
    </xf>
    <xf numFmtId="0" fontId="0" fillId="34" borderId="0" xfId="0">
      <alignment vertical="top"/>
    </xf>
    <xf numFmtId="0" fontId="0" fillId="34" borderId="0" xfId="0">
      <alignment vertical="top"/>
    </xf>
    <xf numFmtId="0" fontId="64" fillId="34" borderId="0" xfId="48" applyNumberFormat="1">
      <alignment vertical="top"/>
    </xf>
    <xf numFmtId="0" fontId="67" fillId="34" borderId="0" xfId="15" applyNumberFormat="1"/>
    <xf numFmtId="0" fontId="74" fillId="34" borderId="28" xfId="87" applyNumberFormat="1" applyProtection="1">
      <alignment horizontal="center"/>
    </xf>
    <xf numFmtId="188" fontId="64" fillId="34" borderId="0" xfId="94">
      <alignment horizontal="center" vertical="top"/>
    </xf>
    <xf numFmtId="0" fontId="63" fillId="36" borderId="9" xfId="99">
      <alignment horizontal="center" vertical="top"/>
    </xf>
    <xf numFmtId="3" fontId="63" fillId="44" borderId="27" xfId="93">
      <alignment horizontal="center" vertical="top"/>
    </xf>
    <xf numFmtId="0" fontId="72" fillId="34" borderId="0" xfId="102">
      <alignment vertical="top"/>
    </xf>
    <xf numFmtId="0" fontId="73" fillId="34" borderId="0" xfId="0" applyNumberFormat="1" applyFont="1">
      <alignment vertical="top"/>
    </xf>
    <xf numFmtId="0" fontId="66" fillId="41" borderId="9" xfId="11">
      <alignment horizontal="left"/>
    </xf>
    <xf numFmtId="0" fontId="66" fillId="41" borderId="16" xfId="11" applyNumberFormat="1" applyBorder="1">
      <alignment horizontal="left"/>
    </xf>
    <xf numFmtId="0" fontId="66" fillId="41" borderId="10" xfId="11" applyBorder="1">
      <alignment horizontal="left"/>
    </xf>
    <xf numFmtId="0" fontId="66" fillId="41" borderId="17" xfId="11" applyBorder="1">
      <alignment horizontal="left"/>
    </xf>
    <xf numFmtId="0" fontId="68" fillId="42" borderId="9" xfId="97">
      <alignment horizontal="center"/>
    </xf>
    <xf numFmtId="0" fontId="69" fillId="34" borderId="0" xfId="90">
      <alignment vertical="top"/>
    </xf>
    <xf numFmtId="0" fontId="71" fillId="34" borderId="0" xfId="101">
      <alignment vertical="top"/>
    </xf>
    <xf numFmtId="167" fontId="63" fillId="40" borderId="9" xfId="89" applyNumberFormat="1">
      <alignment vertical="top"/>
      <protection locked="0"/>
    </xf>
    <xf numFmtId="0" fontId="63" fillId="36" borderId="9" xfId="88">
      <alignment vertical="top"/>
    </xf>
    <xf numFmtId="0" fontId="63" fillId="43" borderId="9" xfId="51">
      <alignment vertical="top"/>
    </xf>
    <xf numFmtId="0" fontId="64" fillId="34" borderId="26" xfId="96" applyNumberFormat="1">
      <alignment vertical="top"/>
    </xf>
    <xf numFmtId="0" fontId="64" fillId="45" borderId="0" xfId="91" applyNumberFormat="1" applyBorder="1">
      <alignment vertical="top"/>
    </xf>
    <xf numFmtId="0" fontId="66" fillId="41" borderId="16" xfId="11" applyBorder="1">
      <alignment horizontal="left"/>
    </xf>
    <xf numFmtId="0" fontId="66" fillId="41" borderId="16" xfId="11" applyFont="1" applyBorder="1">
      <alignment horizontal="left"/>
    </xf>
    <xf numFmtId="0" fontId="0" fillId="34" borderId="0" xfId="0">
      <alignment vertical="top"/>
    </xf>
    <xf numFmtId="0" fontId="68" fillId="42" borderId="18" xfId="97" applyBorder="1">
      <alignment horizontal="center"/>
    </xf>
    <xf numFmtId="0" fontId="68" fillId="42" borderId="19" xfId="97" applyBorder="1">
      <alignment horizontal="center"/>
    </xf>
    <xf numFmtId="0" fontId="68" fillId="42" borderId="9" xfId="97" applyAlignment="1">
      <alignment horizontal="centerContinuous" vertical="top"/>
    </xf>
    <xf numFmtId="0" fontId="68" fillId="42" borderId="9" xfId="97" applyAlignment="1">
      <alignment horizontal="centerContinuous"/>
    </xf>
    <xf numFmtId="0" fontId="68" fillId="42" borderId="23" xfId="97" applyBorder="1" applyAlignment="1">
      <alignment horizontal="centerContinuous"/>
    </xf>
    <xf numFmtId="0" fontId="68" fillId="42" borderId="20" xfId="97" applyBorder="1" applyAlignment="1">
      <alignment horizontal="center"/>
    </xf>
    <xf numFmtId="0" fontId="68" fillId="42" borderId="22" xfId="97" applyBorder="1" applyAlignment="1">
      <alignment horizontal="centerContinuous"/>
    </xf>
    <xf numFmtId="0" fontId="72" fillId="34" borderId="0" xfId="102">
      <alignment vertical="top"/>
    </xf>
    <xf numFmtId="0" fontId="68" fillId="42" borderId="21" xfId="97" applyBorder="1" applyAlignment="1">
      <alignment horizontal="center" vertical="top"/>
    </xf>
    <xf numFmtId="1" fontId="63" fillId="40" borderId="9" xfId="89" applyNumberFormat="1" applyAlignment="1">
      <alignment horizontal="center" vertical="top"/>
      <protection locked="0"/>
    </xf>
    <xf numFmtId="170" fontId="63" fillId="40" borderId="9" xfId="89" applyNumberFormat="1" applyAlignment="1">
      <alignment horizontal="center" vertical="top"/>
      <protection locked="0"/>
    </xf>
    <xf numFmtId="169" fontId="63" fillId="40" borderId="9" xfId="89" applyNumberFormat="1" applyAlignment="1">
      <alignment horizontal="center" vertical="top"/>
      <protection locked="0"/>
    </xf>
    <xf numFmtId="9" fontId="63" fillId="40" borderId="9" xfId="89" applyNumberFormat="1" applyAlignment="1">
      <alignment horizontal="center" vertical="top"/>
      <protection locked="0"/>
    </xf>
    <xf numFmtId="0" fontId="63" fillId="40" borderId="9" xfId="89" applyNumberFormat="1" applyAlignment="1">
      <alignment horizontal="center" vertical="top"/>
      <protection locked="0"/>
    </xf>
    <xf numFmtId="4" fontId="63" fillId="40" borderId="9" xfId="89" applyNumberFormat="1" applyAlignment="1">
      <alignment horizontal="center" vertical="top"/>
      <protection locked="0"/>
    </xf>
    <xf numFmtId="2" fontId="64" fillId="34" borderId="0" xfId="48" applyNumberFormat="1" applyAlignment="1">
      <alignment horizontal="center"/>
    </xf>
    <xf numFmtId="169" fontId="64" fillId="34" borderId="0" xfId="48" applyNumberFormat="1" applyAlignment="1">
      <alignment horizontal="center"/>
    </xf>
    <xf numFmtId="164" fontId="64" fillId="34" borderId="0" xfId="48" applyNumberFormat="1" applyAlignment="1">
      <alignment horizontal="center"/>
    </xf>
    <xf numFmtId="9" fontId="64" fillId="34" borderId="0" xfId="48" applyNumberFormat="1" applyAlignment="1">
      <alignment horizontal="center"/>
    </xf>
    <xf numFmtId="171" fontId="64" fillId="34" borderId="0" xfId="48" applyNumberFormat="1" applyAlignment="1">
      <alignment horizontal="center"/>
    </xf>
    <xf numFmtId="166" fontId="64" fillId="34" borderId="0" xfId="48" applyNumberFormat="1" applyAlignment="1">
      <alignment horizontal="center"/>
    </xf>
    <xf numFmtId="2" fontId="64" fillId="34" borderId="0" xfId="48" applyNumberFormat="1" applyAlignment="1">
      <alignment horizontal="center" vertical="top"/>
    </xf>
    <xf numFmtId="2" fontId="64" fillId="34" borderId="29" xfId="48" applyNumberFormat="1" applyBorder="1" applyAlignment="1">
      <alignment horizontal="center" vertical="center"/>
    </xf>
    <xf numFmtId="169" fontId="64" fillId="34" borderId="29" xfId="48" applyNumberFormat="1" applyBorder="1" applyAlignment="1">
      <alignment horizontal="center" vertical="center"/>
    </xf>
    <xf numFmtId="164" fontId="64" fillId="34" borderId="29" xfId="48" applyNumberFormat="1" applyBorder="1" applyAlignment="1">
      <alignment horizontal="center"/>
    </xf>
    <xf numFmtId="2" fontId="64" fillId="34" borderId="29" xfId="48" applyNumberFormat="1" applyBorder="1" applyAlignment="1">
      <alignment horizontal="center"/>
    </xf>
    <xf numFmtId="169" fontId="64" fillId="34" borderId="29" xfId="48" applyNumberFormat="1" applyBorder="1" applyAlignment="1">
      <alignment horizontal="center"/>
    </xf>
    <xf numFmtId="0" fontId="0" fillId="34" borderId="0" xfId="0">
      <alignment vertical="top"/>
    </xf>
    <xf numFmtId="0" fontId="72" fillId="34" borderId="0" xfId="102">
      <alignment vertical="top"/>
    </xf>
    <xf numFmtId="0" fontId="68" fillId="42" borderId="9" xfId="97">
      <alignment horizontal="center"/>
    </xf>
    <xf numFmtId="0" fontId="64" fillId="34" borderId="0" xfId="48" applyNumberFormat="1" applyAlignment="1">
      <alignment horizontal="center" vertical="top"/>
    </xf>
    <xf numFmtId="2" fontId="64" fillId="34" borderId="30" xfId="48" applyNumberFormat="1" applyBorder="1" applyAlignment="1">
      <alignment horizontal="center"/>
    </xf>
    <xf numFmtId="166" fontId="64" fillId="34" borderId="30" xfId="48" applyNumberFormat="1" applyBorder="1" applyAlignment="1">
      <alignment horizontal="center"/>
    </xf>
    <xf numFmtId="169" fontId="64" fillId="34" borderId="30" xfId="48" applyNumberFormat="1" applyBorder="1" applyAlignment="1">
      <alignment horizontal="center"/>
    </xf>
    <xf numFmtId="2" fontId="64" fillId="34" borderId="30" xfId="48" applyNumberFormat="1" applyBorder="1" applyAlignment="1">
      <alignment horizontal="center" vertical="top"/>
    </xf>
    <xf numFmtId="166" fontId="64" fillId="34" borderId="29" xfId="48" applyNumberFormat="1" applyBorder="1" applyAlignment="1">
      <alignment horizontal="center" vertical="top"/>
    </xf>
    <xf numFmtId="2" fontId="64" fillId="34" borderId="29" xfId="48" applyNumberFormat="1" applyBorder="1" applyAlignment="1">
      <alignment horizontal="center" vertical="top"/>
    </xf>
    <xf numFmtId="0" fontId="67" fillId="34" borderId="0" xfId="15" applyNumberFormat="1"/>
    <xf numFmtId="0" fontId="0" fillId="34" borderId="0" xfId="0">
      <alignment vertical="top"/>
    </xf>
    <xf numFmtId="0" fontId="0" fillId="34" borderId="0" xfId="0" applyAlignment="1">
      <alignment horizontal="center" vertical="top"/>
    </xf>
    <xf numFmtId="0" fontId="72" fillId="34" borderId="0" xfId="102">
      <alignment vertical="top"/>
    </xf>
    <xf numFmtId="0" fontId="68" fillId="42" borderId="9" xfId="97">
      <alignment horizontal="center"/>
    </xf>
    <xf numFmtId="0" fontId="71" fillId="34" borderId="0" xfId="101" applyAlignment="1">
      <alignment vertical="center"/>
    </xf>
    <xf numFmtId="2" fontId="63" fillId="36" borderId="9" xfId="88" applyNumberFormat="1">
      <alignment vertical="top"/>
    </xf>
    <xf numFmtId="169" fontId="63" fillId="36" borderId="9" xfId="88" applyNumberFormat="1">
      <alignment vertical="top"/>
    </xf>
    <xf numFmtId="2" fontId="63" fillId="36" borderId="9" xfId="88" applyNumberFormat="1" applyAlignment="1">
      <alignment horizontal="center" vertical="top"/>
    </xf>
    <xf numFmtId="2" fontId="63" fillId="36" borderId="9" xfId="88" applyNumberFormat="1" applyAlignment="1">
      <alignment vertical="top"/>
    </xf>
    <xf numFmtId="2" fontId="64" fillId="34" borderId="0" xfId="48" applyNumberFormat="1">
      <alignment vertical="top"/>
    </xf>
    <xf numFmtId="165" fontId="64" fillId="34" borderId="0" xfId="48" applyNumberFormat="1">
      <alignment vertical="top"/>
    </xf>
    <xf numFmtId="167" fontId="63" fillId="36" borderId="9" xfId="88" applyNumberFormat="1" applyAlignment="1">
      <alignment horizontal="center" vertical="top"/>
    </xf>
    <xf numFmtId="169" fontId="63" fillId="36" borderId="9" xfId="88" applyNumberFormat="1" applyAlignment="1">
      <alignment horizontal="center" vertical="top"/>
    </xf>
    <xf numFmtId="167" fontId="64" fillId="34" borderId="0" xfId="48" applyNumberFormat="1">
      <alignment vertical="top"/>
    </xf>
    <xf numFmtId="9" fontId="64" fillId="34" borderId="0" xfId="48" applyNumberFormat="1">
      <alignment vertical="top"/>
    </xf>
    <xf numFmtId="4" fontId="64" fillId="34" borderId="0" xfId="48" applyNumberFormat="1">
      <alignment vertical="top"/>
    </xf>
    <xf numFmtId="174" fontId="64" fillId="34" borderId="0" xfId="48" applyNumberFormat="1">
      <alignment vertical="top"/>
    </xf>
    <xf numFmtId="169" fontId="64" fillId="34" borderId="0" xfId="48" applyNumberFormat="1" applyAlignment="1">
      <alignment horizontal="center" vertical="top"/>
    </xf>
    <xf numFmtId="10" fontId="64" fillId="34" borderId="0" xfId="48" applyNumberFormat="1" applyAlignment="1">
      <alignment horizontal="center" vertical="top"/>
    </xf>
    <xf numFmtId="167" fontId="64" fillId="34" borderId="0" xfId="48" applyNumberFormat="1" applyAlignment="1">
      <alignment horizontal="center" vertical="top"/>
    </xf>
    <xf numFmtId="9" fontId="64" fillId="34" borderId="0" xfId="48" applyNumberFormat="1" applyAlignment="1">
      <alignment horizontal="center" vertical="top"/>
    </xf>
    <xf numFmtId="4" fontId="64" fillId="34" borderId="0" xfId="48" applyNumberFormat="1" applyAlignment="1">
      <alignment horizontal="center" vertical="top"/>
    </xf>
    <xf numFmtId="174" fontId="64" fillId="34" borderId="0" xfId="48" applyNumberFormat="1" applyAlignment="1">
      <alignment horizontal="center" vertical="top"/>
    </xf>
    <xf numFmtId="1" fontId="64" fillId="34" borderId="0" xfId="48" applyNumberFormat="1" applyAlignment="1">
      <alignment horizontal="center" vertical="top"/>
    </xf>
    <xf numFmtId="3" fontId="64" fillId="34" borderId="0" xfId="48" applyNumberFormat="1">
      <alignment vertical="top"/>
    </xf>
    <xf numFmtId="166" fontId="64" fillId="34" borderId="0" xfId="48" applyNumberFormat="1">
      <alignment vertical="top"/>
    </xf>
    <xf numFmtId="3" fontId="64" fillId="34" borderId="0" xfId="48" applyNumberFormat="1" applyAlignment="1">
      <alignment horizontal="center" vertical="top"/>
    </xf>
    <xf numFmtId="175" fontId="64" fillId="34" borderId="0" xfId="48" applyNumberFormat="1" applyAlignment="1">
      <alignment horizontal="center" vertical="top"/>
    </xf>
    <xf numFmtId="3" fontId="64" fillId="45" borderId="0" xfId="91" applyNumberFormat="1" applyBorder="1" applyAlignment="1">
      <alignment horizontal="center" vertical="top"/>
    </xf>
    <xf numFmtId="174" fontId="64" fillId="34" borderId="0" xfId="48" applyNumberFormat="1" applyAlignment="1">
      <alignment vertical="top"/>
    </xf>
    <xf numFmtId="0" fontId="63" fillId="34" borderId="0" xfId="0" applyFont="1">
      <alignment vertical="top"/>
    </xf>
    <xf numFmtId="167" fontId="63" fillId="34" borderId="0" xfId="0" applyNumberFormat="1" applyFont="1">
      <alignment vertical="top"/>
    </xf>
    <xf numFmtId="1" fontId="64" fillId="34" borderId="0" xfId="48" applyNumberFormat="1">
      <alignment vertical="top"/>
    </xf>
    <xf numFmtId="169" fontId="64" fillId="34" borderId="0" xfId="48" applyNumberFormat="1" applyAlignment="1">
      <alignment vertical="top"/>
    </xf>
    <xf numFmtId="10" fontId="64" fillId="34" borderId="0" xfId="48" quotePrefix="1" applyNumberFormat="1" applyAlignment="1">
      <alignment horizontal="center"/>
    </xf>
    <xf numFmtId="10" fontId="64" fillId="34" borderId="0" xfId="48" quotePrefix="1" applyNumberFormat="1" applyAlignment="1">
      <alignment horizontal="center" vertical="top"/>
    </xf>
    <xf numFmtId="2" fontId="64" fillId="34" borderId="0" xfId="48" quotePrefix="1" applyNumberFormat="1" applyAlignment="1">
      <alignment horizontal="center"/>
    </xf>
    <xf numFmtId="165" fontId="0" fillId="34" borderId="0" xfId="0" applyNumberFormat="1" applyFont="1" applyAlignment="1">
      <alignment vertical="top"/>
    </xf>
    <xf numFmtId="170" fontId="64" fillId="34" borderId="0" xfId="48" applyNumberFormat="1">
      <alignment vertical="top"/>
    </xf>
    <xf numFmtId="173" fontId="64" fillId="34" borderId="0" xfId="48" applyNumberFormat="1">
      <alignment vertical="top"/>
    </xf>
    <xf numFmtId="49" fontId="72" fillId="34" borderId="0" xfId="102" applyNumberFormat="1" applyAlignment="1">
      <alignment horizontal="left" vertical="center"/>
    </xf>
    <xf numFmtId="49" fontId="0" fillId="34" borderId="0" xfId="0" applyNumberFormat="1">
      <alignment vertical="top"/>
    </xf>
    <xf numFmtId="0" fontId="71" fillId="34" borderId="0" xfId="101" applyAlignment="1">
      <alignment horizontal="left" vertical="center"/>
    </xf>
    <xf numFmtId="0" fontId="68" fillId="42" borderId="18" xfId="97" applyBorder="1" applyAlignment="1">
      <alignment horizontal="centerContinuous"/>
    </xf>
    <xf numFmtId="0" fontId="74" fillId="34" borderId="12" xfId="87" applyBorder="1">
      <alignment horizontal="center"/>
    </xf>
    <xf numFmtId="0" fontId="74" fillId="34" borderId="31" xfId="87" applyBorder="1">
      <alignment horizontal="center"/>
    </xf>
    <xf numFmtId="0" fontId="68" fillId="42" borderId="16" xfId="97" applyBorder="1" applyAlignment="1">
      <alignment horizontal="left"/>
    </xf>
    <xf numFmtId="0" fontId="68" fillId="42" borderId="10" xfId="97" applyBorder="1" applyAlignment="1">
      <alignment horizontal="left"/>
    </xf>
    <xf numFmtId="0" fontId="68" fillId="42" borderId="17" xfId="97" applyBorder="1" applyAlignment="1">
      <alignment horizontal="left"/>
    </xf>
    <xf numFmtId="0" fontId="0" fillId="34" borderId="0" xfId="0">
      <alignment vertical="top"/>
    </xf>
    <xf numFmtId="3" fontId="63" fillId="40" borderId="9" xfId="89" applyNumberFormat="1" applyAlignment="1">
      <alignment horizontal="center" vertical="top"/>
      <protection locked="0"/>
    </xf>
    <xf numFmtId="3" fontId="63" fillId="43" borderId="9" xfId="51" applyNumberFormat="1" applyAlignment="1">
      <alignment horizontal="center" vertical="top"/>
    </xf>
    <xf numFmtId="0" fontId="0" fillId="34" borderId="32" xfId="0" applyBorder="1" applyAlignment="1" applyProtection="1">
      <alignment horizontal="left"/>
    </xf>
    <xf numFmtId="0" fontId="0" fillId="34" borderId="33" xfId="0" applyBorder="1" applyProtection="1">
      <alignment vertical="top"/>
    </xf>
    <xf numFmtId="0" fontId="0" fillId="34" borderId="34" xfId="0" applyBorder="1" applyProtection="1">
      <alignment vertical="top"/>
    </xf>
    <xf numFmtId="0" fontId="67" fillId="34" borderId="0" xfId="15" quotePrefix="1" applyNumberFormat="1"/>
    <xf numFmtId="165" fontId="66" fillId="41" borderId="16" xfId="11" applyNumberFormat="1" applyBorder="1">
      <alignment horizontal="left"/>
    </xf>
    <xf numFmtId="165" fontId="66" fillId="41" borderId="10" xfId="11" applyNumberFormat="1" applyBorder="1">
      <alignment horizontal="left"/>
    </xf>
    <xf numFmtId="165" fontId="66" fillId="41" borderId="17" xfId="11" applyNumberFormat="1" applyBorder="1">
      <alignment horizontal="left"/>
    </xf>
    <xf numFmtId="0" fontId="64" fillId="34" borderId="0" xfId="48" applyNumberFormat="1" applyAlignment="1">
      <alignment horizontal="center"/>
    </xf>
    <xf numFmtId="170" fontId="64" fillId="34" borderId="0" xfId="48" applyNumberFormat="1" applyAlignment="1">
      <alignment horizontal="center"/>
    </xf>
    <xf numFmtId="8" fontId="64" fillId="34" borderId="0" xfId="48" applyNumberFormat="1" applyAlignment="1">
      <alignment horizontal="center"/>
    </xf>
    <xf numFmtId="2" fontId="63" fillId="40" borderId="9" xfId="89" applyNumberFormat="1" applyAlignment="1">
      <alignment horizontal="center" vertical="top"/>
      <protection locked="0"/>
    </xf>
    <xf numFmtId="3" fontId="64" fillId="34" borderId="0" xfId="48" applyNumberFormat="1" applyAlignment="1">
      <alignment horizontal="right"/>
    </xf>
    <xf numFmtId="3" fontId="63" fillId="36" borderId="9" xfId="88" applyNumberFormat="1">
      <alignment vertical="top"/>
    </xf>
    <xf numFmtId="187" fontId="64" fillId="34" borderId="0" xfId="48" applyNumberFormat="1" applyAlignment="1">
      <alignment vertical="top"/>
    </xf>
    <xf numFmtId="169" fontId="64" fillId="34" borderId="0" xfId="48" applyNumberFormat="1" applyAlignment="1">
      <alignment horizontal="right" vertical="top"/>
    </xf>
    <xf numFmtId="0" fontId="64" fillId="34" borderId="0" xfId="48" applyNumberFormat="1" applyAlignment="1">
      <alignment vertical="top"/>
    </xf>
    <xf numFmtId="167" fontId="63" fillId="36" borderId="9" xfId="88" applyNumberFormat="1">
      <alignment vertical="top"/>
    </xf>
    <xf numFmtId="173" fontId="63" fillId="36" borderId="9" xfId="88" applyNumberFormat="1" applyAlignment="1">
      <alignment vertical="center"/>
    </xf>
    <xf numFmtId="173" fontId="64" fillId="34" borderId="0" xfId="48" applyNumberFormat="1" applyAlignment="1">
      <alignment vertical="top"/>
    </xf>
    <xf numFmtId="185" fontId="63" fillId="36" borderId="9" xfId="88" applyNumberFormat="1" applyAlignment="1">
      <alignment vertical="top"/>
    </xf>
    <xf numFmtId="9" fontId="63" fillId="36" borderId="9" xfId="88" applyNumberFormat="1">
      <alignment vertical="top"/>
    </xf>
    <xf numFmtId="169" fontId="63" fillId="36" borderId="9" xfId="88" applyNumberFormat="1" applyAlignment="1">
      <alignment horizontal="right"/>
    </xf>
    <xf numFmtId="10" fontId="63" fillId="36" borderId="9" xfId="88" applyNumberFormat="1" applyAlignment="1">
      <alignment horizontal="right"/>
    </xf>
    <xf numFmtId="168" fontId="63" fillId="36" borderId="9" xfId="88" applyNumberFormat="1" applyAlignment="1">
      <alignment horizontal="right"/>
    </xf>
    <xf numFmtId="166" fontId="63" fillId="36" borderId="9" xfId="88" applyNumberFormat="1">
      <alignment vertical="top"/>
    </xf>
    <xf numFmtId="0" fontId="63" fillId="43" borderId="9" xfId="51" applyNumberFormat="1">
      <alignment vertical="top"/>
    </xf>
    <xf numFmtId="0" fontId="0" fillId="34" borderId="0" xfId="0" applyBorder="1" applyAlignment="1">
      <alignment horizontal="left" vertical="top"/>
    </xf>
    <xf numFmtId="166" fontId="63" fillId="36" borderId="9" xfId="88" applyNumberFormat="1" applyAlignment="1">
      <alignment vertical="top"/>
    </xf>
    <xf numFmtId="0" fontId="63" fillId="43" borderId="9" xfId="51" applyAlignment="1">
      <alignment vertical="top"/>
    </xf>
    <xf numFmtId="166" fontId="69" fillId="34" borderId="0" xfId="90" applyNumberFormat="1" applyAlignment="1">
      <alignment vertical="top"/>
    </xf>
    <xf numFmtId="176" fontId="64" fillId="34" borderId="0" xfId="48" applyNumberFormat="1" applyAlignment="1">
      <alignment horizontal="center" vertical="top"/>
    </xf>
    <xf numFmtId="0" fontId="0" fillId="34" borderId="0" xfId="0">
      <alignment vertical="top"/>
    </xf>
    <xf numFmtId="0" fontId="68" fillId="42" borderId="9" xfId="97">
      <alignment horizontal="center"/>
    </xf>
    <xf numFmtId="0" fontId="86" fillId="34" borderId="0" xfId="0" applyFont="1">
      <alignment vertical="top"/>
    </xf>
    <xf numFmtId="0" fontId="0" fillId="34" borderId="0" xfId="0">
      <alignment vertical="top"/>
    </xf>
    <xf numFmtId="0" fontId="0" fillId="34" borderId="0" xfId="0" applyFont="1" applyAlignment="1">
      <alignment horizontal="left" vertical="top" wrapText="1"/>
    </xf>
    <xf numFmtId="0" fontId="68" fillId="42" borderId="9" xfId="97">
      <alignment horizontal="center"/>
    </xf>
    <xf numFmtId="0" fontId="66" fillId="41" borderId="10" xfId="11" applyNumberFormat="1" applyBorder="1">
      <alignment horizontal="left"/>
    </xf>
    <xf numFmtId="0" fontId="66" fillId="41" borderId="17" xfId="11" applyNumberFormat="1" applyBorder="1">
      <alignment horizontal="left"/>
    </xf>
    <xf numFmtId="0" fontId="68" fillId="42" borderId="9" xfId="97" applyAlignment="1">
      <alignment horizontal="left"/>
    </xf>
    <xf numFmtId="3" fontId="0" fillId="34" borderId="0" xfId="0" applyNumberFormat="1" applyAlignment="1">
      <alignment horizontal="left" vertical="top" indent="2"/>
    </xf>
    <xf numFmtId="0" fontId="0" fillId="34" borderId="0" xfId="0" applyNumberFormat="1" applyAlignment="1">
      <alignment horizontal="left" vertical="top"/>
    </xf>
    <xf numFmtId="0" fontId="0" fillId="34" borderId="0" xfId="0" applyAlignment="1">
      <alignment horizontal="left" indent="2"/>
    </xf>
    <xf numFmtId="0" fontId="64" fillId="34" borderId="0" xfId="48" applyNumberFormat="1" applyAlignment="1">
      <alignment horizontal="left" vertical="top"/>
    </xf>
    <xf numFmtId="0" fontId="77" fillId="34" borderId="0" xfId="0" applyFont="1">
      <alignment vertical="top"/>
    </xf>
    <xf numFmtId="2" fontId="0" fillId="34" borderId="0" xfId="0" applyNumberFormat="1" applyAlignment="1">
      <alignment horizontal="left" vertical="top" indent="2"/>
    </xf>
    <xf numFmtId="0" fontId="0" fillId="34" borderId="0" xfId="0" applyAlignment="1">
      <alignment horizontal="left" vertical="center" indent="1"/>
    </xf>
    <xf numFmtId="0" fontId="0" fillId="34" borderId="0" xfId="0" applyBorder="1" applyAlignment="1">
      <alignment horizontal="left" indent="1"/>
    </xf>
    <xf numFmtId="189" fontId="63" fillId="36" borderId="9" xfId="88" applyNumberFormat="1" applyAlignment="1">
      <alignment horizontal="right"/>
    </xf>
    <xf numFmtId="168" fontId="0" fillId="34" borderId="0" xfId="0" applyNumberFormat="1">
      <alignment vertical="top"/>
    </xf>
    <xf numFmtId="49" fontId="0" fillId="34" borderId="0" xfId="0" applyNumberFormat="1" applyAlignment="1">
      <alignment horizontal="left" indent="2"/>
    </xf>
    <xf numFmtId="0" fontId="0" fillId="34" borderId="0" xfId="0" applyNumberFormat="1" applyAlignment="1">
      <alignment horizontal="left" vertical="top" indent="2"/>
    </xf>
    <xf numFmtId="0" fontId="67" fillId="34" borderId="0" xfId="15" applyNumberFormat="1"/>
    <xf numFmtId="0" fontId="0" fillId="34" borderId="0" xfId="0">
      <alignment vertical="top"/>
    </xf>
    <xf numFmtId="0" fontId="68" fillId="42" borderId="9" xfId="97">
      <alignment horizontal="center"/>
    </xf>
    <xf numFmtId="0" fontId="0" fillId="34" borderId="0" xfId="0">
      <alignment vertical="top"/>
    </xf>
    <xf numFmtId="0" fontId="0" fillId="34" borderId="0" xfId="0" applyAlignment="1">
      <alignment horizontal="center" vertical="top"/>
    </xf>
    <xf numFmtId="3" fontId="64" fillId="34" borderId="0" xfId="48" applyNumberFormat="1" applyAlignment="1">
      <alignment vertical="top"/>
    </xf>
    <xf numFmtId="0" fontId="0" fillId="34" borderId="0" xfId="0" applyNumberFormat="1" applyAlignment="1">
      <alignment horizontal="left" indent="1"/>
    </xf>
    <xf numFmtId="0" fontId="0" fillId="34" borderId="0" xfId="0">
      <alignment vertical="top"/>
    </xf>
    <xf numFmtId="0" fontId="0" fillId="34" borderId="0" xfId="0" applyAlignment="1">
      <alignment horizontal="center" vertical="top"/>
    </xf>
    <xf numFmtId="0" fontId="72" fillId="34" borderId="0" xfId="102">
      <alignment vertical="top"/>
    </xf>
    <xf numFmtId="0" fontId="68" fillId="42" borderId="9" xfId="97">
      <alignment horizontal="center"/>
    </xf>
    <xf numFmtId="0" fontId="0" fillId="34" borderId="0" xfId="0" applyAlignment="1">
      <alignment vertical="top" wrapText="1"/>
    </xf>
    <xf numFmtId="0" fontId="67" fillId="34" borderId="0" xfId="15" applyNumberFormat="1"/>
    <xf numFmtId="0" fontId="0" fillId="34" borderId="0" xfId="0">
      <alignment vertical="top"/>
    </xf>
    <xf numFmtId="0" fontId="68" fillId="42" borderId="9" xfId="97">
      <alignment horizontal="center"/>
    </xf>
    <xf numFmtId="173" fontId="63" fillId="36" borderId="9" xfId="88" applyNumberFormat="1" applyAlignment="1">
      <alignment horizontal="center" vertical="top"/>
    </xf>
    <xf numFmtId="0" fontId="0" fillId="34" borderId="0" xfId="0" applyAlignment="1">
      <alignment horizontal="left" indent="4"/>
    </xf>
    <xf numFmtId="0" fontId="90" fillId="34" borderId="0" xfId="0" applyFont="1">
      <alignment vertical="top"/>
    </xf>
    <xf numFmtId="0" fontId="0" fillId="34" borderId="0" xfId="0" applyBorder="1" applyAlignment="1">
      <alignment horizontal="right" vertical="top"/>
    </xf>
    <xf numFmtId="0" fontId="0" fillId="34" borderId="0" xfId="0" applyNumberFormat="1" applyAlignment="1" applyProtection="1">
      <alignment horizontal="left"/>
    </xf>
    <xf numFmtId="0" fontId="66" fillId="41" borderId="10" xfId="11" applyNumberFormat="1" applyBorder="1" applyAlignment="1">
      <alignment horizontal="center"/>
    </xf>
    <xf numFmtId="0" fontId="66" fillId="41" borderId="17" xfId="11" applyNumberFormat="1" applyBorder="1" applyAlignment="1">
      <alignment horizontal="center"/>
    </xf>
    <xf numFmtId="0" fontId="68" fillId="42" borderId="18" xfId="97" applyBorder="1" applyAlignment="1">
      <alignment horizontal="center"/>
    </xf>
    <xf numFmtId="172" fontId="64" fillId="34" borderId="0" xfId="48" applyNumberFormat="1" applyAlignment="1">
      <alignment horizontal="center" vertical="top"/>
    </xf>
    <xf numFmtId="0" fontId="0" fillId="34" borderId="0" xfId="0" applyAlignment="1" applyProtection="1">
      <alignment horizontal="center" vertical="top"/>
    </xf>
    <xf numFmtId="0" fontId="64" fillId="34" borderId="0" xfId="48" quotePrefix="1" applyNumberFormat="1">
      <alignment vertical="top"/>
    </xf>
    <xf numFmtId="0" fontId="0" fillId="34" borderId="0" xfId="0" applyAlignment="1">
      <alignment vertical="top" wrapText="1"/>
    </xf>
    <xf numFmtId="0" fontId="68" fillId="42" borderId="9" xfId="97">
      <alignment horizontal="center"/>
    </xf>
    <xf numFmtId="0" fontId="0" fillId="34" borderId="0" xfId="0" applyAlignment="1">
      <alignment vertical="top" wrapText="1"/>
    </xf>
    <xf numFmtId="0" fontId="0" fillId="34" borderId="0" xfId="0" applyAlignment="1">
      <alignment horizontal="left" vertical="top" wrapText="1"/>
    </xf>
    <xf numFmtId="0" fontId="0" fillId="34" borderId="0" xfId="0">
      <alignment vertical="top"/>
    </xf>
    <xf numFmtId="0" fontId="71" fillId="34" borderId="0" xfId="101" applyAlignment="1">
      <alignment vertical="top" wrapText="1"/>
    </xf>
    <xf numFmtId="0" fontId="0" fillId="34" borderId="0" xfId="0">
      <alignment vertical="top"/>
    </xf>
    <xf numFmtId="0" fontId="0" fillId="34" borderId="0" xfId="0" applyAlignment="1">
      <alignment horizontal="center" vertical="top"/>
    </xf>
    <xf numFmtId="169" fontId="64" fillId="34" borderId="35" xfId="48" applyNumberFormat="1" applyBorder="1" applyAlignment="1">
      <alignment horizontal="center"/>
    </xf>
    <xf numFmtId="169" fontId="64" fillId="34" borderId="36" xfId="48" applyNumberFormat="1" applyBorder="1" applyAlignment="1">
      <alignment horizontal="center"/>
    </xf>
    <xf numFmtId="169" fontId="64" fillId="34" borderId="37" xfId="48" applyNumberFormat="1" applyBorder="1" applyAlignment="1">
      <alignment horizontal="center" vertical="center"/>
    </xf>
    <xf numFmtId="2" fontId="92" fillId="34" borderId="0" xfId="0" applyNumberFormat="1" applyFont="1" applyAlignment="1">
      <alignment horizontal="center"/>
    </xf>
    <xf numFmtId="2" fontId="92" fillId="34" borderId="1" xfId="0" applyNumberFormat="1" applyFont="1" applyBorder="1" applyAlignment="1">
      <alignment horizontal="center"/>
    </xf>
    <xf numFmtId="169" fontId="64" fillId="34" borderId="1" xfId="48" applyNumberFormat="1" applyBorder="1" applyAlignment="1">
      <alignment horizontal="center"/>
    </xf>
    <xf numFmtId="169" fontId="64" fillId="34" borderId="37" xfId="48" applyNumberFormat="1" applyBorder="1" applyAlignment="1">
      <alignment horizontal="center"/>
    </xf>
    <xf numFmtId="0" fontId="0" fillId="34" borderId="0" xfId="0">
      <alignment vertical="top"/>
    </xf>
    <xf numFmtId="3" fontId="64" fillId="34" borderId="0" xfId="48" applyNumberFormat="1" applyBorder="1" applyAlignment="1">
      <alignment horizontal="center"/>
    </xf>
    <xf numFmtId="3" fontId="64" fillId="34" borderId="36" xfId="48" applyNumberFormat="1" applyBorder="1" applyAlignment="1">
      <alignment horizontal="center"/>
    </xf>
    <xf numFmtId="166" fontId="63" fillId="36" borderId="9" xfId="88" applyNumberFormat="1" applyAlignment="1">
      <alignment horizontal="center" vertical="top"/>
    </xf>
    <xf numFmtId="173" fontId="63" fillId="36" borderId="9" xfId="88" applyNumberFormat="1" applyFill="1" applyAlignment="1">
      <alignment horizontal="center" vertical="top"/>
    </xf>
    <xf numFmtId="173" fontId="64" fillId="36" borderId="0" xfId="48" applyNumberFormat="1" applyFill="1" applyAlignment="1">
      <alignment horizontal="center" vertical="top"/>
    </xf>
    <xf numFmtId="169" fontId="0" fillId="34" borderId="0" xfId="0" applyNumberFormat="1" applyFont="1">
      <alignment vertical="top"/>
    </xf>
    <xf numFmtId="0" fontId="0" fillId="34" borderId="0" xfId="0" applyAlignment="1">
      <alignment vertical="top" wrapText="1"/>
    </xf>
    <xf numFmtId="0" fontId="93" fillId="34" borderId="0" xfId="0" applyFont="1">
      <alignment vertical="top"/>
    </xf>
    <xf numFmtId="0" fontId="92" fillId="34" borderId="0" xfId="0" applyFont="1">
      <alignment vertical="top"/>
    </xf>
    <xf numFmtId="169" fontId="92" fillId="34" borderId="0" xfId="0" applyNumberFormat="1" applyFont="1" applyFill="1" applyAlignment="1">
      <alignment vertical="top"/>
    </xf>
    <xf numFmtId="0" fontId="92" fillId="34" borderId="0" xfId="48" applyNumberFormat="1" applyFont="1">
      <alignment vertical="top"/>
    </xf>
    <xf numFmtId="0" fontId="92" fillId="34" borderId="0" xfId="0" applyFont="1" applyFill="1" applyAlignment="1">
      <alignment vertical="top"/>
    </xf>
    <xf numFmtId="166" fontId="92" fillId="34" borderId="0" xfId="0" applyNumberFormat="1" applyFont="1">
      <alignment vertical="top"/>
    </xf>
    <xf numFmtId="2" fontId="64" fillId="0" borderId="0" xfId="91" applyNumberFormat="1" applyFill="1" applyBorder="1">
      <alignment vertical="top"/>
    </xf>
    <xf numFmtId="2" fontId="94" fillId="0" borderId="0" xfId="91" applyNumberFormat="1" applyFont="1" applyFill="1" applyBorder="1">
      <alignment vertical="top"/>
    </xf>
    <xf numFmtId="0" fontId="93" fillId="34" borderId="0" xfId="0" applyFont="1" applyAlignment="1">
      <alignment horizontal="left"/>
    </xf>
    <xf numFmtId="0" fontId="95" fillId="34" borderId="0" xfId="0" applyFont="1" applyAlignment="1">
      <alignment horizontal="left"/>
    </xf>
    <xf numFmtId="0" fontId="91" fillId="34" borderId="0" xfId="0" applyFont="1" applyAlignment="1">
      <alignment horizontal="left"/>
    </xf>
    <xf numFmtId="167" fontId="64" fillId="34" borderId="38" xfId="48" applyNumberFormat="1" applyBorder="1" applyAlignment="1">
      <alignment horizontal="center" vertical="top"/>
    </xf>
    <xf numFmtId="167" fontId="64" fillId="34" borderId="29" xfId="48" applyNumberFormat="1" applyBorder="1" applyAlignment="1">
      <alignment horizontal="center" vertical="top"/>
    </xf>
    <xf numFmtId="167" fontId="64" fillId="34" borderId="39" xfId="48" applyNumberFormat="1" applyBorder="1" applyAlignment="1">
      <alignment horizontal="center" vertical="top"/>
    </xf>
    <xf numFmtId="167" fontId="64" fillId="34" borderId="40" xfId="48" applyNumberFormat="1" applyBorder="1" applyAlignment="1">
      <alignment horizontal="center" vertical="top"/>
    </xf>
    <xf numFmtId="167" fontId="64" fillId="34" borderId="0" xfId="48" applyNumberFormat="1" applyBorder="1" applyAlignment="1">
      <alignment horizontal="center" vertical="top"/>
    </xf>
    <xf numFmtId="167" fontId="64" fillId="34" borderId="41" xfId="48" applyNumberFormat="1" applyBorder="1" applyAlignment="1">
      <alignment horizontal="center" vertical="top"/>
    </xf>
    <xf numFmtId="0" fontId="64" fillId="34" borderId="42" xfId="48" applyNumberFormat="1" applyBorder="1" applyAlignment="1">
      <alignment horizontal="center" vertical="top"/>
    </xf>
    <xf numFmtId="0" fontId="64" fillId="34" borderId="1" xfId="48" applyNumberFormat="1" applyBorder="1" applyAlignment="1">
      <alignment horizontal="center" vertical="top"/>
    </xf>
    <xf numFmtId="0" fontId="64" fillId="34" borderId="43" xfId="48" applyNumberFormat="1" applyBorder="1" applyAlignment="1">
      <alignment horizontal="center" vertical="top"/>
    </xf>
    <xf numFmtId="0" fontId="0" fillId="34" borderId="0" xfId="0">
      <alignment vertical="top"/>
    </xf>
    <xf numFmtId="0" fontId="0" fillId="34" borderId="0" xfId="0">
      <alignment vertical="top"/>
    </xf>
    <xf numFmtId="0" fontId="0" fillId="34" borderId="0" xfId="0">
      <alignment vertical="top"/>
    </xf>
    <xf numFmtId="0" fontId="55" fillId="39" borderId="0" xfId="0" applyFont="1" applyFill="1" applyBorder="1">
      <alignment vertical="top"/>
    </xf>
    <xf numFmtId="0" fontId="60" fillId="39" borderId="0" xfId="0" applyFont="1" applyFill="1" applyBorder="1">
      <alignment vertical="top"/>
    </xf>
    <xf numFmtId="0" fontId="0" fillId="34" borderId="0" xfId="0">
      <alignment vertical="top"/>
    </xf>
    <xf numFmtId="10" fontId="0" fillId="34" borderId="0" xfId="0" applyNumberFormat="1">
      <alignment vertical="top"/>
    </xf>
    <xf numFmtId="0" fontId="68" fillId="42" borderId="12" xfId="97" applyBorder="1">
      <alignment horizontal="center"/>
    </xf>
    <xf numFmtId="10" fontId="63" fillId="36" borderId="9" xfId="88" applyNumberFormat="1" applyAlignment="1">
      <alignment horizontal="center" vertical="top"/>
    </xf>
    <xf numFmtId="0" fontId="91" fillId="34" borderId="0" xfId="0" applyFont="1">
      <alignment vertical="top"/>
    </xf>
    <xf numFmtId="0" fontId="91" fillId="39" borderId="0" xfId="0" applyFont="1" applyFill="1" applyBorder="1">
      <alignment vertical="top"/>
    </xf>
    <xf numFmtId="0" fontId="91" fillId="34" borderId="0" xfId="0" applyFont="1" applyBorder="1">
      <alignment vertical="top"/>
    </xf>
    <xf numFmtId="0" fontId="0" fillId="34" borderId="0" xfId="0" applyAlignment="1">
      <alignment horizontal="left" vertical="top" wrapText="1"/>
    </xf>
    <xf numFmtId="0" fontId="0" fillId="34" borderId="0" xfId="0" applyAlignment="1">
      <alignment vertical="top" wrapText="1"/>
    </xf>
    <xf numFmtId="0" fontId="0" fillId="34" borderId="0" xfId="0">
      <alignment vertical="top"/>
    </xf>
    <xf numFmtId="2" fontId="64" fillId="34" borderId="0" xfId="48">
      <alignment vertical="top"/>
    </xf>
    <xf numFmtId="2" fontId="92" fillId="34" borderId="0" xfId="48" applyFont="1">
      <alignment vertical="top"/>
    </xf>
    <xf numFmtId="0" fontId="96" fillId="34" borderId="0" xfId="0" applyFont="1" applyBorder="1">
      <alignment vertical="top"/>
    </xf>
    <xf numFmtId="0" fontId="96" fillId="34" borderId="0" xfId="0" applyFont="1" applyAlignment="1">
      <alignment horizontal="left" vertical="top"/>
    </xf>
    <xf numFmtId="0" fontId="96" fillId="34" borderId="0" xfId="0" applyFont="1">
      <alignment vertical="top"/>
    </xf>
    <xf numFmtId="0" fontId="0" fillId="34" borderId="0" xfId="0">
      <alignment vertical="top"/>
    </xf>
    <xf numFmtId="0" fontId="0" fillId="34" borderId="0" xfId="0" applyAlignment="1">
      <alignment horizontal="left" vertical="top" wrapText="1"/>
    </xf>
    <xf numFmtId="0" fontId="0" fillId="34" borderId="0" xfId="0" applyAlignment="1">
      <alignment vertical="top" wrapText="1"/>
    </xf>
    <xf numFmtId="0" fontId="0" fillId="34" borderId="0" xfId="0">
      <alignment vertical="top"/>
    </xf>
    <xf numFmtId="10" fontId="63" fillId="40" borderId="12" xfId="89" applyNumberFormat="1" applyBorder="1" applyAlignment="1">
      <alignment horizontal="center" vertical="top"/>
      <protection locked="0"/>
    </xf>
    <xf numFmtId="0" fontId="0" fillId="34" borderId="0" xfId="0">
      <alignment vertical="top"/>
    </xf>
    <xf numFmtId="0" fontId="97" fillId="34" borderId="0" xfId="0" applyFont="1">
      <alignment vertical="top"/>
    </xf>
    <xf numFmtId="0" fontId="98" fillId="34" borderId="0" xfId="0" applyFont="1">
      <alignment vertical="top"/>
    </xf>
    <xf numFmtId="0" fontId="72" fillId="34" borderId="0" xfId="102" applyAlignment="1">
      <alignment vertical="top"/>
    </xf>
    <xf numFmtId="184" fontId="99" fillId="34" borderId="0" xfId="0" applyNumberFormat="1" applyFont="1" applyAlignment="1">
      <alignment horizontal="left" vertical="top"/>
    </xf>
    <xf numFmtId="2" fontId="0" fillId="34" borderId="0" xfId="0" applyNumberFormat="1" applyAlignment="1">
      <alignment horizontal="left" vertical="top" wrapText="1" indent="2"/>
    </xf>
    <xf numFmtId="0" fontId="100" fillId="34" borderId="0" xfId="0" applyFont="1">
      <alignment vertical="top"/>
    </xf>
    <xf numFmtId="0" fontId="35" fillId="34" borderId="0" xfId="0" applyFont="1">
      <alignment vertical="top"/>
    </xf>
    <xf numFmtId="0" fontId="0" fillId="34" borderId="0" xfId="0">
      <alignment vertical="top"/>
    </xf>
    <xf numFmtId="166" fontId="64" fillId="34" borderId="0" xfId="48" applyNumberFormat="1" applyAlignment="1">
      <alignment horizontal="center" vertical="top"/>
    </xf>
    <xf numFmtId="2" fontId="64" fillId="34" borderId="0" xfId="48" applyAlignment="1">
      <alignment horizontal="center" vertical="top"/>
    </xf>
    <xf numFmtId="2" fontId="92" fillId="34" borderId="0" xfId="0" applyNumberFormat="1" applyFont="1">
      <alignment vertical="top"/>
    </xf>
    <xf numFmtId="169" fontId="63" fillId="43" borderId="0" xfId="51" applyNumberFormat="1" applyBorder="1">
      <alignment vertical="top"/>
    </xf>
    <xf numFmtId="0" fontId="0" fillId="34" borderId="0" xfId="0" applyAlignment="1">
      <alignment horizontal="left" vertical="top" wrapText="1"/>
    </xf>
    <xf numFmtId="0" fontId="0" fillId="34" borderId="0" xfId="0" applyAlignment="1">
      <alignment vertical="top" wrapText="1"/>
    </xf>
    <xf numFmtId="0" fontId="0" fillId="34" borderId="0" xfId="0">
      <alignment vertical="top"/>
    </xf>
    <xf numFmtId="0" fontId="68" fillId="42" borderId="9" xfId="97">
      <alignment horizontal="center"/>
    </xf>
    <xf numFmtId="3" fontId="63" fillId="43" borderId="0" xfId="51" applyNumberFormat="1" applyBorder="1">
      <alignment vertical="top"/>
    </xf>
    <xf numFmtId="0" fontId="0" fillId="34" borderId="0" xfId="0" applyAlignment="1">
      <alignment horizontal="left" vertical="top" indent="4"/>
    </xf>
    <xf numFmtId="2" fontId="73" fillId="34" borderId="0" xfId="0" applyNumberFormat="1" applyFont="1">
      <alignment vertical="top"/>
    </xf>
    <xf numFmtId="2" fontId="92" fillId="34" borderId="0" xfId="0" applyNumberFormat="1" applyFont="1" applyAlignment="1">
      <alignment horizontal="center" vertical="top"/>
    </xf>
    <xf numFmtId="2" fontId="92" fillId="34" borderId="1" xfId="0" applyNumberFormat="1" applyFont="1" applyBorder="1" applyAlignment="1">
      <alignment horizontal="center" vertical="top"/>
    </xf>
    <xf numFmtId="0" fontId="92" fillId="34" borderId="0" xfId="0" applyFont="1" applyAlignment="1">
      <alignment horizontal="center" vertical="top"/>
    </xf>
    <xf numFmtId="187" fontId="64" fillId="34" borderId="0" xfId="48" applyNumberFormat="1" applyAlignment="1">
      <alignment horizontal="center" vertical="top"/>
    </xf>
    <xf numFmtId="0" fontId="0" fillId="34" borderId="0" xfId="0">
      <alignment vertical="top"/>
    </xf>
    <xf numFmtId="0" fontId="0" fillId="34" borderId="0" xfId="0" applyAlignment="1">
      <alignment horizontal="left" vertical="center" wrapText="1" indent="2"/>
    </xf>
    <xf numFmtId="176" fontId="92" fillId="34" borderId="0" xfId="48" applyNumberFormat="1" applyFont="1" applyAlignment="1">
      <alignment horizontal="center" vertical="top"/>
    </xf>
    <xf numFmtId="169" fontId="92" fillId="34" borderId="0" xfId="0" applyNumberFormat="1" applyFont="1">
      <alignment vertical="top"/>
    </xf>
    <xf numFmtId="172" fontId="63" fillId="36" borderId="9" xfId="88" applyNumberFormat="1" applyAlignment="1">
      <alignment horizontal="center" vertical="top"/>
    </xf>
    <xf numFmtId="165" fontId="64" fillId="34" borderId="0" xfId="48" applyNumberFormat="1" applyAlignment="1">
      <alignment horizontal="center" vertical="top"/>
    </xf>
    <xf numFmtId="0" fontId="0" fillId="34" borderId="0" xfId="0" applyAlignment="1">
      <alignment vertical="top" wrapText="1"/>
    </xf>
    <xf numFmtId="0" fontId="0" fillId="34" borderId="0" xfId="0" applyAlignment="1">
      <alignment horizontal="left" vertical="top" wrapText="1"/>
    </xf>
    <xf numFmtId="0" fontId="0" fillId="34" borderId="0" xfId="0">
      <alignment vertical="top"/>
    </xf>
    <xf numFmtId="4" fontId="63" fillId="36" borderId="9" xfId="88" applyNumberFormat="1" applyAlignment="1">
      <alignment horizontal="center" vertical="top"/>
    </xf>
    <xf numFmtId="0" fontId="66" fillId="41" borderId="10" xfId="11" applyBorder="1" applyAlignment="1">
      <alignment horizontal="left"/>
    </xf>
    <xf numFmtId="0" fontId="68" fillId="42" borderId="9" xfId="97" applyAlignment="1">
      <alignment horizontal="left" vertical="top" indent="1"/>
    </xf>
    <xf numFmtId="0" fontId="66" fillId="41" borderId="10" xfId="11" applyBorder="1" applyAlignment="1"/>
    <xf numFmtId="0" fontId="0" fillId="34" borderId="0" xfId="0" applyAlignment="1">
      <alignment vertical="top" wrapText="1"/>
    </xf>
    <xf numFmtId="0" fontId="0" fillId="34" borderId="0" xfId="0" applyAlignment="1">
      <alignment horizontal="left" vertical="top" wrapText="1"/>
    </xf>
    <xf numFmtId="0" fontId="0" fillId="34" borderId="0" xfId="0">
      <alignment vertical="top"/>
    </xf>
    <xf numFmtId="0" fontId="0" fillId="34" borderId="0" xfId="0">
      <alignment vertical="top"/>
    </xf>
    <xf numFmtId="0" fontId="0" fillId="34" borderId="0" xfId="0" applyNumberFormat="1" applyFont="1" applyBorder="1" applyAlignment="1">
      <alignment vertical="top" wrapText="1"/>
    </xf>
    <xf numFmtId="174" fontId="63" fillId="36" borderId="9" xfId="88" applyNumberFormat="1" applyAlignment="1">
      <alignment horizontal="center" vertical="top"/>
    </xf>
    <xf numFmtId="0" fontId="0" fillId="34" borderId="0" xfId="0">
      <alignment vertical="top"/>
    </xf>
    <xf numFmtId="10" fontId="0" fillId="34" borderId="0" xfId="0" applyNumberFormat="1" applyFont="1">
      <alignment vertical="top"/>
    </xf>
    <xf numFmtId="0" fontId="0" fillId="34" borderId="0" xfId="0" applyAlignment="1">
      <alignment horizontal="left" vertical="top" wrapText="1"/>
    </xf>
    <xf numFmtId="0" fontId="0" fillId="34" borderId="0" xfId="0" applyAlignment="1">
      <alignment vertical="top" wrapText="1"/>
    </xf>
    <xf numFmtId="0" fontId="0" fillId="34" borderId="0" xfId="0">
      <alignment vertical="top"/>
    </xf>
    <xf numFmtId="167" fontId="63" fillId="36" borderId="9" xfId="88" applyNumberFormat="1" applyAlignment="1">
      <alignment horizontal="left" indent="1"/>
    </xf>
    <xf numFmtId="0" fontId="73" fillId="34" borderId="0" xfId="0" applyNumberFormat="1" applyFont="1">
      <alignment vertical="top"/>
    </xf>
    <xf numFmtId="0" fontId="73" fillId="34" borderId="0" xfId="0" applyFont="1">
      <alignment vertical="top"/>
    </xf>
    <xf numFmtId="0" fontId="0" fillId="34" borderId="24" xfId="0" applyFont="1" applyBorder="1" applyAlignment="1">
      <alignment vertical="top" wrapText="1"/>
    </xf>
    <xf numFmtId="0" fontId="0" fillId="34" borderId="24" xfId="0" applyBorder="1" applyAlignment="1">
      <alignment vertical="top" wrapText="1"/>
    </xf>
    <xf numFmtId="0" fontId="0" fillId="34" borderId="10" xfId="0" applyFont="1" applyBorder="1" applyAlignment="1">
      <alignment vertical="top" wrapText="1"/>
    </xf>
    <xf numFmtId="0" fontId="0" fillId="34" borderId="10" xfId="0" applyBorder="1" applyAlignment="1">
      <alignment vertical="top"/>
    </xf>
    <xf numFmtId="0" fontId="0" fillId="34" borderId="0" xfId="0" applyAlignment="1">
      <alignment horizontal="left" vertical="top" wrapText="1" indent="2"/>
    </xf>
    <xf numFmtId="0" fontId="0" fillId="34" borderId="0" xfId="0" applyAlignment="1">
      <alignment vertical="top" wrapText="1"/>
    </xf>
    <xf numFmtId="0" fontId="67" fillId="34" borderId="0" xfId="15" applyNumberFormat="1"/>
    <xf numFmtId="0" fontId="0" fillId="34" borderId="0" xfId="0" applyAlignment="1">
      <alignment horizontal="left" vertical="top" wrapText="1"/>
    </xf>
    <xf numFmtId="0" fontId="66" fillId="41" borderId="9" xfId="11">
      <alignment horizontal="left"/>
    </xf>
    <xf numFmtId="0" fontId="0" fillId="34" borderId="0" xfId="0">
      <alignment vertical="top"/>
    </xf>
    <xf numFmtId="0" fontId="0" fillId="34" borderId="0" xfId="0" applyAlignment="1">
      <alignment wrapText="1"/>
    </xf>
    <xf numFmtId="0" fontId="0" fillId="34" borderId="0" xfId="0" applyFont="1" applyAlignment="1">
      <alignment horizontal="left" vertical="top" wrapText="1"/>
    </xf>
    <xf numFmtId="0" fontId="0" fillId="34" borderId="0" xfId="0" applyAlignment="1">
      <alignment horizontal="center" vertical="top"/>
    </xf>
    <xf numFmtId="0" fontId="72" fillId="34" borderId="0" xfId="102" applyAlignment="1"/>
    <xf numFmtId="0" fontId="68" fillId="42" borderId="9" xfId="97">
      <alignment horizontal="center"/>
    </xf>
    <xf numFmtId="0" fontId="36" fillId="39" borderId="0" xfId="0" applyFont="1" applyFill="1" applyBorder="1" applyAlignment="1">
      <alignment horizontal="left" vertical="top" wrapText="1"/>
    </xf>
    <xf numFmtId="0" fontId="72" fillId="34" borderId="0" xfId="102">
      <alignment vertical="top"/>
    </xf>
  </cellXfs>
  <cellStyles count="103">
    <cellStyle name="20% - Accent1" xfId="27" builtinId="30" hidden="1" customBuiltin="1"/>
    <cellStyle name="20% - Accent1" xfId="52" builtinId="30" hidden="1" customBuiltin="1"/>
    <cellStyle name="20% - Accent2" xfId="31" builtinId="34" hidden="1" customBuiltin="1"/>
    <cellStyle name="20% - Accent2" xfId="53" builtinId="34" hidden="1" customBuiltin="1"/>
    <cellStyle name="20% - Accent3" xfId="1" builtinId="38" hidden="1"/>
    <cellStyle name="20% - Accent3" xfId="54" builtinId="38" hidden="1" customBuiltin="1"/>
    <cellStyle name="20% - Accent4" xfId="38" builtinId="42" hidden="1" customBuiltin="1"/>
    <cellStyle name="20% - Accent4" xfId="55" builtinId="42" hidden="1" customBuiltin="1"/>
    <cellStyle name="20% - Accent5" xfId="2" builtinId="46" hidden="1"/>
    <cellStyle name="20% - Accent5" xfId="56" builtinId="46" hidden="1" customBuiltin="1"/>
    <cellStyle name="20% - Accent6" xfId="3" builtinId="50" hidden="1"/>
    <cellStyle name="20% - Accent6" xfId="57" builtinId="50" hidden="1" customBuiltin="1"/>
    <cellStyle name="40% - Accent1" xfId="28" builtinId="31" hidden="1" customBuiltin="1"/>
    <cellStyle name="40% - Accent1" xfId="58" builtinId="31" hidden="1" customBuiltin="1"/>
    <cellStyle name="40% - Accent2" xfId="32" builtinId="35" hidden="1" customBuiltin="1"/>
    <cellStyle name="40% - Accent2" xfId="59" builtinId="35" hidden="1" customBuiltin="1"/>
    <cellStyle name="40% - Accent3" xfId="35" builtinId="39" hidden="1" customBuiltin="1"/>
    <cellStyle name="40% - Accent3" xfId="60" builtinId="39" hidden="1" customBuiltin="1"/>
    <cellStyle name="40% - Accent4" xfId="39" builtinId="43" hidden="1" customBuiltin="1"/>
    <cellStyle name="40% - Accent4" xfId="61" builtinId="43" hidden="1" customBuiltin="1"/>
    <cellStyle name="40% - Accent5" xfId="4" builtinId="47" hidden="1"/>
    <cellStyle name="40% - Accent5" xfId="62" builtinId="47" hidden="1" customBuiltin="1"/>
    <cellStyle name="40% - Accent6" xfId="42" builtinId="51" hidden="1" customBuiltin="1"/>
    <cellStyle name="40% - Accent6" xfId="63" builtinId="51" hidden="1" customBuiltin="1"/>
    <cellStyle name="60% - Accent1" xfId="29" builtinId="32" hidden="1" customBuiltin="1"/>
    <cellStyle name="60% - Accent1" xfId="64" builtinId="32" hidden="1" customBuiltin="1"/>
    <cellStyle name="60% - Accent2" xfId="33" builtinId="36" hidden="1" customBuiltin="1"/>
    <cellStyle name="60% - Accent2" xfId="65" builtinId="36" hidden="1" customBuiltin="1"/>
    <cellStyle name="60% - Accent3" xfId="36" builtinId="40" hidden="1" customBuiltin="1"/>
    <cellStyle name="60% - Accent3" xfId="66" builtinId="40" hidden="1" customBuiltin="1"/>
    <cellStyle name="60% - Accent4" xfId="40" builtinId="44" hidden="1" customBuiltin="1"/>
    <cellStyle name="60% - Accent4" xfId="67" builtinId="44" hidden="1" customBuiltin="1"/>
    <cellStyle name="60% - Accent5" xfId="41" builtinId="48" hidden="1" customBuiltin="1"/>
    <cellStyle name="60% - Accent5" xfId="68" builtinId="48" hidden="1" customBuiltin="1"/>
    <cellStyle name="60% - Accent6" xfId="43" builtinId="52" hidden="1" customBuiltin="1"/>
    <cellStyle name="60% - Accent6" xfId="69" builtinId="52" hidden="1" customBuiltin="1"/>
    <cellStyle name="Accent1" xfId="26" builtinId="29" hidden="1" customBuiltin="1"/>
    <cellStyle name="Accent1" xfId="70" builtinId="29" hidden="1" customBuiltin="1"/>
    <cellStyle name="Accent2" xfId="30" builtinId="33" hidden="1" customBuiltin="1"/>
    <cellStyle name="Accent2" xfId="71" builtinId="33" hidden="1" customBuiltin="1"/>
    <cellStyle name="Accent3" xfId="34" builtinId="37" hidden="1" customBuiltin="1"/>
    <cellStyle name="Accent3" xfId="72" builtinId="37" hidden="1" customBuiltin="1"/>
    <cellStyle name="Accent4" xfId="37" builtinId="41" hidden="1" customBuiltin="1"/>
    <cellStyle name="Accent4" xfId="73" builtinId="41" hidden="1" customBuiltin="1"/>
    <cellStyle name="Accent5" xfId="5" builtinId="45" hidden="1"/>
    <cellStyle name="Accent5" xfId="74" builtinId="45" hidden="1" customBuiltin="1"/>
    <cellStyle name="Accent6" xfId="6" builtinId="49" hidden="1"/>
    <cellStyle name="Accent6" xfId="75" builtinId="49" hidden="1" customBuiltin="1"/>
    <cellStyle name="assumption" xfId="89"/>
    <cellStyle name="Bad" xfId="7" builtinId="27" hidden="1"/>
    <cellStyle name="Bad" xfId="76" builtinId="27" hidden="1" customBuiltin="1"/>
    <cellStyle name="Calculation" xfId="20" builtinId="22" hidden="1" customBuiltin="1"/>
    <cellStyle name="Calculation" xfId="48" builtinId="22" customBuiltin="1"/>
    <cellStyle name="Check Cell" xfId="22" builtinId="23" hidden="1" customBuiltin="1"/>
    <cellStyle name="Check Cell" xfId="77" builtinId="23" hidden="1" customBuiltin="1"/>
    <cellStyle name="checksum" xfId="94"/>
    <cellStyle name="Comma" xfId="8" builtinId="3" hidden="1"/>
    <cellStyle name="Comma" xfId="98" builtinId="3" hidden="1"/>
    <cellStyle name="Comma [0]" xfId="44" builtinId="6" hidden="1"/>
    <cellStyle name="constant" xfId="88"/>
    <cellStyle name="Currency" xfId="9" builtinId="4" hidden="1"/>
    <cellStyle name="Currency [0]" xfId="45" builtinId="7" hidden="1"/>
    <cellStyle name="Explanatory Text" xfId="24" builtinId="53" hidden="1" customBuiltin="1"/>
    <cellStyle name="Explanatory Text" xfId="78" builtinId="53" hidden="1" customBuiltin="1"/>
    <cellStyle name="Followed Hyperlink" xfId="100" builtinId="9" customBuiltin="1"/>
    <cellStyle name="Good" xfId="10" builtinId="26" hidden="1"/>
    <cellStyle name="Good" xfId="79" builtinId="26" hidden="1" customBuiltin="1"/>
    <cellStyle name="Heading 1" xfId="11" builtinId="16" customBuiltin="1"/>
    <cellStyle name="Heading 2" xfId="15" builtinId="17" customBuiltin="1"/>
    <cellStyle name="Heading 3" xfId="16" builtinId="18" hidden="1" customBuiltin="1"/>
    <cellStyle name="Heading 3" xfId="80" builtinId="18" hidden="1" customBuiltin="1"/>
    <cellStyle name="Heading 4" xfId="17" builtinId="19" hidden="1" customBuiltin="1"/>
    <cellStyle name="Heading 4" xfId="81" builtinId="19" hidden="1" customBuiltin="1"/>
    <cellStyle name="Hyperlink" xfId="12" builtinId="8" hidden="1"/>
    <cellStyle name="Hyperlink" xfId="50" builtinId="8" hidden="1"/>
    <cellStyle name="Hyperlink" xfId="101" builtinId="8"/>
    <cellStyle name="Input" xfId="13" builtinId="20" hidden="1"/>
    <cellStyle name="Input" xfId="49" builtinId="20" hidden="1"/>
    <cellStyle name="label" xfId="97"/>
    <cellStyle name="Linked Cell" xfId="21" builtinId="24" hidden="1" customBuiltin="1"/>
    <cellStyle name="Linked Cell" xfId="82" builtinId="24" hidden="1" customBuiltin="1"/>
    <cellStyle name="mixed" xfId="90"/>
    <cellStyle name="Neutral" xfId="18" builtinId="28" hidden="1" customBuiltin="1"/>
    <cellStyle name="Neutral" xfId="83" builtinId="28" hidden="1" customBuiltin="1"/>
    <cellStyle name="Normal" xfId="0" builtinId="0" customBuiltin="1"/>
    <cellStyle name="Note" xfId="46" builtinId="10" hidden="1"/>
    <cellStyle name="Note" xfId="84" builtinId="10" hidden="1" customBuiltin="1"/>
    <cellStyle name="ns" xfId="51"/>
    <cellStyle name="Output" xfId="19" builtinId="21" hidden="1" customBuiltin="1"/>
    <cellStyle name="Output" xfId="85" builtinId="21" hidden="1" customBuiltin="1"/>
    <cellStyle name="Percent" xfId="14" builtinId="5" hidden="1"/>
    <cellStyle name="Percent" xfId="95" builtinId="5" hidden="1"/>
    <cellStyle name="result" xfId="96"/>
    <cellStyle name="source" xfId="99"/>
    <cellStyle name="Title" xfId="47" builtinId="15" hidden="1" customBuiltin="1"/>
    <cellStyle name="Title" xfId="102" builtinId="15" customBuiltin="1"/>
    <cellStyle name="Total" xfId="25" builtinId="25" hidden="1" customBuiltin="1"/>
    <cellStyle name="Total" xfId="86" builtinId="25" hidden="1" customBuiltin="1"/>
    <cellStyle name="undefined" xfId="93"/>
    <cellStyle name="units label" xfId="87"/>
    <cellStyle name="Warning Text" xfId="23" builtinId="11" hidden="1" customBuiltin="1"/>
    <cellStyle name="Warning Text" xfId="92" builtinId="11" customBuiltin="1"/>
    <cellStyle name="WIP" xfId="91"/>
  </cellStyles>
  <dxfs count="11">
    <dxf>
      <font>
        <b/>
        <i val="0"/>
        <color rgb="FF00441B"/>
      </font>
    </dxf>
    <dxf>
      <font>
        <b/>
        <i val="0"/>
        <color rgb="FF00441B"/>
      </font>
    </dxf>
    <dxf>
      <font>
        <b/>
        <i val="0"/>
        <color rgb="FF00441B"/>
      </font>
    </dxf>
    <dxf>
      <font>
        <b/>
        <i val="0"/>
        <color rgb="FF00441B"/>
      </font>
    </dxf>
    <dxf>
      <font>
        <b/>
        <i val="0"/>
        <color rgb="FF00441B"/>
      </font>
    </dxf>
    <dxf>
      <font>
        <b/>
        <i val="0"/>
        <color rgb="FF00441B"/>
      </font>
    </dxf>
    <dxf>
      <font>
        <b/>
        <i val="0"/>
        <color rgb="FF00441B"/>
      </font>
    </dxf>
    <dxf>
      <font>
        <b/>
        <i val="0"/>
        <color rgb="FF00441B"/>
      </font>
    </dxf>
    <dxf>
      <font>
        <b/>
        <i val="0"/>
        <color rgb="FF00441B"/>
      </font>
    </dxf>
    <dxf>
      <font>
        <b/>
        <i val="0"/>
        <color rgb="FF00441B"/>
      </font>
    </dxf>
    <dxf>
      <font>
        <b/>
        <i val="0"/>
        <color rgb="FF00441B"/>
      </font>
    </dxf>
  </dxfs>
  <tableStyles count="0" defaultTableStyle="TableStyleMedium9" defaultPivotStyle="PivotStyleLight16"/>
  <colors>
    <mruColors>
      <color rgb="FF08519C"/>
      <color rgb="FF08306B"/>
      <color rgb="FFD9D9D9"/>
      <color rgb="FFE5F5E0"/>
      <color rgb="FFDEEBF7"/>
      <color rgb="FF800026"/>
      <color rgb="FF6BAED6"/>
      <color rgb="FF00441B"/>
      <color rgb="FFFD8D3C"/>
      <color rgb="FFFFED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1"/>
    <c:plotArea>
      <c:layout>
        <c:manualLayout>
          <c:layoutTarget val="inner"/>
          <c:xMode val="edge"/>
          <c:yMode val="edge"/>
          <c:x val="0.10550781319505438"/>
          <c:y val="2.0146715241929951E-2"/>
          <c:w val="0.83607093904479834"/>
          <c:h val="0.91668586626241622"/>
        </c:manualLayout>
      </c:layout>
      <c:scatterChart>
        <c:scatterStyle val="lineMarker"/>
        <c:varyColors val="0"/>
        <c:ser>
          <c:idx val="2"/>
          <c:order val="0"/>
          <c:tx>
            <c:v>targets</c:v>
          </c:tx>
          <c:spPr>
            <a:ln>
              <a:solidFill>
                <a:srgbClr val="800026"/>
              </a:solidFill>
              <a:prstDash val="sysDot"/>
            </a:ln>
          </c:spPr>
          <c:marker>
            <c:symbol val="none"/>
          </c:marker>
          <c:dPt>
            <c:idx val="0"/>
            <c:marker>
              <c:symbol val="circle"/>
              <c:size val="14"/>
              <c:spPr>
                <a:solidFill>
                  <a:schemeClr val="bg1"/>
                </a:solidFill>
                <a:ln w="38100">
                  <a:solidFill>
                    <a:srgbClr val="800026"/>
                  </a:solidFill>
                </a:ln>
              </c:spPr>
            </c:marker>
            <c:bubble3D val="0"/>
            <c:extLst>
              <c:ext xmlns:c16="http://schemas.microsoft.com/office/drawing/2014/chart" uri="{C3380CC4-5D6E-409C-BE32-E72D297353CC}">
                <c16:uniqueId val="{00000000-A3AF-46D6-9655-B93A796995BE}"/>
              </c:ext>
            </c:extLst>
          </c:dPt>
          <c:dPt>
            <c:idx val="15"/>
            <c:marker>
              <c:symbol val="circle"/>
              <c:size val="14"/>
              <c:spPr>
                <a:solidFill>
                  <a:schemeClr val="bg1"/>
                </a:solidFill>
                <a:ln w="38100">
                  <a:solidFill>
                    <a:srgbClr val="800026"/>
                  </a:solidFill>
                </a:ln>
              </c:spPr>
            </c:marker>
            <c:bubble3D val="0"/>
            <c:extLst>
              <c:ext xmlns:c16="http://schemas.microsoft.com/office/drawing/2014/chart" uri="{C3380CC4-5D6E-409C-BE32-E72D297353CC}">
                <c16:uniqueId val="{00000001-A3AF-46D6-9655-B93A796995BE}"/>
              </c:ext>
            </c:extLst>
          </c:dPt>
          <c:dPt>
            <c:idx val="30"/>
            <c:marker>
              <c:symbol val="circle"/>
              <c:size val="14"/>
              <c:spPr>
                <a:solidFill>
                  <a:schemeClr val="bg1"/>
                </a:solidFill>
                <a:ln w="38100">
                  <a:solidFill>
                    <a:srgbClr val="800026"/>
                  </a:solidFill>
                </a:ln>
              </c:spPr>
            </c:marker>
            <c:bubble3D val="0"/>
            <c:extLst>
              <c:ext xmlns:c16="http://schemas.microsoft.com/office/drawing/2014/chart" uri="{C3380CC4-5D6E-409C-BE32-E72D297353CC}">
                <c16:uniqueId val="{00000002-A3AF-46D6-9655-B93A796995BE}"/>
              </c:ext>
            </c:extLst>
          </c:dPt>
          <c:dPt>
            <c:idx val="45"/>
            <c:marker>
              <c:symbol val="circle"/>
              <c:size val="14"/>
              <c:spPr>
                <a:solidFill>
                  <a:schemeClr val="bg1"/>
                </a:solidFill>
                <a:ln w="38100">
                  <a:solidFill>
                    <a:srgbClr val="800026"/>
                  </a:solidFill>
                </a:ln>
              </c:spPr>
            </c:marker>
            <c:bubble3D val="0"/>
            <c:extLst>
              <c:ext xmlns:c16="http://schemas.microsoft.com/office/drawing/2014/chart" uri="{C3380CC4-5D6E-409C-BE32-E72D297353CC}">
                <c16:uniqueId val="{00000003-0ED2-4E96-B342-3BB311F1A37B}"/>
              </c:ext>
            </c:extLst>
          </c:dPt>
          <c:dLbls>
            <c:dLbl>
              <c:idx val="0"/>
              <c:layout>
                <c:manualLayout>
                  <c:x val="-0.12787571111582363"/>
                  <c:y val="3.3849066661437131E-2"/>
                </c:manualLayout>
              </c:layout>
              <c:tx>
                <c:rich>
                  <a:bodyPr wrap="square" lIns="38100" tIns="19050" rIns="38100" bIns="19050" anchor="ctr">
                    <a:spAutoFit/>
                  </a:bodyPr>
                  <a:lstStyle/>
                  <a:p>
                    <a:pPr>
                      <a:defRPr sz="1100" b="1"/>
                    </a:pPr>
                    <a:r>
                      <a:rPr lang="en-US" sz="1100" b="1"/>
                      <a:t>2020 target</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3AF-46D6-9655-B93A796995BE}"/>
                </c:ext>
              </c:extLst>
            </c:dLbl>
            <c:dLbl>
              <c:idx val="15"/>
              <c:layout>
                <c:manualLayout>
                  <c:x val="-0.13018972714562782"/>
                  <c:y val="9.7406877850803111E-2"/>
                </c:manualLayout>
              </c:layout>
              <c:tx>
                <c:rich>
                  <a:bodyPr vertOverflow="clip" horzOverflow="clip" wrap="square" lIns="38100" tIns="19050" rIns="38100" bIns="19050" anchor="ctr">
                    <a:noAutofit/>
                  </a:bodyPr>
                  <a:lstStyle/>
                  <a:p>
                    <a:pPr>
                      <a:defRPr sz="1100" b="1" i="0" strike="noStrike">
                        <a:latin typeface="Calibri" panose="020F0502020204030204" pitchFamily="34" charset="0"/>
                      </a:defRPr>
                    </a:pPr>
                    <a:r>
                      <a:rPr lang="en-US"/>
                      <a:t>2035 target</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1805055015125841"/>
                      <c:h val="8.4414970855733434E-2"/>
                    </c:manualLayout>
                  </c15:layout>
                </c:ext>
                <c:ext xmlns:c16="http://schemas.microsoft.com/office/drawing/2014/chart" uri="{C3380CC4-5D6E-409C-BE32-E72D297353CC}">
                  <c16:uniqueId val="{00000001-A3AF-46D6-9655-B93A796995BE}"/>
                </c:ext>
              </c:extLst>
            </c:dLbl>
            <c:dLbl>
              <c:idx val="30"/>
              <c:layout>
                <c:manualLayout>
                  <c:x val="-0.14630689400593133"/>
                  <c:y val="-3.744741864430802E-2"/>
                </c:manualLayout>
              </c:layout>
              <c:tx>
                <c:rich>
                  <a:bodyPr vertOverflow="clip" horzOverflow="clip" wrap="square" lIns="38100" tIns="19050" rIns="38100" bIns="19050" anchor="ctr">
                    <a:noAutofit/>
                  </a:bodyPr>
                  <a:lstStyle/>
                  <a:p>
                    <a:pPr>
                      <a:defRPr sz="1100" b="1" i="0" strike="noStrike">
                        <a:latin typeface="Calibri" panose="020F0502020204030204" pitchFamily="34" charset="0"/>
                      </a:defRPr>
                    </a:pPr>
                    <a:r>
                      <a:rPr lang="en-US"/>
                      <a:t>2050 target</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1993577460614618"/>
                      <c:h val="8.4414970855733434E-2"/>
                    </c:manualLayout>
                  </c15:layout>
                </c:ext>
                <c:ext xmlns:c16="http://schemas.microsoft.com/office/drawing/2014/chart" uri="{C3380CC4-5D6E-409C-BE32-E72D297353CC}">
                  <c16:uniqueId val="{00000002-A3AF-46D6-9655-B93A796995BE}"/>
                </c:ext>
              </c:extLst>
            </c:dLbl>
            <c:spPr>
              <a:noFill/>
              <a:ln>
                <a:noFill/>
              </a:ln>
              <a:effectLst/>
            </c:spPr>
            <c:txPr>
              <a:bodyPr vertOverflow="clip" horzOverflow="clip" wrap="square" lIns="38100" tIns="19050" rIns="38100" bIns="19050" anchor="ctr">
                <a:noAutofit/>
              </a:bodyPr>
              <a:lstStyle/>
              <a:p>
                <a:pPr>
                  <a:defRPr sz="1100"/>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ext>
            </c:extLst>
          </c:dLbls>
          <c:xVal>
            <c:numRef>
              <c:f>'Baseline Emissions'!$Q$7:$AU$7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'Baseline Emissions'!$Q$93:$AU$93</c:f>
              <c:numCache>
                <c:formatCode>#,##0.00</c:formatCode>
                <c:ptCount val="31"/>
                <c:pt idx="0">
                  <c:v>73.400000000000006</c:v>
                </c:pt>
                <c:pt idx="1">
                  <c:v>72.176666666666677</c:v>
                </c:pt>
                <c:pt idx="2">
                  <c:v>70.953333333333333</c:v>
                </c:pt>
                <c:pt idx="3">
                  <c:v>69.73</c:v>
                </c:pt>
                <c:pt idx="4">
                  <c:v>68.506666666666675</c:v>
                </c:pt>
                <c:pt idx="5">
                  <c:v>67.283333333333346</c:v>
                </c:pt>
                <c:pt idx="6">
                  <c:v>66.06</c:v>
                </c:pt>
                <c:pt idx="7">
                  <c:v>64.836666666666673</c:v>
                </c:pt>
                <c:pt idx="8">
                  <c:v>63.613333333333337</c:v>
                </c:pt>
                <c:pt idx="9">
                  <c:v>62.390000000000008</c:v>
                </c:pt>
                <c:pt idx="10">
                  <c:v>61.166666666666671</c:v>
                </c:pt>
                <c:pt idx="11">
                  <c:v>59.943333333333335</c:v>
                </c:pt>
                <c:pt idx="12">
                  <c:v>58.720000000000006</c:v>
                </c:pt>
                <c:pt idx="13">
                  <c:v>57.49666666666667</c:v>
                </c:pt>
                <c:pt idx="14">
                  <c:v>56.273333333333341</c:v>
                </c:pt>
                <c:pt idx="15">
                  <c:v>55.050000000000004</c:v>
                </c:pt>
                <c:pt idx="16">
                  <c:v>53.826666666666668</c:v>
                </c:pt>
                <c:pt idx="17">
                  <c:v>52.603333333333339</c:v>
                </c:pt>
                <c:pt idx="18">
                  <c:v>51.38</c:v>
                </c:pt>
                <c:pt idx="19">
                  <c:v>50.156666666666673</c:v>
                </c:pt>
                <c:pt idx="20">
                  <c:v>48.933333333333337</c:v>
                </c:pt>
                <c:pt idx="21">
                  <c:v>47.71</c:v>
                </c:pt>
                <c:pt idx="22">
                  <c:v>46.486666666666672</c:v>
                </c:pt>
                <c:pt idx="23">
                  <c:v>45.263333333333335</c:v>
                </c:pt>
                <c:pt idx="24">
                  <c:v>44.040000000000006</c:v>
                </c:pt>
                <c:pt idx="25">
                  <c:v>42.81666666666667</c:v>
                </c:pt>
                <c:pt idx="26">
                  <c:v>41.593333333333334</c:v>
                </c:pt>
                <c:pt idx="27">
                  <c:v>40.370000000000005</c:v>
                </c:pt>
                <c:pt idx="28">
                  <c:v>39.146666666666668</c:v>
                </c:pt>
                <c:pt idx="29">
                  <c:v>37.923333333333332</c:v>
                </c:pt>
                <c:pt idx="30">
                  <c:v>36.700000000000003</c:v>
                </c:pt>
              </c:numCache>
            </c:numRef>
          </c:yVal>
          <c:smooth val="0"/>
          <c:extLst>
            <c:ext xmlns:c16="http://schemas.microsoft.com/office/drawing/2014/chart" uri="{C3380CC4-5D6E-409C-BE32-E72D297353CC}">
              <c16:uniqueId val="{00000003-A3AF-46D6-9655-B93A796995BE}"/>
            </c:ext>
          </c:extLst>
        </c:ser>
        <c:ser>
          <c:idx val="0"/>
          <c:order val="1"/>
          <c:tx>
            <c:strRef>
              <c:f>dashboard!$C$24</c:f>
              <c:strCache>
                <c:ptCount val="1"/>
                <c:pt idx="0">
                  <c:v>reference case: AEO 2019</c:v>
                </c:pt>
              </c:strCache>
            </c:strRef>
          </c:tx>
          <c:spPr>
            <a:ln>
              <a:solidFill>
                <a:srgbClr val="6BAED6"/>
              </a:solidFill>
            </a:ln>
          </c:spPr>
          <c:marker>
            <c:symbol val="none"/>
          </c:marker>
          <c:dLbls>
            <c:dLbl>
              <c:idx val="31"/>
              <c:layout>
                <c:manualLayout>
                  <c:x val="3.3847917254310314E-2"/>
                  <c:y val="-0.14168920418636285"/>
                </c:manualLayout>
              </c:layout>
              <c:spPr>
                <a:noFill/>
                <a:ln>
                  <a:noFill/>
                </a:ln>
                <a:effectLst/>
              </c:spPr>
              <c:txPr>
                <a:bodyPr wrap="square" lIns="38100" tIns="19050" rIns="38100" bIns="19050" anchor="ctr">
                  <a:noAutofit/>
                </a:bodyPr>
                <a:lstStyle/>
                <a:p>
                  <a:pPr>
                    <a:defRPr sz="1100" b="1"/>
                  </a:pPr>
                  <a:endParaRPr lang="en-US"/>
                </a:p>
              </c:txPr>
              <c:showLegendKey val="0"/>
              <c:showVal val="0"/>
              <c:showCatName val="0"/>
              <c:showSerName val="1"/>
              <c:showPercent val="0"/>
              <c:showBubbleSize val="0"/>
              <c:extLst>
                <c:ext xmlns:c15="http://schemas.microsoft.com/office/drawing/2012/chart" uri="{CE6537A1-D6FC-4f65-9D91-7224C49458BB}">
                  <c15:layout>
                    <c:manualLayout>
                      <c:w val="0.15489053220646939"/>
                      <c:h val="0.13938857478790401"/>
                    </c:manualLayout>
                  </c15:layout>
                </c:ext>
                <c:ext xmlns:c16="http://schemas.microsoft.com/office/drawing/2014/chart" uri="{C3380CC4-5D6E-409C-BE32-E72D297353CC}">
                  <c16:uniqueId val="{00000009-A3AF-46D6-9655-B93A796995BE}"/>
                </c:ext>
              </c:extLst>
            </c:dLbl>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xVal>
            <c:numRef>
              <c:f>'Baseline Emissions'!$B$7:$AU$7</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xVal>
          <c:yVal>
            <c:numRef>
              <c:f>'Baseline Emissions'!$B$88:$AU$88</c:f>
              <c:numCache>
                <c:formatCode>0.00</c:formatCode>
                <c:ptCount val="46"/>
                <c:pt idx="0">
                  <c:v>82.000462659342901</c:v>
                </c:pt>
                <c:pt idx="1">
                  <c:v>83.217524005918321</c:v>
                </c:pt>
                <c:pt idx="2">
                  <c:v>86.004802966843044</c:v>
                </c:pt>
                <c:pt idx="3">
                  <c:v>84.533515308722571</c:v>
                </c:pt>
                <c:pt idx="4">
                  <c:v>83.207671218404059</c:v>
                </c:pt>
                <c:pt idx="5">
                  <c:v>83.235984441898296</c:v>
                </c:pt>
                <c:pt idx="6">
                  <c:v>79.136465994307599</c:v>
                </c:pt>
                <c:pt idx="7">
                  <c:v>78.71599393126337</c:v>
                </c:pt>
                <c:pt idx="8">
                  <c:v>81.68106279417006</c:v>
                </c:pt>
                <c:pt idx="9">
                  <c:v>78.837312688567835</c:v>
                </c:pt>
                <c:pt idx="10">
                  <c:v>81.613465975445337</c:v>
                </c:pt>
                <c:pt idx="11">
                  <c:v>86.104582661238766</c:v>
                </c:pt>
                <c:pt idx="12">
                  <c:v>77.421320540613806</c:v>
                </c:pt>
                <c:pt idx="13">
                  <c:v>78.1881376308867</c:v>
                </c:pt>
                <c:pt idx="14">
                  <c:v>77.796792082331024</c:v>
                </c:pt>
                <c:pt idx="15">
                  <c:v>75.415074634553662</c:v>
                </c:pt>
                <c:pt idx="16">
                  <c:v>74.660037479065082</c:v>
                </c:pt>
                <c:pt idx="17">
                  <c:v>75.04672396526054</c:v>
                </c:pt>
                <c:pt idx="18">
                  <c:v>73.464473844658812</c:v>
                </c:pt>
                <c:pt idx="19">
                  <c:v>73.232962037596209</c:v>
                </c:pt>
                <c:pt idx="20">
                  <c:v>73.12436419611177</c:v>
                </c:pt>
                <c:pt idx="21">
                  <c:v>71.897196789337514</c:v>
                </c:pt>
                <c:pt idx="22">
                  <c:v>71.384666883156513</c:v>
                </c:pt>
                <c:pt idx="23">
                  <c:v>71.359851097396316</c:v>
                </c:pt>
                <c:pt idx="24">
                  <c:v>70.179169119043507</c:v>
                </c:pt>
                <c:pt idx="25">
                  <c:v>69.934719660947252</c:v>
                </c:pt>
                <c:pt idx="26">
                  <c:v>69.76510006482367</c:v>
                </c:pt>
                <c:pt idx="27">
                  <c:v>69.721858603579975</c:v>
                </c:pt>
                <c:pt idx="28">
                  <c:v>69.74945049677315</c:v>
                </c:pt>
                <c:pt idx="29">
                  <c:v>69.910635656163123</c:v>
                </c:pt>
                <c:pt idx="30">
                  <c:v>69.8148338404757</c:v>
                </c:pt>
                <c:pt idx="31">
                  <c:v>69.900301590926901</c:v>
                </c:pt>
                <c:pt idx="32">
                  <c:v>70.041136914144104</c:v>
                </c:pt>
                <c:pt idx="33">
                  <c:v>70.32654337742342</c:v>
                </c:pt>
                <c:pt idx="34">
                  <c:v>70.726049826593098</c:v>
                </c:pt>
                <c:pt idx="35">
                  <c:v>71.002715373127842</c:v>
                </c:pt>
                <c:pt idx="36">
                  <c:v>71.421023619835637</c:v>
                </c:pt>
                <c:pt idx="37">
                  <c:v>71.722317705379922</c:v>
                </c:pt>
                <c:pt idx="38">
                  <c:v>72.245623164549428</c:v>
                </c:pt>
                <c:pt idx="39">
                  <c:v>72.547524668634665</c:v>
                </c:pt>
                <c:pt idx="40">
                  <c:v>73.132819605606642</c:v>
                </c:pt>
                <c:pt idx="41">
                  <c:v>73.488415162152592</c:v>
                </c:pt>
                <c:pt idx="42">
                  <c:v>73.929583201462165</c:v>
                </c:pt>
                <c:pt idx="43">
                  <c:v>74.368631693845401</c:v>
                </c:pt>
                <c:pt idx="44">
                  <c:v>74.755302808413376</c:v>
                </c:pt>
                <c:pt idx="45">
                  <c:v>75.185065749681058</c:v>
                </c:pt>
              </c:numCache>
            </c:numRef>
          </c:yVal>
          <c:smooth val="0"/>
          <c:extLst>
            <c:ext xmlns:c16="http://schemas.microsoft.com/office/drawing/2014/chart" uri="{C3380CC4-5D6E-409C-BE32-E72D297353CC}">
              <c16:uniqueId val="{00000005-A3AF-46D6-9655-B93A796995BE}"/>
            </c:ext>
          </c:extLst>
        </c:ser>
        <c:ser>
          <c:idx val="1"/>
          <c:order val="2"/>
          <c:tx>
            <c:v>adjusted emissions</c:v>
          </c:tx>
          <c:spPr>
            <a:ln>
              <a:solidFill>
                <a:srgbClr val="00441B"/>
              </a:solidFill>
            </a:ln>
          </c:spPr>
          <c:marker>
            <c:symbol val="none"/>
          </c:marker>
          <c:dLbls>
            <c:dLbl>
              <c:idx val="11"/>
              <c:layout>
                <c:manualLayout>
                  <c:x val="-0.2989071794586084"/>
                  <c:y val="6.6937547745519951E-2"/>
                </c:manualLayout>
              </c:layout>
              <c:tx>
                <c:rich>
                  <a:bodyPr wrap="square" lIns="38100" tIns="19050" rIns="38100" bIns="19050" anchor="ctr" anchorCtr="0">
                    <a:noAutofit/>
                  </a:bodyPr>
                  <a:lstStyle/>
                  <a:p>
                    <a:pPr algn="l">
                      <a:defRPr sz="1100" b="1"/>
                    </a:pPr>
                    <a:fld id="{0E0B3E37-2C61-4646-A79F-F8BEDB1E612A}" type="SERIESNAME">
                      <a:rPr lang="en-US"/>
                      <a:pPr algn="l">
                        <a:defRPr sz="1100" b="1"/>
                      </a:pPr>
                      <a:t>[SERIES NAME]</a:t>
                    </a:fld>
                    <a:r>
                      <a:rPr lang="en-US"/>
                      <a:t>, non-tax and tax policies</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23906224157650616"/>
                      <c:h val="9.7443425180040164E-2"/>
                    </c:manualLayout>
                  </c15:layout>
                  <c15:dlblFieldTable/>
                  <c15:showDataLabelsRange val="0"/>
                </c:ext>
                <c:ext xmlns:c16="http://schemas.microsoft.com/office/drawing/2014/chart" uri="{C3380CC4-5D6E-409C-BE32-E72D297353CC}">
                  <c16:uniqueId val="{00000004-BD78-4800-BEE0-A7235E149D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1"/>
                      </a:solidFill>
                    </a:ln>
                  </c:spPr>
                </c15:leaderLines>
              </c:ext>
            </c:extLst>
          </c:dLbls>
          <c:xVal>
            <c:numRef>
              <c:f>'Baseline Emissions'!$Q$7:$AU$7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'Adjusted Emissions'!$B$88:$AF$88</c:f>
              <c:numCache>
                <c:formatCode>0.00</c:formatCode>
                <c:ptCount val="31"/>
                <c:pt idx="0">
                  <c:v>74.939316672768911</c:v>
                </c:pt>
                <c:pt idx="1">
                  <c:v>73.398551118775387</c:v>
                </c:pt>
                <c:pt idx="2">
                  <c:v>72.041854552602032</c:v>
                </c:pt>
                <c:pt idx="3">
                  <c:v>70.140718846284557</c:v>
                </c:pt>
                <c:pt idx="4">
                  <c:v>68.54829201823992</c:v>
                </c:pt>
                <c:pt idx="5">
                  <c:v>66.335969949933357</c:v>
                </c:pt>
                <c:pt idx="6">
                  <c:v>64.249958035804681</c:v>
                </c:pt>
                <c:pt idx="7">
                  <c:v>63.073952131289339</c:v>
                </c:pt>
                <c:pt idx="8">
                  <c:v>62.30267292000245</c:v>
                </c:pt>
                <c:pt idx="9">
                  <c:v>61.2422641175339</c:v>
                </c:pt>
                <c:pt idx="10">
                  <c:v>60.505823025423041</c:v>
                </c:pt>
                <c:pt idx="11">
                  <c:v>59.873790080030339</c:v>
                </c:pt>
                <c:pt idx="12">
                  <c:v>59.29879086258056</c:v>
                </c:pt>
                <c:pt idx="13">
                  <c:v>58.614150265730252</c:v>
                </c:pt>
                <c:pt idx="14">
                  <c:v>58.246762385224052</c:v>
                </c:pt>
                <c:pt idx="15">
                  <c:v>57.761816583493655</c:v>
                </c:pt>
                <c:pt idx="16">
                  <c:v>57.474012568125559</c:v>
                </c:pt>
                <c:pt idx="17">
                  <c:v>57.22013029662557</c:v>
                </c:pt>
                <c:pt idx="18">
                  <c:v>57.059224820433357</c:v>
                </c:pt>
                <c:pt idx="19">
                  <c:v>56.981833532751331</c:v>
                </c:pt>
                <c:pt idx="20">
                  <c:v>56.888274531850833</c:v>
                </c:pt>
                <c:pt idx="21">
                  <c:v>56.856375062552786</c:v>
                </c:pt>
                <c:pt idx="22">
                  <c:v>56.741499778220195</c:v>
                </c:pt>
                <c:pt idx="23">
                  <c:v>56.836738437864753</c:v>
                </c:pt>
                <c:pt idx="24">
                  <c:v>56.7281894554053</c:v>
                </c:pt>
                <c:pt idx="25">
                  <c:v>56.847216509635579</c:v>
                </c:pt>
                <c:pt idx="26">
                  <c:v>57.06236406718422</c:v>
                </c:pt>
                <c:pt idx="27">
                  <c:v>57.376731495991649</c:v>
                </c:pt>
                <c:pt idx="28">
                  <c:v>57.708140733302287</c:v>
                </c:pt>
                <c:pt idx="29">
                  <c:v>57.970684369444399</c:v>
                </c:pt>
                <c:pt idx="30">
                  <c:v>58.254143064829421</c:v>
                </c:pt>
              </c:numCache>
            </c:numRef>
          </c:yVal>
          <c:smooth val="0"/>
          <c:extLst>
            <c:ext xmlns:c16="http://schemas.microsoft.com/office/drawing/2014/chart" uri="{C3380CC4-5D6E-409C-BE32-E72D297353CC}">
              <c16:uniqueId val="{00000008-A3AF-46D6-9655-B93A796995BE}"/>
            </c:ext>
          </c:extLst>
        </c:ser>
        <c:ser>
          <c:idx val="3"/>
          <c:order val="3"/>
          <c:tx>
            <c:strRef>
              <c:f>'Adjusted Emissions'!$A$90</c:f>
              <c:strCache>
                <c:ptCount val="1"/>
                <c:pt idx="0">
                  <c:v>Emissions trend solely with complementary policies (no carbon tax): must be hardcoded for every change to policy - sorry</c:v>
                </c:pt>
              </c:strCache>
            </c:strRef>
          </c:tx>
          <c:spPr>
            <a:ln w="31750">
              <a:solidFill>
                <a:schemeClr val="tx1">
                  <a:lumMod val="50000"/>
                  <a:lumOff val="50000"/>
                </a:schemeClr>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0-31C8-4BB4-AF2E-D8C3CA960762}"/>
                </c:ext>
              </c:extLst>
            </c:dLbl>
            <c:dLbl>
              <c:idx val="1"/>
              <c:delete val="1"/>
              <c:extLst>
                <c:ext xmlns:c15="http://schemas.microsoft.com/office/drawing/2012/chart" uri="{CE6537A1-D6FC-4f65-9D91-7224C49458BB}"/>
                <c:ext xmlns:c16="http://schemas.microsoft.com/office/drawing/2014/chart" uri="{C3380CC4-5D6E-409C-BE32-E72D297353CC}">
                  <c16:uniqueId val="{0000000F-31C8-4BB4-AF2E-D8C3CA960762}"/>
                </c:ext>
              </c:extLst>
            </c:dLbl>
            <c:dLbl>
              <c:idx val="2"/>
              <c:delete val="1"/>
              <c:extLst>
                <c:ext xmlns:c15="http://schemas.microsoft.com/office/drawing/2012/chart" uri="{CE6537A1-D6FC-4f65-9D91-7224C49458BB}"/>
                <c:ext xmlns:c16="http://schemas.microsoft.com/office/drawing/2014/chart" uri="{C3380CC4-5D6E-409C-BE32-E72D297353CC}">
                  <c16:uniqueId val="{0000000E-31C8-4BB4-AF2E-D8C3CA960762}"/>
                </c:ext>
              </c:extLst>
            </c:dLbl>
            <c:dLbl>
              <c:idx val="3"/>
              <c:delete val="1"/>
              <c:extLst>
                <c:ext xmlns:c15="http://schemas.microsoft.com/office/drawing/2012/chart" uri="{CE6537A1-D6FC-4f65-9D91-7224C49458BB}"/>
                <c:ext xmlns:c16="http://schemas.microsoft.com/office/drawing/2014/chart" uri="{C3380CC4-5D6E-409C-BE32-E72D297353CC}">
                  <c16:uniqueId val="{0000000D-31C8-4BB4-AF2E-D8C3CA960762}"/>
                </c:ext>
              </c:extLst>
            </c:dLbl>
            <c:dLbl>
              <c:idx val="4"/>
              <c:delete val="1"/>
              <c:extLst>
                <c:ext xmlns:c15="http://schemas.microsoft.com/office/drawing/2012/chart" uri="{CE6537A1-D6FC-4f65-9D91-7224C49458BB}"/>
                <c:ext xmlns:c16="http://schemas.microsoft.com/office/drawing/2014/chart" uri="{C3380CC4-5D6E-409C-BE32-E72D297353CC}">
                  <c16:uniqueId val="{0000000C-31C8-4BB4-AF2E-D8C3CA960762}"/>
                </c:ext>
              </c:extLst>
            </c:dLbl>
            <c:dLbl>
              <c:idx val="5"/>
              <c:delete val="1"/>
              <c:extLst>
                <c:ext xmlns:c15="http://schemas.microsoft.com/office/drawing/2012/chart" uri="{CE6537A1-D6FC-4f65-9D91-7224C49458BB}"/>
                <c:ext xmlns:c16="http://schemas.microsoft.com/office/drawing/2014/chart" uri="{C3380CC4-5D6E-409C-BE32-E72D297353CC}">
                  <c16:uniqueId val="{0000000B-31C8-4BB4-AF2E-D8C3CA960762}"/>
                </c:ext>
              </c:extLst>
            </c:dLbl>
            <c:dLbl>
              <c:idx val="6"/>
              <c:delete val="1"/>
              <c:extLst>
                <c:ext xmlns:c15="http://schemas.microsoft.com/office/drawing/2012/chart" uri="{CE6537A1-D6FC-4f65-9D91-7224C49458BB}"/>
                <c:ext xmlns:c16="http://schemas.microsoft.com/office/drawing/2014/chart" uri="{C3380CC4-5D6E-409C-BE32-E72D297353CC}">
                  <c16:uniqueId val="{00000011-31C8-4BB4-AF2E-D8C3CA960762}"/>
                </c:ext>
              </c:extLst>
            </c:dLbl>
            <c:dLbl>
              <c:idx val="7"/>
              <c:delete val="1"/>
              <c:extLst>
                <c:ext xmlns:c15="http://schemas.microsoft.com/office/drawing/2012/chart" uri="{CE6537A1-D6FC-4f65-9D91-7224C49458BB}"/>
                <c:ext xmlns:c16="http://schemas.microsoft.com/office/drawing/2014/chart" uri="{C3380CC4-5D6E-409C-BE32-E72D297353CC}">
                  <c16:uniqueId val="{00000013-31C8-4BB4-AF2E-D8C3CA960762}"/>
                </c:ext>
              </c:extLst>
            </c:dLbl>
            <c:dLbl>
              <c:idx val="8"/>
              <c:delete val="1"/>
              <c:extLst>
                <c:ext xmlns:c15="http://schemas.microsoft.com/office/drawing/2012/chart" uri="{CE6537A1-D6FC-4f65-9D91-7224C49458BB}"/>
                <c:ext xmlns:c16="http://schemas.microsoft.com/office/drawing/2014/chart" uri="{C3380CC4-5D6E-409C-BE32-E72D297353CC}">
                  <c16:uniqueId val="{00000012-31C8-4BB4-AF2E-D8C3CA960762}"/>
                </c:ext>
              </c:extLst>
            </c:dLbl>
            <c:dLbl>
              <c:idx val="9"/>
              <c:delete val="1"/>
              <c:extLst>
                <c:ext xmlns:c15="http://schemas.microsoft.com/office/drawing/2012/chart" uri="{CE6537A1-D6FC-4f65-9D91-7224C49458BB}"/>
                <c:ext xmlns:c16="http://schemas.microsoft.com/office/drawing/2014/chart" uri="{C3380CC4-5D6E-409C-BE32-E72D297353CC}">
                  <c16:uniqueId val="{00000015-31C8-4BB4-AF2E-D8C3CA960762}"/>
                </c:ext>
              </c:extLst>
            </c:dLbl>
            <c:dLbl>
              <c:idx val="10"/>
              <c:delete val="1"/>
              <c:extLst>
                <c:ext xmlns:c15="http://schemas.microsoft.com/office/drawing/2012/chart" uri="{CE6537A1-D6FC-4f65-9D91-7224C49458BB}"/>
                <c:ext xmlns:c16="http://schemas.microsoft.com/office/drawing/2014/chart" uri="{C3380CC4-5D6E-409C-BE32-E72D297353CC}">
                  <c16:uniqueId val="{00000014-31C8-4BB4-AF2E-D8C3CA960762}"/>
                </c:ext>
              </c:extLst>
            </c:dLbl>
            <c:dLbl>
              <c:idx val="11"/>
              <c:delete val="1"/>
              <c:extLst>
                <c:ext xmlns:c15="http://schemas.microsoft.com/office/drawing/2012/chart" uri="{CE6537A1-D6FC-4f65-9D91-7224C49458BB}"/>
                <c:ext xmlns:c16="http://schemas.microsoft.com/office/drawing/2014/chart" uri="{C3380CC4-5D6E-409C-BE32-E72D297353CC}">
                  <c16:uniqueId val="{00000016-31C8-4BB4-AF2E-D8C3CA960762}"/>
                </c:ext>
              </c:extLst>
            </c:dLbl>
            <c:dLbl>
              <c:idx val="12"/>
              <c:delete val="1"/>
              <c:extLst>
                <c:ext xmlns:c15="http://schemas.microsoft.com/office/drawing/2012/chart" uri="{CE6537A1-D6FC-4f65-9D91-7224C49458BB}"/>
                <c:ext xmlns:c16="http://schemas.microsoft.com/office/drawing/2014/chart" uri="{C3380CC4-5D6E-409C-BE32-E72D297353CC}">
                  <c16:uniqueId val="{00000022-31C8-4BB4-AF2E-D8C3CA960762}"/>
                </c:ext>
              </c:extLst>
            </c:dLbl>
            <c:dLbl>
              <c:idx val="13"/>
              <c:delete val="1"/>
              <c:extLst>
                <c:ext xmlns:c15="http://schemas.microsoft.com/office/drawing/2012/chart" uri="{CE6537A1-D6FC-4f65-9D91-7224C49458BB}"/>
                <c:ext xmlns:c16="http://schemas.microsoft.com/office/drawing/2014/chart" uri="{C3380CC4-5D6E-409C-BE32-E72D297353CC}">
                  <c16:uniqueId val="{00000021-31C8-4BB4-AF2E-D8C3CA960762}"/>
                </c:ext>
              </c:extLst>
            </c:dLbl>
            <c:dLbl>
              <c:idx val="14"/>
              <c:delete val="1"/>
              <c:extLst>
                <c:ext xmlns:c15="http://schemas.microsoft.com/office/drawing/2012/chart" uri="{CE6537A1-D6FC-4f65-9D91-7224C49458BB}"/>
                <c:ext xmlns:c16="http://schemas.microsoft.com/office/drawing/2014/chart" uri="{C3380CC4-5D6E-409C-BE32-E72D297353CC}">
                  <c16:uniqueId val="{00000020-31C8-4BB4-AF2E-D8C3CA960762}"/>
                </c:ext>
              </c:extLst>
            </c:dLbl>
            <c:dLbl>
              <c:idx val="15"/>
              <c:delete val="1"/>
              <c:extLst>
                <c:ext xmlns:c15="http://schemas.microsoft.com/office/drawing/2012/chart" uri="{CE6537A1-D6FC-4f65-9D91-7224C49458BB}"/>
                <c:ext xmlns:c16="http://schemas.microsoft.com/office/drawing/2014/chart" uri="{C3380CC4-5D6E-409C-BE32-E72D297353CC}">
                  <c16:uniqueId val="{00000017-31C8-4BB4-AF2E-D8C3CA960762}"/>
                </c:ext>
              </c:extLst>
            </c:dLbl>
            <c:dLbl>
              <c:idx val="16"/>
              <c:delete val="1"/>
              <c:extLst>
                <c:ext xmlns:c15="http://schemas.microsoft.com/office/drawing/2012/chart" uri="{CE6537A1-D6FC-4f65-9D91-7224C49458BB}"/>
                <c:ext xmlns:c16="http://schemas.microsoft.com/office/drawing/2014/chart" uri="{C3380CC4-5D6E-409C-BE32-E72D297353CC}">
                  <c16:uniqueId val="{0000001F-31C8-4BB4-AF2E-D8C3CA960762}"/>
                </c:ext>
              </c:extLst>
            </c:dLbl>
            <c:dLbl>
              <c:idx val="17"/>
              <c:delete val="1"/>
              <c:extLst>
                <c:ext xmlns:c15="http://schemas.microsoft.com/office/drawing/2012/chart" uri="{CE6537A1-D6FC-4f65-9D91-7224C49458BB}"/>
                <c:ext xmlns:c16="http://schemas.microsoft.com/office/drawing/2014/chart" uri="{C3380CC4-5D6E-409C-BE32-E72D297353CC}">
                  <c16:uniqueId val="{00000018-31C8-4BB4-AF2E-D8C3CA960762}"/>
                </c:ext>
              </c:extLst>
            </c:dLbl>
            <c:dLbl>
              <c:idx val="18"/>
              <c:layout>
                <c:manualLayout>
                  <c:x val="-8.7642269193819539E-2"/>
                  <c:y val="-8.1539263516615265E-2"/>
                </c:manualLayout>
              </c:layout>
              <c:tx>
                <c:rich>
                  <a:bodyPr wrap="square" lIns="38100" tIns="19050" rIns="38100" bIns="19050" anchor="ctr">
                    <a:noAutofit/>
                  </a:bodyPr>
                  <a:lstStyle/>
                  <a:p>
                    <a:pPr>
                      <a:defRPr/>
                    </a:pPr>
                    <a:r>
                      <a:rPr lang="en-US" sz="1000" b="1">
                        <a:effectLst/>
                      </a:rPr>
                      <a:t>emissions</a:t>
                    </a:r>
                    <a:r>
                      <a:rPr lang="en-US" sz="1000" b="1" baseline="0">
                        <a:effectLst/>
                      </a:rPr>
                      <a:t> </a:t>
                    </a:r>
                    <a:r>
                      <a:rPr lang="en-US" sz="1000" b="1"/>
                      <a:t>after non-tax policies </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1113784657370735"/>
                      <c:h val="9.0008940724688971E-2"/>
                    </c:manualLayout>
                  </c15:layout>
                </c:ext>
                <c:ext xmlns:c16="http://schemas.microsoft.com/office/drawing/2014/chart" uri="{C3380CC4-5D6E-409C-BE32-E72D297353CC}">
                  <c16:uniqueId val="{0000001E-31C8-4BB4-AF2E-D8C3CA960762}"/>
                </c:ext>
              </c:extLst>
            </c:dLbl>
            <c:dLbl>
              <c:idx val="19"/>
              <c:delete val="1"/>
              <c:extLst>
                <c:ext xmlns:c15="http://schemas.microsoft.com/office/drawing/2012/chart" uri="{CE6537A1-D6FC-4f65-9D91-7224C49458BB}"/>
                <c:ext xmlns:c16="http://schemas.microsoft.com/office/drawing/2014/chart" uri="{C3380CC4-5D6E-409C-BE32-E72D297353CC}">
                  <c16:uniqueId val="{00000019-31C8-4BB4-AF2E-D8C3CA960762}"/>
                </c:ext>
              </c:extLst>
            </c:dLbl>
            <c:dLbl>
              <c:idx val="20"/>
              <c:delete val="1"/>
              <c:extLst>
                <c:ext xmlns:c15="http://schemas.microsoft.com/office/drawing/2012/chart" uri="{CE6537A1-D6FC-4f65-9D91-7224C49458BB}"/>
                <c:ext xmlns:c16="http://schemas.microsoft.com/office/drawing/2014/chart" uri="{C3380CC4-5D6E-409C-BE32-E72D297353CC}">
                  <c16:uniqueId val="{0000001D-31C8-4BB4-AF2E-D8C3CA960762}"/>
                </c:ext>
              </c:extLst>
            </c:dLbl>
            <c:dLbl>
              <c:idx val="21"/>
              <c:delete val="1"/>
              <c:extLst>
                <c:ext xmlns:c15="http://schemas.microsoft.com/office/drawing/2012/chart" uri="{CE6537A1-D6FC-4f65-9D91-7224C49458BB}"/>
                <c:ext xmlns:c16="http://schemas.microsoft.com/office/drawing/2014/chart" uri="{C3380CC4-5D6E-409C-BE32-E72D297353CC}">
                  <c16:uniqueId val="{0000001A-31C8-4BB4-AF2E-D8C3CA960762}"/>
                </c:ext>
              </c:extLst>
            </c:dLbl>
            <c:dLbl>
              <c:idx val="22"/>
              <c:delete val="1"/>
              <c:extLst>
                <c:ext xmlns:c15="http://schemas.microsoft.com/office/drawing/2012/chart" uri="{CE6537A1-D6FC-4f65-9D91-7224C49458BB}"/>
                <c:ext xmlns:c16="http://schemas.microsoft.com/office/drawing/2014/chart" uri="{C3380CC4-5D6E-409C-BE32-E72D297353CC}">
                  <c16:uniqueId val="{0000001C-31C8-4BB4-AF2E-D8C3CA960762}"/>
                </c:ext>
              </c:extLst>
            </c:dLbl>
            <c:dLbl>
              <c:idx val="23"/>
              <c:delete val="1"/>
              <c:extLst>
                <c:ext xmlns:c15="http://schemas.microsoft.com/office/drawing/2012/chart" uri="{CE6537A1-D6FC-4f65-9D91-7224C49458BB}"/>
                <c:ext xmlns:c16="http://schemas.microsoft.com/office/drawing/2014/chart" uri="{C3380CC4-5D6E-409C-BE32-E72D297353CC}">
                  <c16:uniqueId val="{0000001B-31C8-4BB4-AF2E-D8C3CA960762}"/>
                </c:ext>
              </c:extLst>
            </c:dLbl>
            <c:dLbl>
              <c:idx val="24"/>
              <c:delete val="1"/>
              <c:extLst>
                <c:ext xmlns:c15="http://schemas.microsoft.com/office/drawing/2012/chart" uri="{CE6537A1-D6FC-4f65-9D91-7224C49458BB}"/>
                <c:ext xmlns:c16="http://schemas.microsoft.com/office/drawing/2014/chart" uri="{C3380CC4-5D6E-409C-BE32-E72D297353CC}">
                  <c16:uniqueId val="{0000000A-31C8-4BB4-AF2E-D8C3CA960762}"/>
                </c:ext>
              </c:extLst>
            </c:dLbl>
            <c:dLbl>
              <c:idx val="25"/>
              <c:delete val="1"/>
              <c:extLst>
                <c:ext xmlns:c15="http://schemas.microsoft.com/office/drawing/2012/chart" uri="{CE6537A1-D6FC-4f65-9D91-7224C49458BB}"/>
                <c:ext xmlns:c16="http://schemas.microsoft.com/office/drawing/2014/chart" uri="{C3380CC4-5D6E-409C-BE32-E72D297353CC}">
                  <c16:uniqueId val="{00000009-31C8-4BB4-AF2E-D8C3CA960762}"/>
                </c:ext>
              </c:extLst>
            </c:dLbl>
            <c:dLbl>
              <c:idx val="26"/>
              <c:delete val="1"/>
              <c:extLst>
                <c:ext xmlns:c15="http://schemas.microsoft.com/office/drawing/2012/chart" uri="{CE6537A1-D6FC-4f65-9D91-7224C49458BB}"/>
                <c:ext xmlns:c16="http://schemas.microsoft.com/office/drawing/2014/chart" uri="{C3380CC4-5D6E-409C-BE32-E72D297353CC}">
                  <c16:uniqueId val="{00000008-31C8-4BB4-AF2E-D8C3CA960762}"/>
                </c:ext>
              </c:extLst>
            </c:dLbl>
            <c:dLbl>
              <c:idx val="27"/>
              <c:delete val="1"/>
              <c:extLst>
                <c:ext xmlns:c15="http://schemas.microsoft.com/office/drawing/2012/chart" uri="{CE6537A1-D6FC-4f65-9D91-7224C49458BB}"/>
                <c:ext xmlns:c16="http://schemas.microsoft.com/office/drawing/2014/chart" uri="{C3380CC4-5D6E-409C-BE32-E72D297353CC}">
                  <c16:uniqueId val="{00000007-31C8-4BB4-AF2E-D8C3CA960762}"/>
                </c:ext>
              </c:extLst>
            </c:dLbl>
            <c:dLbl>
              <c:idx val="28"/>
              <c:delete val="1"/>
              <c:extLst>
                <c:ext xmlns:c15="http://schemas.microsoft.com/office/drawing/2012/chart" uri="{CE6537A1-D6FC-4f65-9D91-7224C49458BB}"/>
                <c:ext xmlns:c16="http://schemas.microsoft.com/office/drawing/2014/chart" uri="{C3380CC4-5D6E-409C-BE32-E72D297353CC}">
                  <c16:uniqueId val="{00000005-31C8-4BB4-AF2E-D8C3CA960762}"/>
                </c:ext>
              </c:extLst>
            </c:dLbl>
            <c:dLbl>
              <c:idx val="29"/>
              <c:delete val="1"/>
              <c:extLst>
                <c:ext xmlns:c15="http://schemas.microsoft.com/office/drawing/2012/chart" uri="{CE6537A1-D6FC-4f65-9D91-7224C49458BB}"/>
                <c:ext xmlns:c16="http://schemas.microsoft.com/office/drawing/2014/chart" uri="{C3380CC4-5D6E-409C-BE32-E72D297353CC}">
                  <c16:uniqueId val="{00000004-31C8-4BB4-AF2E-D8C3CA960762}"/>
                </c:ext>
              </c:extLst>
            </c:dLbl>
            <c:dLbl>
              <c:idx val="30"/>
              <c:delete val="1"/>
              <c:extLst>
                <c:ext xmlns:c15="http://schemas.microsoft.com/office/drawing/2012/chart" uri="{CE6537A1-D6FC-4f65-9D91-7224C49458BB}"/>
                <c:ext xmlns:c16="http://schemas.microsoft.com/office/drawing/2014/chart" uri="{C3380CC4-5D6E-409C-BE32-E72D297353CC}">
                  <c16:uniqueId val="{00000006-31C8-4BB4-AF2E-D8C3CA9607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'Adjusted Emissions'!$B$86:$AF$86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'Adjusted Emissions'!$B$102:$AF$102</c:f>
              <c:numCache>
                <c:formatCode>0.00</c:formatCode>
                <c:ptCount val="31"/>
                <c:pt idx="0">
                  <c:v>75.399978833646784</c:v>
                </c:pt>
                <c:pt idx="1">
                  <c:v>74.24665330604131</c:v>
                </c:pt>
                <c:pt idx="2">
                  <c:v>72.928901497361935</c:v>
                </c:pt>
                <c:pt idx="3">
                  <c:v>71.490826718096486</c:v>
                </c:pt>
                <c:pt idx="4">
                  <c:v>70.406996887873945</c:v>
                </c:pt>
                <c:pt idx="5">
                  <c:v>68.652170935557322</c:v>
                </c:pt>
                <c:pt idx="6">
                  <c:v>67.11975661242171</c:v>
                </c:pt>
                <c:pt idx="7">
                  <c:v>66.579110185511155</c:v>
                </c:pt>
                <c:pt idx="8">
                  <c:v>66.524159799144513</c:v>
                </c:pt>
                <c:pt idx="9">
                  <c:v>66.095764087925843</c:v>
                </c:pt>
                <c:pt idx="10">
                  <c:v>65.52144339992428</c:v>
                </c:pt>
                <c:pt idx="11">
                  <c:v>65.021378386294174</c:v>
                </c:pt>
                <c:pt idx="12">
                  <c:v>64.626335573959679</c:v>
                </c:pt>
                <c:pt idx="13">
                  <c:v>64.293915164344014</c:v>
                </c:pt>
                <c:pt idx="14">
                  <c:v>64.086399465826361</c:v>
                </c:pt>
                <c:pt idx="15">
                  <c:v>63.611696772944022</c:v>
                </c:pt>
                <c:pt idx="16">
                  <c:v>63.329211145231575</c:v>
                </c:pt>
                <c:pt idx="17">
                  <c:v>63.088755847554552</c:v>
                </c:pt>
                <c:pt idx="18">
                  <c:v>62.987767450512465</c:v>
                </c:pt>
                <c:pt idx="19">
                  <c:v>62.995961619332277</c:v>
                </c:pt>
                <c:pt idx="20">
                  <c:v>62.876259553432241</c:v>
                </c:pt>
                <c:pt idx="21">
                  <c:v>62.891463376517017</c:v>
                </c:pt>
                <c:pt idx="22">
                  <c:v>62.785263224698191</c:v>
                </c:pt>
                <c:pt idx="23">
                  <c:v>62.896683061295121</c:v>
                </c:pt>
                <c:pt idx="24">
                  <c:v>62.782480470832226</c:v>
                </c:pt>
                <c:pt idx="25">
                  <c:v>62.946986538065687</c:v>
                </c:pt>
                <c:pt idx="26">
                  <c:v>63.166307057174123</c:v>
                </c:pt>
                <c:pt idx="27">
                  <c:v>63.471116181495972</c:v>
                </c:pt>
                <c:pt idx="28">
                  <c:v>63.774169028769577</c:v>
                </c:pt>
                <c:pt idx="29">
                  <c:v>64.02501592462508</c:v>
                </c:pt>
                <c:pt idx="30">
                  <c:v>64.319138829271679</c:v>
                </c:pt>
              </c:numCache>
            </c:numRef>
          </c:yVal>
          <c:smooth val="0"/>
          <c:extLst>
            <c:ext xmlns:c16="http://schemas.microsoft.com/office/drawing/2014/chart" uri="{C3380CC4-5D6E-409C-BE32-E72D297353CC}">
              <c16:uniqueId val="{00000004-A41A-4462-9D3B-C95FCFFD57C1}"/>
            </c:ext>
          </c:extLst>
        </c:ser>
        <c:dLbls>
          <c:showLegendKey val="0"/>
          <c:showVal val="0"/>
          <c:showCatName val="0"/>
          <c:showSerName val="0"/>
          <c:showPercent val="0"/>
          <c:showBubbleSize val="0"/>
        </c:dLbls>
        <c:axId val="464902984"/>
        <c:axId val="464899848"/>
      </c:scatterChart>
      <c:valAx>
        <c:axId val="464902984"/>
        <c:scaling>
          <c:orientation val="minMax"/>
          <c:max val="2050"/>
          <c:min val="2005"/>
        </c:scaling>
        <c:delete val="0"/>
        <c:axPos val="b"/>
        <c:majorGridlines>
          <c:spPr>
            <a:ln w="9525">
              <a:solidFill>
                <a:srgbClr val="D9D9D9"/>
              </a:solidFill>
            </a:ln>
          </c:spPr>
        </c:majorGridlines>
        <c:numFmt formatCode="General" sourceLinked="1"/>
        <c:majorTickMark val="cross"/>
        <c:minorTickMark val="out"/>
        <c:tickLblPos val="nextTo"/>
        <c:spPr>
          <a:ln w="25400">
            <a:solidFill>
              <a:schemeClr val="tx1"/>
            </a:solidFill>
          </a:ln>
        </c:spPr>
        <c:txPr>
          <a:bodyPr rot="0" vert="horz"/>
          <a:lstStyle/>
          <a:p>
            <a:pPr>
              <a:defRPr lang="ja-JP" sz="1100" b="1" i="0" u="none" strike="noStrike" baseline="0">
                <a:solidFill>
                  <a:srgbClr val="000000"/>
                </a:solidFill>
                <a:latin typeface="Calibri"/>
                <a:ea typeface="Calibri"/>
                <a:cs typeface="Calibri"/>
              </a:defRPr>
            </a:pPr>
            <a:endParaRPr lang="en-US"/>
          </a:p>
        </c:txPr>
        <c:crossAx val="464899848"/>
        <c:crosses val="autoZero"/>
        <c:crossBetween val="midCat"/>
        <c:majorUnit val="5"/>
      </c:valAx>
      <c:valAx>
        <c:axId val="464899848"/>
        <c:scaling>
          <c:orientation val="minMax"/>
          <c:max val="85"/>
          <c:min val="35"/>
        </c:scaling>
        <c:delete val="0"/>
        <c:axPos val="l"/>
        <c:majorGridlines>
          <c:spPr>
            <a:ln>
              <a:solidFill>
                <a:srgbClr val="D9D9D9"/>
              </a:solidFill>
            </a:ln>
          </c:spPr>
        </c:majorGridlines>
        <c:title>
          <c:tx>
            <c:rich>
              <a:bodyPr/>
              <a:lstStyle/>
              <a:p>
                <a:pPr>
                  <a:defRPr lang="ja-JP" sz="1100" b="1" i="0" u="none" strike="noStrike" baseline="0">
                    <a:solidFill>
                      <a:srgbClr val="000000"/>
                    </a:solidFill>
                    <a:latin typeface="Calibri"/>
                    <a:ea typeface="Calibri"/>
                    <a:cs typeface="Calibri"/>
                  </a:defRPr>
                </a:pPr>
                <a:r>
                  <a:rPr lang="en-US" altLang="en-US" sz="1100"/>
                  <a:t>emissions,</a:t>
                </a:r>
                <a:r>
                  <a:rPr lang="en-US" altLang="en-US" sz="1100" baseline="0"/>
                  <a:t> million metric tons of </a:t>
                </a:r>
                <a:r>
                  <a:rPr lang="en-US" altLang="en-US" sz="1100"/>
                  <a:t>CO</a:t>
                </a:r>
                <a:r>
                  <a:rPr lang="en-US" altLang="en-US" sz="1100" baseline="-25000"/>
                  <a:t>2</a:t>
                </a:r>
                <a:r>
                  <a:rPr lang="en-US" altLang="en-US" sz="1100" baseline="0"/>
                  <a:t> equivalent</a:t>
                </a:r>
              </a:p>
            </c:rich>
          </c:tx>
          <c:layout>
            <c:manualLayout>
              <c:xMode val="edge"/>
              <c:yMode val="edge"/>
              <c:x val="8.2679757287173142E-3"/>
              <c:y val="0.14260348692277466"/>
            </c:manualLayout>
          </c:layout>
          <c:overlay val="0"/>
          <c:spPr>
            <a:noFill/>
            <a:ln w="25400">
              <a:noFill/>
            </a:ln>
          </c:spPr>
        </c:title>
        <c:numFmt formatCode="0" sourceLinked="0"/>
        <c:majorTickMark val="cross"/>
        <c:minorTickMark val="out"/>
        <c:tickLblPos val="nextTo"/>
        <c:spPr>
          <a:ln w="25400">
            <a:solidFill>
              <a:schemeClr val="tx1"/>
            </a:solidFill>
          </a:ln>
        </c:spPr>
        <c:txPr>
          <a:bodyPr rot="0" vert="horz"/>
          <a:lstStyle/>
          <a:p>
            <a:pPr>
              <a:defRPr lang="ja-JP" sz="1100" b="1" i="0" u="none" strike="noStrike" baseline="0">
                <a:solidFill>
                  <a:srgbClr val="000000"/>
                </a:solidFill>
                <a:latin typeface="Calibri"/>
                <a:ea typeface="Calibri"/>
                <a:cs typeface="Calibri"/>
              </a:defRPr>
            </a:pPr>
            <a:endParaRPr lang="en-US"/>
          </a:p>
        </c:txPr>
        <c:crossAx val="464902984"/>
        <c:crosses val="autoZero"/>
        <c:crossBetween val="midCat"/>
        <c:majorUnit val="5"/>
        <c:minorUnit val="1"/>
      </c:valAx>
      <c:spPr>
        <a:noFill/>
        <a:ln w="25400">
          <a:solidFill>
            <a:schemeClr val="tx1"/>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1293495</xdr:colOff>
      <xdr:row>1</xdr:row>
      <xdr:rowOff>1267527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880" y="175260"/>
          <a:ext cx="2293620" cy="1267527"/>
        </a:xfrm>
        <a:prstGeom prst="rect">
          <a:avLst/>
        </a:prstGeom>
      </xdr:spPr>
    </xdr:pic>
    <xdr:clientData/>
  </xdr:twoCellAnchor>
  <xdr:twoCellAnchor editAs="oneCell">
    <xdr:from>
      <xdr:col>2</xdr:col>
      <xdr:colOff>1463040</xdr:colOff>
      <xdr:row>1</xdr:row>
      <xdr:rowOff>259080</xdr:rowOff>
    </xdr:from>
    <xdr:to>
      <xdr:col>5</xdr:col>
      <xdr:colOff>419100</xdr:colOff>
      <xdr:row>1</xdr:row>
      <xdr:rowOff>1135380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20340" y="434340"/>
          <a:ext cx="5486400"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311856</xdr:colOff>
      <xdr:row>0</xdr:row>
      <xdr:rowOff>319314</xdr:rowOff>
    </xdr:from>
    <xdr:to>
      <xdr:col>15</xdr:col>
      <xdr:colOff>428171</xdr:colOff>
      <xdr:row>29</xdr:row>
      <xdr:rowOff>38100</xdr:rowOff>
    </xdr:to>
    <xdr:graphicFrame macro="">
      <xdr:nvGraphicFramePr>
        <xdr:cNvPr id="1918978" name="Chart 3">
          <a:extLst>
            <a:ext uri="{FF2B5EF4-FFF2-40B4-BE49-F238E27FC236}">
              <a16:creationId xmlns:a16="http://schemas.microsoft.com/office/drawing/2014/main" id="{00000000-0008-0000-0100-000002481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0.81022</cdr:x>
      <cdr:y>0.05053</cdr:y>
    </cdr:from>
    <cdr:to>
      <cdr:x>0.94851</cdr:x>
      <cdr:y>0.09783</cdr:y>
    </cdr:to>
    <cdr:sp macro="" textlink="">
      <cdr:nvSpPr>
        <cdr:cNvPr id="3" name="TextBox 2">
          <a:extLst xmlns:a="http://schemas.openxmlformats.org/drawingml/2006/main">
            <a:ext uri="{FF2B5EF4-FFF2-40B4-BE49-F238E27FC236}">
              <a16:creationId xmlns:a16="http://schemas.microsoft.com/office/drawing/2014/main" id="{2C278A37-96E2-4110-8996-1B85EA5D62F3}"/>
            </a:ext>
          </a:extLst>
        </cdr:cNvPr>
        <cdr:cNvSpPr txBox="1"/>
      </cdr:nvSpPr>
      <cdr:spPr>
        <a:xfrm xmlns:a="http://schemas.openxmlformats.org/drawingml/2006/main">
          <a:off x="4803945" y="213903"/>
          <a:ext cx="819927" cy="200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tinbergen.nl/discussionpapers/06106.pdf" TargetMode="External"/><Relationship Id="rId13" Type="http://schemas.openxmlformats.org/officeDocument/2006/relationships/hyperlink" Target="https://www.eia.gov/electricity/annual/html/epa_08_02.html" TargetMode="External"/><Relationship Id="rId3" Type="http://schemas.openxmlformats.org/officeDocument/2006/relationships/hyperlink" Target="https://dor.wa.gov/sites/default/files/legacy/docs/reports/historical-tax-collections.xlsx" TargetMode="External"/><Relationship Id="rId7" Type="http://schemas.openxmlformats.org/officeDocument/2006/relationships/hyperlink" Target="http://www.eia.doe.gov/oiaf/analysispaper/elasticity/" TargetMode="External"/><Relationship Id="rId12" Type="http://schemas.openxmlformats.org/officeDocument/2006/relationships/hyperlink" Target="http://www.eia.gov/electricity/annual/html/epa_08_01.html" TargetMode="External"/><Relationship Id="rId17" Type="http://schemas.openxmlformats.org/officeDocument/2006/relationships/printerSettings" Target="../printerSettings/printerSettings25.bin"/><Relationship Id="rId2" Type="http://schemas.openxmlformats.org/officeDocument/2006/relationships/hyperlink" Target="http://www.dol.wa.gov/vehicleregistration/fueltax.html" TargetMode="External"/><Relationship Id="rId16" Type="http://schemas.openxmlformats.org/officeDocument/2006/relationships/hyperlink" Target="https://fortress.wa.gov/ecy/publications/documents/1802043.pdf" TargetMode="External"/><Relationship Id="rId1" Type="http://schemas.openxmlformats.org/officeDocument/2006/relationships/hyperlink" Target="http://www.eia.doe.gov/oiaf/1605/emission_factors.html" TargetMode="External"/><Relationship Id="rId6" Type="http://schemas.openxmlformats.org/officeDocument/2006/relationships/hyperlink" Target="http://www.eia.gov/oiaf/archive/aeo10/aeoref_tab.html" TargetMode="External"/><Relationship Id="rId11" Type="http://schemas.openxmlformats.org/officeDocument/2006/relationships/hyperlink" Target="http://www.eia.gov/forecasts/aeo/" TargetMode="External"/><Relationship Id="rId5" Type="http://schemas.openxmlformats.org/officeDocument/2006/relationships/hyperlink" Target="http://www.ofm.wa.gov/pop/stfc/default.asp" TargetMode="External"/><Relationship Id="rId15" Type="http://schemas.openxmlformats.org/officeDocument/2006/relationships/hyperlink" Target="https://www.commerce.wa.gov/growing-the-economy/energy/fuel-mix-disclosure/" TargetMode="External"/><Relationship Id="rId10" Type="http://schemas.openxmlformats.org/officeDocument/2006/relationships/hyperlink" Target="https://www.census.gov/quickfacts/wa" TargetMode="External"/><Relationship Id="rId4" Type="http://schemas.openxmlformats.org/officeDocument/2006/relationships/hyperlink" Target="http://www.ofm.wa.gov/economy/longterm/2014/lt2014ch4.pdf" TargetMode="External"/><Relationship Id="rId9" Type="http://schemas.openxmlformats.org/officeDocument/2006/relationships/hyperlink" Target="http://www.nrel.gov/docs/fy06osti/39512.pdf" TargetMode="External"/><Relationship Id="rId14" Type="http://schemas.openxmlformats.org/officeDocument/2006/relationships/hyperlink" Target="https://www.eia.gov/outlooks/aeo/pdf/electricity_generation_2015.pdf"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137"/>
  <sheetViews>
    <sheetView tabSelected="1" workbookViewId="0">
      <selection activeCell="C6" sqref="C6"/>
    </sheetView>
  </sheetViews>
  <sheetFormatPr defaultRowHeight="12.9" customHeight="1"/>
  <cols>
    <col min="1" max="1" width="2.88671875" customWidth="1"/>
    <col min="2" max="2" width="17.109375" style="19" customWidth="1"/>
    <col min="3" max="3" width="40.88671875" customWidth="1"/>
    <col min="4" max="4" width="60.88671875" customWidth="1"/>
  </cols>
  <sheetData>
    <row r="1" spans="1:12" s="40" customFormat="1" ht="12"/>
    <row r="2" spans="1:12" s="40" customFormat="1" ht="108.75" customHeight="1"/>
    <row r="3" spans="1:12" s="40" customFormat="1" ht="26.15" customHeight="1">
      <c r="A3" s="116"/>
      <c r="B3" s="236" t="s">
        <v>1155</v>
      </c>
    </row>
    <row r="4" spans="1:12" s="40" customFormat="1" ht="12.9" customHeight="1">
      <c r="A4" s="116"/>
      <c r="B4" s="52" t="s">
        <v>879</v>
      </c>
      <c r="C4" s="40" t="s">
        <v>880</v>
      </c>
      <c r="D4" s="40" t="s">
        <v>1193</v>
      </c>
    </row>
    <row r="5" spans="1:12" s="40" customFormat="1" ht="12.9" customHeight="1">
      <c r="A5" s="116"/>
      <c r="B5" s="52" t="s">
        <v>881</v>
      </c>
      <c r="C5" s="40" t="s">
        <v>1377</v>
      </c>
    </row>
    <row r="6" spans="1:12" s="40" customFormat="1" ht="12.9" customHeight="1">
      <c r="A6" s="116"/>
      <c r="B6" s="52" t="s">
        <v>1415</v>
      </c>
      <c r="C6" s="117">
        <v>43777</v>
      </c>
      <c r="D6" s="491" t="s">
        <v>1498</v>
      </c>
    </row>
    <row r="7" spans="1:12" s="40" customFormat="1" ht="12.9" customHeight="1">
      <c r="A7" s="116"/>
      <c r="B7" s="52" t="s">
        <v>951</v>
      </c>
      <c r="C7" s="493" t="s">
        <v>1418</v>
      </c>
    </row>
    <row r="8" spans="1:12" s="40" customFormat="1" ht="12.9" customHeight="1">
      <c r="A8" s="116"/>
      <c r="B8" s="237" t="s">
        <v>882</v>
      </c>
      <c r="C8" s="117"/>
    </row>
    <row r="9" spans="1:12" s="120" customFormat="1" ht="12.9" customHeight="1">
      <c r="A9" s="116"/>
      <c r="B9" s="123"/>
      <c r="C9" s="124"/>
      <c r="D9" s="5"/>
    </row>
    <row r="10" spans="1:12" s="120" customFormat="1" ht="12.9" customHeight="1">
      <c r="A10" s="116"/>
      <c r="B10" s="538" t="s">
        <v>934</v>
      </c>
      <c r="C10" s="539"/>
      <c r="D10" s="539"/>
    </row>
    <row r="11" spans="1:12" s="40" customFormat="1" ht="12.9" customHeight="1">
      <c r="B11" s="5"/>
      <c r="C11" s="5"/>
      <c r="D11" s="5"/>
    </row>
    <row r="12" spans="1:12" s="120" customFormat="1" ht="80.25" customHeight="1">
      <c r="B12" s="540" t="s">
        <v>1156</v>
      </c>
      <c r="C12" s="541"/>
      <c r="D12" s="125"/>
    </row>
    <row r="13" spans="1:12" s="40" customFormat="1" ht="80.25" customHeight="1">
      <c r="B13" s="542" t="s">
        <v>1212</v>
      </c>
      <c r="C13" s="543"/>
      <c r="D13" s="125" t="s">
        <v>935</v>
      </c>
      <c r="L13" s="39"/>
    </row>
    <row r="14" spans="1:12" s="40" customFormat="1" ht="12.9" customHeight="1">
      <c r="B14" s="239" t="s">
        <v>883</v>
      </c>
      <c r="C14" s="240"/>
      <c r="D14" s="241"/>
    </row>
    <row r="15" spans="1:12" s="40" customFormat="1" ht="12.9" customHeight="1">
      <c r="B15" s="242" t="s">
        <v>884</v>
      </c>
      <c r="C15" s="242" t="s">
        <v>885</v>
      </c>
      <c r="D15" s="242" t="s">
        <v>431</v>
      </c>
    </row>
    <row r="16" spans="1:12" s="40" customFormat="1" ht="12.9" customHeight="1">
      <c r="B16" s="40" t="s">
        <v>886</v>
      </c>
      <c r="C16" s="17" t="s">
        <v>329</v>
      </c>
    </row>
    <row r="17" spans="2:3" s="408" customFormat="1" ht="12.9" customHeight="1">
      <c r="B17" s="244" t="s">
        <v>1370</v>
      </c>
      <c r="C17" s="17" t="s">
        <v>329</v>
      </c>
    </row>
    <row r="18" spans="2:3" s="408" customFormat="1" ht="12.9" customHeight="1">
      <c r="B18" s="244" t="s">
        <v>1371</v>
      </c>
      <c r="C18" s="420" t="str">
        <f t="shared" ref="C18:C41" ca="1" si="0">INDIRECT("'"&amp;B18&amp;"'!A1")</f>
        <v>Detailed Fuel Price and Emission Tables by Sector and Major Fuel Category</v>
      </c>
    </row>
    <row r="19" spans="2:3" s="408" customFormat="1" ht="12.9" customHeight="1">
      <c r="B19" s="244" t="s">
        <v>1372</v>
      </c>
      <c r="C19" s="420" t="str">
        <f t="shared" ca="1" si="0"/>
        <v>Detailed Fuel Price and Emission Tables by Sector and Major Fuel Category</v>
      </c>
    </row>
    <row r="20" spans="2:3" s="408" customFormat="1" ht="12.9" customHeight="1">
      <c r="B20" s="244" t="s">
        <v>519</v>
      </c>
      <c r="C20" s="420" t="str">
        <f t="shared" ca="1" si="0"/>
        <v>Parameters</v>
      </c>
    </row>
    <row r="21" spans="2:3" s="408" customFormat="1" ht="12.9" customHeight="1">
      <c r="B21" s="244" t="s">
        <v>461</v>
      </c>
      <c r="C21" s="420" t="str">
        <f t="shared" ca="1" si="0"/>
        <v>Price Elasticities of Demanda</v>
      </c>
    </row>
    <row r="22" spans="2:3" s="408" customFormat="1" ht="12.9" customHeight="1">
      <c r="B22" s="244" t="s">
        <v>435</v>
      </c>
      <c r="C22" s="420" t="str">
        <f t="shared" ca="1" si="0"/>
        <v>ramps</v>
      </c>
    </row>
    <row r="23" spans="2:3" s="408" customFormat="1" ht="12.9" customHeight="1">
      <c r="B23" s="244" t="s">
        <v>413</v>
      </c>
      <c r="C23" s="420" t="str">
        <f t="shared" ca="1" si="0"/>
        <v>price scenario A</v>
      </c>
    </row>
    <row r="24" spans="2:3" s="408" customFormat="1" ht="12.9" customHeight="1">
      <c r="B24" s="244" t="s">
        <v>418</v>
      </c>
      <c r="C24" s="420" t="str">
        <f t="shared" ca="1" si="0"/>
        <v>price scenario B</v>
      </c>
    </row>
    <row r="25" spans="2:3" s="408" customFormat="1" ht="12.9" customHeight="1">
      <c r="B25" s="244" t="s">
        <v>419</v>
      </c>
      <c r="C25" s="420" t="str">
        <f t="shared" ca="1" si="0"/>
        <v>price scenario C</v>
      </c>
    </row>
    <row r="26" spans="2:3" s="408" customFormat="1" ht="12.9" customHeight="1">
      <c r="B26" s="244" t="s">
        <v>415</v>
      </c>
      <c r="C26" s="420" t="str">
        <f t="shared" ca="1" si="0"/>
        <v>consumption scenario A</v>
      </c>
    </row>
    <row r="27" spans="2:3" s="408" customFormat="1" ht="12.9" customHeight="1">
      <c r="B27" s="244" t="s">
        <v>420</v>
      </c>
      <c r="C27" s="420" t="str">
        <f t="shared" ca="1" si="0"/>
        <v>consumption scenario B</v>
      </c>
    </row>
    <row r="28" spans="2:3" s="408" customFormat="1" ht="12.9" customHeight="1">
      <c r="B28" s="244" t="s">
        <v>421</v>
      </c>
      <c r="C28" s="420" t="str">
        <f t="shared" ca="1" si="0"/>
        <v>consumption scenario C</v>
      </c>
    </row>
    <row r="29" spans="2:3" s="408" customFormat="1" ht="12.9" customHeight="1">
      <c r="B29" s="244" t="s">
        <v>928</v>
      </c>
      <c r="C29" s="420" t="str">
        <f t="shared" ca="1" si="0"/>
        <v>Baseline Price, constant $</v>
      </c>
    </row>
    <row r="30" spans="2:3" s="408" customFormat="1" ht="12.9" customHeight="1">
      <c r="B30" s="244" t="s">
        <v>53</v>
      </c>
      <c r="C30" s="420" t="str">
        <f t="shared" ca="1" si="0"/>
        <v>Baseline Consumption</v>
      </c>
    </row>
    <row r="31" spans="2:3" s="408" customFormat="1" ht="12.9" customHeight="1">
      <c r="B31" s="244" t="s">
        <v>385</v>
      </c>
      <c r="C31" s="420" t="str">
        <f t="shared" ca="1" si="0"/>
        <v>Baseline Emissions</v>
      </c>
    </row>
    <row r="32" spans="2:3" s="408" customFormat="1" ht="12.9" customHeight="1">
      <c r="B32" s="244" t="s">
        <v>929</v>
      </c>
      <c r="C32" s="420" t="str">
        <f t="shared" ca="1" si="0"/>
        <v>Baseline Energy Expenditures</v>
      </c>
    </row>
    <row r="33" spans="2:4" s="408" customFormat="1" ht="12.9" customHeight="1">
      <c r="B33" s="244" t="s">
        <v>291</v>
      </c>
      <c r="C33" s="420" t="str">
        <f t="shared" ca="1" si="0"/>
        <v>Price Change</v>
      </c>
    </row>
    <row r="34" spans="2:4" s="408" customFormat="1" ht="12.9" customHeight="1">
      <c r="B34" s="244" t="s">
        <v>1373</v>
      </c>
      <c r="C34" s="420" t="str">
        <f t="shared" ca="1" si="0"/>
        <v>Adjusted Price After Carbon Tax</v>
      </c>
    </row>
    <row r="35" spans="2:4" s="408" customFormat="1" ht="12.9" customHeight="1">
      <c r="B35" s="244" t="s">
        <v>930</v>
      </c>
      <c r="C35" s="420" t="str">
        <f t="shared" ca="1" si="0"/>
        <v>Adjusted Consumption (after carbon tax)</v>
      </c>
    </row>
    <row r="36" spans="2:4" s="408" customFormat="1" ht="12.9" customHeight="1">
      <c r="B36" s="244" t="s">
        <v>384</v>
      </c>
      <c r="C36" s="420" t="str">
        <f t="shared" ca="1" si="0"/>
        <v>Adjusted Emissions</v>
      </c>
    </row>
    <row r="37" spans="2:4" s="408" customFormat="1" ht="12.9" customHeight="1">
      <c r="B37" s="244" t="s">
        <v>931</v>
      </c>
      <c r="C37" s="420" t="str">
        <f t="shared" ca="1" si="0"/>
        <v>Adjusted WA Energy Expenditures</v>
      </c>
    </row>
    <row r="38" spans="2:4" s="408" customFormat="1" ht="12.9" customHeight="1">
      <c r="B38" s="244" t="s">
        <v>14</v>
      </c>
      <c r="C38" s="420" t="str">
        <f t="shared" ca="1" si="0"/>
        <v>Carbon Tax Revenue</v>
      </c>
    </row>
    <row r="39" spans="2:4" s="408" customFormat="1" ht="12.9" customHeight="1">
      <c r="B39" s="244" t="s">
        <v>429</v>
      </c>
      <c r="C39" s="420" t="str">
        <f ca="1">INDIRECT("'"&amp;B39&amp;"'!B1")</f>
        <v>Conversion factors for physical units</v>
      </c>
    </row>
    <row r="40" spans="2:4" s="408" customFormat="1" ht="12.9" customHeight="1">
      <c r="B40" s="244" t="s">
        <v>1374</v>
      </c>
      <c r="C40" s="420" t="str">
        <f t="shared" ca="1" si="0"/>
        <v>Sources</v>
      </c>
    </row>
    <row r="41" spans="2:4" s="408" customFormat="1" ht="12.9" customHeight="1">
      <c r="B41" s="244" t="s">
        <v>1375</v>
      </c>
      <c r="C41" s="420" t="str">
        <f t="shared" ca="1" si="0"/>
        <v>Version History</v>
      </c>
    </row>
    <row r="42" spans="2:4" s="408" customFormat="1" ht="12.9" customHeight="1">
      <c r="B42" s="244" t="s">
        <v>932</v>
      </c>
      <c r="C42" s="420" t="str">
        <f ca="1">INDIRECT("'"&amp;B42&amp;"'!B1")</f>
        <v>Lookup Tables for Spreadsheet Automation</v>
      </c>
    </row>
    <row r="43" spans="2:4" s="40" customFormat="1" ht="12.9" customHeight="1"/>
    <row r="44" spans="2:4" s="228" customFormat="1" ht="12.9" customHeight="1">
      <c r="B44" s="239" t="s">
        <v>887</v>
      </c>
      <c r="C44" s="240"/>
      <c r="D44" s="241"/>
    </row>
    <row r="45" spans="2:4" s="228" customFormat="1" ht="12.9" customHeight="1">
      <c r="B45" s="242" t="s">
        <v>888</v>
      </c>
      <c r="C45" s="242" t="s">
        <v>889</v>
      </c>
      <c r="D45" s="242" t="s">
        <v>431</v>
      </c>
    </row>
    <row r="46" spans="2:4" s="40" customFormat="1" ht="26.15" customHeight="1">
      <c r="B46" s="236" t="s">
        <v>92</v>
      </c>
      <c r="C46" s="90" t="s">
        <v>890</v>
      </c>
      <c r="D46" s="90"/>
    </row>
    <row r="47" spans="2:4" s="40" customFormat="1" ht="3.9" customHeight="1"/>
    <row r="48" spans="2:4" s="40" customFormat="1" ht="12">
      <c r="B48" s="242" t="s">
        <v>891</v>
      </c>
      <c r="C48" s="40" t="s">
        <v>892</v>
      </c>
    </row>
    <row r="49" spans="2:4" s="40" customFormat="1" ht="3.9" customHeight="1"/>
    <row r="50" spans="2:4" s="40" customFormat="1" ht="12">
      <c r="B50" s="232" t="s">
        <v>893</v>
      </c>
      <c r="C50" s="1" t="s">
        <v>894</v>
      </c>
    </row>
    <row r="51" spans="2:4" s="40" customFormat="1" ht="3.9" customHeight="1"/>
    <row r="52" spans="2:4" s="40" customFormat="1" ht="13">
      <c r="B52" s="238" t="s">
        <v>895</v>
      </c>
      <c r="C52" s="1" t="s">
        <v>896</v>
      </c>
    </row>
    <row r="53" spans="2:4" s="40" customFormat="1" ht="3.9" customHeight="1"/>
    <row r="54" spans="2:4" s="40" customFormat="1" ht="12.5">
      <c r="B54" s="231" t="s">
        <v>897</v>
      </c>
      <c r="C54" s="1" t="s">
        <v>898</v>
      </c>
    </row>
    <row r="55" spans="2:4" s="40" customFormat="1" ht="3.9" customHeight="1"/>
    <row r="56" spans="2:4" s="40" customFormat="1" ht="12">
      <c r="B56" s="228" t="s">
        <v>899</v>
      </c>
      <c r="C56" s="1" t="s">
        <v>900</v>
      </c>
    </row>
    <row r="57" spans="2:4" s="40" customFormat="1" ht="3.9" customHeight="1"/>
    <row r="58" spans="2:4" s="40" customFormat="1" ht="12">
      <c r="B58" s="230" t="s">
        <v>901</v>
      </c>
      <c r="C58" s="1" t="s">
        <v>902</v>
      </c>
      <c r="D58" s="40" t="s">
        <v>903</v>
      </c>
    </row>
    <row r="59" spans="2:4" s="40" customFormat="1" ht="3.9" customHeight="1"/>
    <row r="60" spans="2:4" s="40" customFormat="1" ht="12">
      <c r="B60" s="243" t="s">
        <v>904</v>
      </c>
      <c r="C60" s="1" t="s">
        <v>905</v>
      </c>
      <c r="D60" s="40" t="s">
        <v>906</v>
      </c>
    </row>
    <row r="61" spans="2:4" s="228" customFormat="1" ht="3.9" customHeight="1"/>
    <row r="62" spans="2:4" s="228" customFormat="1" ht="12">
      <c r="B62" s="248" t="s">
        <v>1207</v>
      </c>
      <c r="C62" s="178" t="s">
        <v>902</v>
      </c>
    </row>
    <row r="63" spans="2:4" s="228" customFormat="1" ht="3.9" customHeight="1"/>
    <row r="64" spans="2:4" s="228" customFormat="1" ht="12">
      <c r="B64" s="233" t="s">
        <v>1208</v>
      </c>
      <c r="C64" s="178" t="s">
        <v>1209</v>
      </c>
    </row>
    <row r="65" spans="1:4" s="40" customFormat="1" ht="3.9" customHeight="1"/>
    <row r="66" spans="1:4" s="40" customFormat="1" ht="12">
      <c r="B66" s="244" t="s">
        <v>907</v>
      </c>
      <c r="C66" s="1" t="s">
        <v>907</v>
      </c>
    </row>
    <row r="67" spans="1:4" s="40" customFormat="1" ht="3.9" customHeight="1"/>
    <row r="68" spans="1:4" s="40" customFormat="1" ht="12">
      <c r="B68" s="245" t="s">
        <v>1201</v>
      </c>
      <c r="C68" s="40" t="s">
        <v>1205</v>
      </c>
    </row>
    <row r="69" spans="1:4" s="228" customFormat="1" ht="3.9" customHeight="1"/>
    <row r="70" spans="1:4" s="228" customFormat="1" ht="12">
      <c r="B70" s="246" t="s">
        <v>908</v>
      </c>
      <c r="C70" s="178" t="s">
        <v>909</v>
      </c>
      <c r="D70" s="228" t="s">
        <v>910</v>
      </c>
    </row>
    <row r="71" spans="1:4" s="228" customFormat="1" ht="3.9" customHeight="1"/>
    <row r="72" spans="1:4" s="228" customFormat="1" ht="12">
      <c r="B72" s="234" t="s">
        <v>430</v>
      </c>
      <c r="C72" s="178" t="s">
        <v>430</v>
      </c>
      <c r="D72" s="228" t="s">
        <v>1202</v>
      </c>
    </row>
    <row r="73" spans="1:4" s="228" customFormat="1" ht="3.9" customHeight="1"/>
    <row r="74" spans="1:4" s="228" customFormat="1" ht="12">
      <c r="B74" s="247" t="s">
        <v>1203</v>
      </c>
      <c r="C74" s="178" t="s">
        <v>1204</v>
      </c>
    </row>
    <row r="75" spans="1:4" s="228" customFormat="1" ht="3.9" customHeight="1"/>
    <row r="76" spans="1:4" s="228" customFormat="1" ht="12">
      <c r="B76" s="249" t="s">
        <v>1210</v>
      </c>
      <c r="C76" s="178" t="s">
        <v>1211</v>
      </c>
    </row>
    <row r="77" spans="1:4" s="40" customFormat="1" ht="3.9" customHeight="1"/>
    <row r="78" spans="1:4" s="40" customFormat="1" ht="12">
      <c r="B78" s="235" t="s">
        <v>1206</v>
      </c>
      <c r="C78" s="1"/>
    </row>
    <row r="79" spans="1:4" s="40" customFormat="1" ht="12.9" customHeight="1"/>
    <row r="80" spans="1:4" s="24" customFormat="1" ht="12.9" customHeight="1">
      <c r="A80"/>
      <c r="B80" s="548" t="s">
        <v>306</v>
      </c>
      <c r="C80" s="548"/>
      <c r="D80" s="548"/>
    </row>
    <row r="81" spans="1:15" s="24" customFormat="1" ht="12.9" customHeight="1">
      <c r="A81"/>
      <c r="B81" s="545"/>
      <c r="C81" s="545"/>
      <c r="D81" s="545"/>
    </row>
    <row r="82" spans="1:15" s="24" customFormat="1" ht="13">
      <c r="A82"/>
      <c r="B82" s="546" t="s">
        <v>938</v>
      </c>
      <c r="C82" s="546"/>
      <c r="D82" s="546"/>
      <c r="E82" s="26"/>
      <c r="F82" s="26"/>
      <c r="G82" s="26"/>
      <c r="H82" s="26"/>
      <c r="I82" s="26"/>
      <c r="J82" s="26"/>
      <c r="K82" s="26"/>
      <c r="L82" s="26"/>
      <c r="M82" s="26"/>
      <c r="N82" s="26"/>
      <c r="O82" s="26"/>
    </row>
    <row r="83" spans="1:15" s="24" customFormat="1" ht="12">
      <c r="A83"/>
      <c r="B83" s="547" t="s">
        <v>1003</v>
      </c>
      <c r="C83" s="547"/>
      <c r="D83" s="547"/>
      <c r="E83" s="23"/>
      <c r="F83" s="23"/>
      <c r="G83" s="23"/>
      <c r="H83" s="23"/>
      <c r="I83" s="23"/>
      <c r="J83" s="23"/>
      <c r="K83" s="23"/>
      <c r="L83" s="23"/>
      <c r="M83" s="23"/>
      <c r="N83" s="23"/>
      <c r="O83" s="23"/>
    </row>
    <row r="84" spans="1:15" s="120" customFormat="1" ht="12">
      <c r="B84" s="544" t="s">
        <v>936</v>
      </c>
      <c r="C84" s="544"/>
      <c r="D84" s="544"/>
      <c r="E84" s="38"/>
      <c r="F84" s="38"/>
      <c r="G84" s="38"/>
      <c r="H84" s="38"/>
      <c r="I84" s="38"/>
      <c r="J84" s="38"/>
      <c r="K84" s="38"/>
      <c r="L84" s="38"/>
      <c r="M84" s="38"/>
      <c r="N84" s="38"/>
      <c r="O84" s="38"/>
    </row>
    <row r="85" spans="1:15" s="23" customFormat="1" ht="12">
      <c r="A85"/>
      <c r="B85" s="547" t="s">
        <v>1080</v>
      </c>
      <c r="C85" s="547"/>
      <c r="D85" s="547"/>
      <c r="E85" s="25"/>
      <c r="F85" s="25"/>
      <c r="G85" s="25"/>
      <c r="H85" s="25"/>
      <c r="I85" s="25"/>
      <c r="J85" s="25"/>
      <c r="K85" s="25"/>
      <c r="L85" s="25"/>
    </row>
    <row r="86" spans="1:15" s="24" customFormat="1" ht="12">
      <c r="A86"/>
      <c r="B86" s="545"/>
      <c r="C86" s="545"/>
      <c r="D86" s="545"/>
      <c r="E86" s="26"/>
      <c r="F86" s="26"/>
      <c r="G86" s="26"/>
      <c r="H86" s="26"/>
      <c r="I86" s="26"/>
      <c r="J86" s="26"/>
      <c r="K86" s="26"/>
      <c r="L86" s="26"/>
      <c r="M86" s="26"/>
      <c r="N86" s="26"/>
      <c r="O86" s="26"/>
    </row>
    <row r="87" spans="1:15" s="24" customFormat="1" ht="13">
      <c r="A87"/>
      <c r="B87" s="546" t="s">
        <v>123</v>
      </c>
      <c r="C87" s="546"/>
      <c r="D87" s="546"/>
      <c r="E87" s="26"/>
      <c r="F87" s="26"/>
      <c r="G87" s="26"/>
      <c r="H87" s="26"/>
      <c r="I87" s="26"/>
      <c r="J87" s="26"/>
      <c r="K87" s="26"/>
      <c r="L87" s="26"/>
      <c r="M87" s="26"/>
      <c r="N87" s="26"/>
      <c r="O87" s="26"/>
    </row>
    <row r="88" spans="1:15" s="24" customFormat="1" ht="12">
      <c r="A88"/>
      <c r="B88" s="547" t="s">
        <v>190</v>
      </c>
      <c r="C88" s="547"/>
      <c r="D88" s="547"/>
      <c r="E88" s="23"/>
      <c r="F88" s="23"/>
      <c r="G88" s="23"/>
      <c r="H88" s="23"/>
      <c r="I88" s="23"/>
      <c r="J88" s="23"/>
      <c r="K88" s="23"/>
      <c r="L88" s="23"/>
      <c r="M88" s="23"/>
      <c r="N88" s="23"/>
      <c r="O88" s="23"/>
    </row>
    <row r="89" spans="1:15" s="24" customFormat="1" ht="12">
      <c r="A89"/>
      <c r="B89" s="547" t="s">
        <v>315</v>
      </c>
      <c r="C89" s="547"/>
      <c r="D89" s="547"/>
      <c r="E89" s="23"/>
      <c r="F89" s="23"/>
      <c r="G89" s="23"/>
      <c r="H89" s="23"/>
      <c r="I89" s="23"/>
      <c r="J89" s="23"/>
      <c r="K89" s="23"/>
      <c r="L89" s="23"/>
      <c r="M89" s="23"/>
      <c r="N89" s="23"/>
      <c r="O89" s="23"/>
    </row>
    <row r="90" spans="1:15" s="24" customFormat="1" ht="12">
      <c r="A90"/>
      <c r="B90" s="547" t="s">
        <v>207</v>
      </c>
      <c r="C90" s="547"/>
      <c r="D90" s="547"/>
      <c r="E90" s="23"/>
      <c r="F90" s="23"/>
      <c r="G90" s="23"/>
      <c r="H90" s="23"/>
      <c r="I90" s="23"/>
      <c r="J90" s="23"/>
      <c r="K90" s="23"/>
      <c r="L90" s="23"/>
      <c r="M90" s="23"/>
      <c r="N90" s="23"/>
      <c r="O90" s="23"/>
    </row>
    <row r="91" spans="1:15" s="24" customFormat="1" ht="12">
      <c r="A91"/>
      <c r="B91" s="547" t="s">
        <v>206</v>
      </c>
      <c r="C91" s="547"/>
      <c r="D91" s="547"/>
      <c r="E91" s="23"/>
      <c r="F91" s="23"/>
      <c r="G91" s="23"/>
      <c r="H91" s="23"/>
      <c r="I91" s="23"/>
      <c r="J91" s="23"/>
      <c r="K91" s="23"/>
      <c r="L91" s="23"/>
      <c r="M91" s="23"/>
      <c r="N91" s="23"/>
      <c r="O91" s="23"/>
    </row>
    <row r="92" spans="1:15" s="24" customFormat="1" ht="12">
      <c r="A92"/>
      <c r="B92" s="547" t="s">
        <v>317</v>
      </c>
      <c r="C92" s="547"/>
      <c r="D92" s="547"/>
      <c r="E92" s="23"/>
      <c r="F92" s="23"/>
      <c r="G92" s="23"/>
      <c r="H92" s="23"/>
      <c r="I92" s="23"/>
      <c r="J92" s="23"/>
      <c r="K92" s="23"/>
      <c r="L92" s="23"/>
      <c r="M92" s="23"/>
      <c r="N92" s="23"/>
      <c r="O92" s="23"/>
    </row>
    <row r="93" spans="1:15" s="24" customFormat="1" ht="12">
      <c r="A93"/>
      <c r="B93" s="547" t="s">
        <v>192</v>
      </c>
      <c r="C93" s="547"/>
      <c r="D93" s="547"/>
      <c r="E93" s="23"/>
      <c r="F93" s="23"/>
      <c r="G93" s="23"/>
      <c r="H93" s="23"/>
      <c r="I93" s="23"/>
      <c r="J93" s="23"/>
      <c r="K93" s="23"/>
      <c r="L93" s="23"/>
      <c r="M93" s="23"/>
      <c r="N93" s="23"/>
      <c r="O93" s="23"/>
    </row>
    <row r="94" spans="1:15" s="24" customFormat="1" ht="12">
      <c r="A94"/>
      <c r="B94" s="547" t="s">
        <v>937</v>
      </c>
      <c r="C94" s="547"/>
      <c r="D94" s="547"/>
      <c r="E94" s="23"/>
      <c r="F94" s="23"/>
      <c r="G94" s="23"/>
      <c r="H94" s="23"/>
      <c r="I94" s="23"/>
      <c r="J94" s="23"/>
      <c r="K94" s="23"/>
      <c r="L94" s="23"/>
      <c r="M94" s="23"/>
      <c r="N94" s="23"/>
      <c r="O94" s="23"/>
    </row>
    <row r="95" spans="1:15" s="24" customFormat="1" ht="12">
      <c r="A95"/>
      <c r="B95" s="545"/>
      <c r="C95" s="545"/>
      <c r="D95" s="545"/>
      <c r="E95" s="26"/>
      <c r="F95" s="26"/>
      <c r="G95" s="26"/>
      <c r="H95" s="26"/>
      <c r="I95" s="26"/>
      <c r="J95" s="26"/>
      <c r="K95" s="26"/>
      <c r="L95" s="26"/>
      <c r="M95" s="26"/>
      <c r="N95" s="26"/>
      <c r="O95" s="26"/>
    </row>
    <row r="96" spans="1:15" s="24" customFormat="1" ht="13">
      <c r="A96"/>
      <c r="B96" s="546" t="s">
        <v>8</v>
      </c>
      <c r="C96" s="546"/>
      <c r="D96" s="546"/>
      <c r="E96" s="26"/>
      <c r="F96" s="26"/>
      <c r="G96" s="26"/>
      <c r="H96" s="26"/>
      <c r="I96" s="26"/>
      <c r="J96" s="26"/>
      <c r="K96" s="26"/>
      <c r="L96" s="26"/>
      <c r="M96" s="26"/>
      <c r="N96" s="26"/>
      <c r="O96" s="26"/>
    </row>
    <row r="97" spans="1:15" s="24" customFormat="1" ht="147.9" customHeight="1">
      <c r="A97"/>
      <c r="B97" s="551" t="s">
        <v>1267</v>
      </c>
      <c r="C97" s="551"/>
      <c r="D97" s="551"/>
      <c r="E97" s="23"/>
      <c r="F97" s="23"/>
      <c r="G97" s="23"/>
      <c r="H97" s="23"/>
      <c r="I97" s="23"/>
      <c r="J97" s="23"/>
      <c r="K97" s="23"/>
      <c r="L97" s="23"/>
      <c r="M97" s="26"/>
      <c r="N97" s="26"/>
      <c r="O97" s="26"/>
    </row>
    <row r="98" spans="1:15" s="377" customFormat="1" ht="12">
      <c r="B98" s="378"/>
      <c r="C98" s="378"/>
      <c r="D98" s="378"/>
      <c r="E98" s="50"/>
      <c r="F98" s="50"/>
      <c r="G98" s="50"/>
      <c r="H98" s="50"/>
      <c r="I98" s="50"/>
      <c r="J98" s="50"/>
      <c r="K98" s="50"/>
      <c r="L98" s="50"/>
      <c r="M98" s="39"/>
      <c r="N98" s="39"/>
      <c r="O98" s="39"/>
    </row>
    <row r="99" spans="1:15" s="24" customFormat="1" ht="13">
      <c r="A99"/>
      <c r="B99" s="546" t="s">
        <v>197</v>
      </c>
      <c r="C99" s="546"/>
      <c r="D99" s="546"/>
      <c r="E99" s="26"/>
      <c r="F99" s="26"/>
      <c r="G99" s="26"/>
      <c r="H99" s="26"/>
      <c r="I99" s="26"/>
      <c r="J99" s="26"/>
      <c r="K99" s="26"/>
      <c r="L99" s="26"/>
      <c r="M99" s="26"/>
      <c r="N99" s="26"/>
      <c r="O99" s="26"/>
    </row>
    <row r="100" spans="1:15" s="24" customFormat="1" ht="12">
      <c r="A100"/>
      <c r="B100" s="545" t="s">
        <v>939</v>
      </c>
      <c r="C100" s="545"/>
      <c r="D100" s="545"/>
      <c r="E100" s="26"/>
      <c r="F100" s="26"/>
      <c r="G100" s="26"/>
      <c r="H100" s="26"/>
      <c r="I100" s="26"/>
      <c r="J100" s="26"/>
      <c r="K100" s="26"/>
      <c r="L100" s="26"/>
      <c r="M100" s="26"/>
      <c r="N100" s="26"/>
      <c r="O100" s="26"/>
    </row>
    <row r="101" spans="1:15" s="24" customFormat="1" ht="12">
      <c r="A101"/>
      <c r="B101" s="545" t="s">
        <v>193</v>
      </c>
      <c r="C101" s="545"/>
      <c r="D101" s="545"/>
      <c r="E101" s="26"/>
      <c r="F101" s="26"/>
      <c r="G101" s="26"/>
      <c r="H101" s="26"/>
      <c r="I101" s="26"/>
      <c r="J101" s="26"/>
      <c r="K101" s="26"/>
      <c r="L101" s="26"/>
      <c r="M101" s="26"/>
      <c r="N101" s="26"/>
      <c r="O101" s="26"/>
    </row>
    <row r="102" spans="1:15" s="24" customFormat="1" ht="26.15" customHeight="1">
      <c r="A102"/>
      <c r="B102" s="547" t="s">
        <v>191</v>
      </c>
      <c r="C102" s="547"/>
      <c r="D102" s="547"/>
      <c r="E102" s="23"/>
      <c r="F102" s="23"/>
      <c r="G102" s="23"/>
      <c r="H102" s="23"/>
      <c r="I102" s="23"/>
      <c r="J102" s="23"/>
      <c r="K102" s="23"/>
      <c r="L102" s="23"/>
      <c r="M102" s="26"/>
      <c r="N102" s="26"/>
      <c r="O102" s="26"/>
    </row>
    <row r="103" spans="1:15" s="24" customFormat="1" ht="12">
      <c r="A103"/>
      <c r="B103" s="545"/>
      <c r="C103" s="545"/>
      <c r="D103" s="545"/>
      <c r="E103" s="26"/>
      <c r="F103" s="26"/>
      <c r="G103" s="26"/>
      <c r="H103" s="26"/>
      <c r="I103" s="26"/>
      <c r="J103" s="26"/>
      <c r="K103" s="26"/>
      <c r="L103" s="26"/>
      <c r="M103" s="26"/>
      <c r="N103" s="26"/>
      <c r="O103" s="26"/>
    </row>
    <row r="104" spans="1:15" s="24" customFormat="1" ht="13">
      <c r="A104"/>
      <c r="B104" s="546" t="s">
        <v>14</v>
      </c>
      <c r="C104" s="546"/>
      <c r="D104" s="546"/>
      <c r="E104" s="26"/>
      <c r="F104" s="26"/>
      <c r="G104" s="26"/>
      <c r="H104" s="26"/>
      <c r="I104" s="26"/>
      <c r="J104" s="26"/>
      <c r="K104" s="26"/>
      <c r="L104" s="26"/>
      <c r="M104" s="26"/>
      <c r="N104" s="26"/>
      <c r="O104" s="26"/>
    </row>
    <row r="105" spans="1:15" s="24" customFormat="1" ht="12">
      <c r="A105"/>
      <c r="B105" s="545" t="s">
        <v>128</v>
      </c>
      <c r="C105" s="545"/>
      <c r="D105" s="545"/>
      <c r="E105" s="26"/>
      <c r="F105" s="26"/>
      <c r="G105" s="26"/>
      <c r="H105" s="26"/>
      <c r="I105" s="26"/>
      <c r="J105" s="26"/>
      <c r="K105" s="26"/>
      <c r="L105" s="26"/>
      <c r="M105" s="26"/>
      <c r="N105" s="26"/>
      <c r="O105" s="26"/>
    </row>
    <row r="106" spans="1:15" s="24" customFormat="1" ht="12">
      <c r="A106"/>
      <c r="B106" s="545" t="s">
        <v>195</v>
      </c>
      <c r="C106" s="545"/>
      <c r="D106" s="545"/>
      <c r="E106" s="26"/>
      <c r="F106" s="26"/>
      <c r="G106" s="26"/>
      <c r="H106" s="26"/>
      <c r="I106" s="26"/>
      <c r="J106" s="26"/>
      <c r="K106" s="26"/>
      <c r="L106" s="26"/>
      <c r="M106" s="26"/>
      <c r="N106" s="26"/>
      <c r="O106" s="26"/>
    </row>
    <row r="107" spans="1:15" ht="12">
      <c r="B107" s="549"/>
      <c r="C107" s="549"/>
      <c r="D107" s="549"/>
    </row>
    <row r="108" spans="1:15" ht="12.5">
      <c r="B108" s="546" t="s">
        <v>339</v>
      </c>
      <c r="C108" s="546"/>
      <c r="D108" s="546"/>
    </row>
    <row r="109" spans="1:15" ht="12">
      <c r="B109" s="550" t="s">
        <v>1081</v>
      </c>
      <c r="C109" s="550"/>
      <c r="D109" s="550"/>
    </row>
    <row r="110" spans="1:15" ht="12">
      <c r="B110"/>
    </row>
    <row r="111" spans="1:15" ht="12.9" customHeight="1">
      <c r="B111"/>
    </row>
    <row r="112" spans="1:15" ht="12.9" customHeight="1">
      <c r="B112"/>
    </row>
    <row r="113" spans="2:2" ht="12.9" customHeight="1">
      <c r="B113"/>
    </row>
    <row r="114" spans="2:2" ht="12.9" customHeight="1">
      <c r="B114"/>
    </row>
    <row r="115" spans="2:2" ht="12.9" customHeight="1">
      <c r="B115"/>
    </row>
    <row r="116" spans="2:2" ht="12.9" customHeight="1">
      <c r="B116"/>
    </row>
    <row r="117" spans="2:2" ht="12.9" customHeight="1">
      <c r="B117"/>
    </row>
    <row r="118" spans="2:2" ht="12.9" customHeight="1">
      <c r="B118"/>
    </row>
    <row r="119" spans="2:2" ht="12.9" customHeight="1">
      <c r="B119"/>
    </row>
    <row r="120" spans="2:2" ht="12.9" customHeight="1">
      <c r="B120"/>
    </row>
    <row r="121" spans="2:2" ht="12.9" customHeight="1">
      <c r="B121"/>
    </row>
    <row r="122" spans="2:2" ht="12.9" customHeight="1">
      <c r="B122"/>
    </row>
    <row r="123" spans="2:2" ht="12.9" customHeight="1">
      <c r="B123"/>
    </row>
    <row r="124" spans="2:2" ht="12.9" customHeight="1">
      <c r="B124"/>
    </row>
    <row r="125" spans="2:2" ht="12.9" customHeight="1">
      <c r="B125"/>
    </row>
    <row r="126" spans="2:2" ht="12.9" customHeight="1">
      <c r="B126"/>
    </row>
    <row r="127" spans="2:2" ht="12.9" customHeight="1">
      <c r="B127"/>
    </row>
    <row r="128" spans="2:2" ht="12.9" customHeight="1">
      <c r="B128"/>
    </row>
    <row r="129" spans="2:2" ht="12.9" customHeight="1">
      <c r="B129"/>
    </row>
    <row r="130" spans="2:2" ht="12.9" customHeight="1">
      <c r="B130"/>
    </row>
    <row r="131" spans="2:2" ht="12.9" customHeight="1">
      <c r="B131"/>
    </row>
    <row r="132" spans="2:2" ht="12.9" customHeight="1">
      <c r="B132"/>
    </row>
    <row r="133" spans="2:2" ht="12.9" customHeight="1">
      <c r="B133"/>
    </row>
    <row r="134" spans="2:2" ht="12.9" customHeight="1">
      <c r="B134"/>
    </row>
    <row r="135" spans="2:2" ht="12.9" customHeight="1">
      <c r="B135"/>
    </row>
    <row r="136" spans="2:2" ht="12.9" customHeight="1">
      <c r="B136"/>
    </row>
    <row r="137" spans="2:2" ht="12.9" customHeight="1">
      <c r="B137"/>
    </row>
  </sheetData>
  <mergeCells count="32">
    <mergeCell ref="B109:D109"/>
    <mergeCell ref="B102:D102"/>
    <mergeCell ref="B85:D85"/>
    <mergeCell ref="B95:D95"/>
    <mergeCell ref="B96:D96"/>
    <mergeCell ref="B97:D97"/>
    <mergeCell ref="B99:D99"/>
    <mergeCell ref="B100:D100"/>
    <mergeCell ref="B101:D101"/>
    <mergeCell ref="B94:D94"/>
    <mergeCell ref="B86:D86"/>
    <mergeCell ref="B87:D87"/>
    <mergeCell ref="B88:D88"/>
    <mergeCell ref="B89:D89"/>
    <mergeCell ref="B90:D90"/>
    <mergeCell ref="B91:D91"/>
    <mergeCell ref="B104:D104"/>
    <mergeCell ref="B105:D105"/>
    <mergeCell ref="B106:D106"/>
    <mergeCell ref="B107:D107"/>
    <mergeCell ref="B108:D108"/>
    <mergeCell ref="B10:D10"/>
    <mergeCell ref="B12:C12"/>
    <mergeCell ref="B13:C13"/>
    <mergeCell ref="B84:D84"/>
    <mergeCell ref="B103:D103"/>
    <mergeCell ref="B82:D82"/>
    <mergeCell ref="B83:D83"/>
    <mergeCell ref="B92:D92"/>
    <mergeCell ref="B93:D93"/>
    <mergeCell ref="B81:D81"/>
    <mergeCell ref="B80:D80"/>
  </mergeCells>
  <hyperlinks>
    <hyperlink ref="B17" location="'dashboard'!A1" display="'dashboard'!A1"/>
    <hyperlink ref="B18" location="'annual tables'!A1" display="'annual tables'!A1"/>
    <hyperlink ref="B19" location="'quinquennial tables'!A1" display="'quinquennial tables'!A1"/>
    <hyperlink ref="B20" location="'parameters'!A1" display="'parameters'!A1"/>
    <hyperlink ref="B21" location="'elasticities'!A1" display="'elasticities'!A1"/>
    <hyperlink ref="B22" location="'ramps'!A1" display="'ramps'!A1"/>
    <hyperlink ref="B23" location="'price scenario A'!A1" display="'price scenario A'!A1"/>
    <hyperlink ref="B24" location="'price scenario B'!A1" display="'price scenario B'!A1"/>
    <hyperlink ref="B25" location="'price scenario C'!A1" display="'price scenario C'!A1"/>
    <hyperlink ref="B26" location="'consumption scenario A'!A1" display="'consumption scenario A'!A1"/>
    <hyperlink ref="B27" location="'consumption scenario B'!A1" display="'consumption scenario B'!A1"/>
    <hyperlink ref="B28" location="'consumption scenario C'!A1" display="'consumption scenario C'!A1"/>
    <hyperlink ref="B29" location="'Baseline Price'!A1" display="'Baseline Price'!A1"/>
    <hyperlink ref="B30" location="'Baseline Consumption'!A1" display="'Baseline Consumption'!A1"/>
    <hyperlink ref="B31" location="'Baseline Emissions'!A1" display="'Baseline Emissions'!A1"/>
    <hyperlink ref="B32" location="'Baseline expend'!A1" display="'Baseline expend'!A1"/>
    <hyperlink ref="B33" location="'Price Change'!A1" display="'Price Change'!A1"/>
    <hyperlink ref="B34" location="'Adjusted price'!A1" display="'Adjusted price'!A1"/>
    <hyperlink ref="B35" location="'Adjusted Consumption'!A1" display="'Adjusted Consumption'!A1"/>
    <hyperlink ref="B36" location="'Adjusted Emissions'!A1" display="'Adjusted Emissions'!A1"/>
    <hyperlink ref="B37" location="'Adjusted expend'!A1" display="'Adjusted expend'!A1"/>
    <hyperlink ref="B38" location="'Revenue'!A1" display="'Revenue'!A1"/>
    <hyperlink ref="B39" location="'units'!A1" display="'units'!A1"/>
    <hyperlink ref="B40" location="'cites'!A1" display="'cites'!A1"/>
    <hyperlink ref="B41" location="'log'!A1" display="'log'!A1"/>
    <hyperlink ref="B42" location="'lookup'!A1" display="'lookup'!A1"/>
  </hyperlinks>
  <pageMargins left="0.7" right="0.7" top="0.75" bottom="0.75" header="0.3" footer="0.3"/>
  <pageSetup scale="3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AV45"/>
  <sheetViews>
    <sheetView workbookViewId="0">
      <selection activeCell="B3" sqref="B3"/>
    </sheetView>
  </sheetViews>
  <sheetFormatPr defaultColWidth="9.33203125" defaultRowHeight="12"/>
  <cols>
    <col min="1" max="1" width="33.33203125" style="40" customWidth="1"/>
    <col min="2" max="37" width="8.88671875" style="40" customWidth="1"/>
    <col min="38" max="16384" width="9.33203125" style="40"/>
  </cols>
  <sheetData>
    <row r="1" spans="1:48" s="280" customFormat="1" ht="26.15" customHeight="1">
      <c r="A1" s="281" t="s">
        <v>419</v>
      </c>
      <c r="B1" s="295" t="s">
        <v>1216</v>
      </c>
    </row>
    <row r="2" spans="1:48" s="280" customFormat="1" ht="12.9" customHeight="1">
      <c r="A2" s="53" t="s">
        <v>414</v>
      </c>
      <c r="B2" s="41" t="s">
        <v>949</v>
      </c>
    </row>
    <row r="3" spans="1:48" s="280" customFormat="1" ht="12.9" customHeight="1">
      <c r="A3" s="53" t="s">
        <v>357</v>
      </c>
      <c r="B3" s="41" t="str">
        <f>'price scenario A'!B3</f>
        <v>2018 dollars per million Btu</v>
      </c>
      <c r="H3" s="178"/>
      <c r="J3"/>
      <c r="K3"/>
      <c r="L3"/>
      <c r="M3"/>
      <c r="N3"/>
      <c r="AV3" s="253" t="s">
        <v>1394</v>
      </c>
    </row>
    <row r="4" spans="1:48" s="280" customFormat="1" ht="12.9" customHeight="1">
      <c r="D4" s="280" t="s">
        <v>19</v>
      </c>
      <c r="E4" s="280" t="s">
        <v>19</v>
      </c>
      <c r="F4" s="280" t="s">
        <v>19</v>
      </c>
      <c r="J4"/>
      <c r="K4"/>
      <c r="L4"/>
      <c r="M4"/>
      <c r="N4"/>
      <c r="O4" s="280" t="s">
        <v>19</v>
      </c>
      <c r="P4" s="280" t="s">
        <v>19</v>
      </c>
      <c r="Q4" s="280" t="s">
        <v>19</v>
      </c>
      <c r="R4" s="280" t="s">
        <v>19</v>
      </c>
      <c r="S4" s="280" t="s">
        <v>19</v>
      </c>
      <c r="T4" s="280" t="s">
        <v>19</v>
      </c>
      <c r="U4" s="280" t="s">
        <v>19</v>
      </c>
      <c r="V4" s="280" t="s">
        <v>19</v>
      </c>
      <c r="W4" s="280" t="s">
        <v>19</v>
      </c>
      <c r="X4" s="280" t="s">
        <v>19</v>
      </c>
      <c r="Y4" s="280" t="s">
        <v>19</v>
      </c>
      <c r="Z4" s="280" t="s">
        <v>19</v>
      </c>
      <c r="AA4" s="280" t="s">
        <v>19</v>
      </c>
      <c r="AB4" s="280" t="s">
        <v>19</v>
      </c>
      <c r="AC4" s="280" t="s">
        <v>19</v>
      </c>
      <c r="AD4" s="280" t="s">
        <v>19</v>
      </c>
      <c r="AE4" s="280" t="s">
        <v>19</v>
      </c>
      <c r="AF4" s="280" t="s">
        <v>19</v>
      </c>
      <c r="AV4" s="471" t="s">
        <v>1217</v>
      </c>
    </row>
    <row r="5" spans="1:48" s="280" customFormat="1" ht="12.9" customHeight="1">
      <c r="A5" s="282" t="s">
        <v>20</v>
      </c>
      <c r="B5" s="282">
        <v>2005</v>
      </c>
      <c r="C5" s="282">
        <v>2006</v>
      </c>
      <c r="D5" s="282">
        <v>2007</v>
      </c>
      <c r="E5" s="282">
        <v>2008</v>
      </c>
      <c r="F5" s="282">
        <v>2009</v>
      </c>
      <c r="G5" s="282">
        <v>2010</v>
      </c>
      <c r="H5" s="282">
        <v>2011</v>
      </c>
      <c r="I5" s="282">
        <v>2012</v>
      </c>
      <c r="J5" s="282">
        <v>2013</v>
      </c>
      <c r="K5" s="282">
        <v>2014</v>
      </c>
      <c r="L5" s="282">
        <v>2015</v>
      </c>
      <c r="M5" s="282">
        <v>2016</v>
      </c>
      <c r="N5" s="282">
        <v>2017</v>
      </c>
      <c r="O5" s="282">
        <v>2018</v>
      </c>
      <c r="P5" s="282">
        <v>2019</v>
      </c>
      <c r="Q5" s="282">
        <v>2020</v>
      </c>
      <c r="R5" s="282">
        <v>2021</v>
      </c>
      <c r="S5" s="282">
        <v>2022</v>
      </c>
      <c r="T5" s="282">
        <v>2023</v>
      </c>
      <c r="U5" s="282">
        <v>2024</v>
      </c>
      <c r="V5" s="282">
        <v>2025</v>
      </c>
      <c r="W5" s="282">
        <v>2026</v>
      </c>
      <c r="X5" s="282">
        <v>2027</v>
      </c>
      <c r="Y5" s="282">
        <v>2028</v>
      </c>
      <c r="Z5" s="282">
        <v>2029</v>
      </c>
      <c r="AA5" s="282">
        <v>2030</v>
      </c>
      <c r="AB5" s="282">
        <v>2031</v>
      </c>
      <c r="AC5" s="282">
        <v>2032</v>
      </c>
      <c r="AD5" s="282">
        <v>2033</v>
      </c>
      <c r="AE5" s="282">
        <v>2034</v>
      </c>
      <c r="AF5" s="282">
        <v>2035</v>
      </c>
      <c r="AG5" s="282">
        <v>2036</v>
      </c>
      <c r="AH5" s="282">
        <v>2037</v>
      </c>
      <c r="AI5" s="282">
        <v>2038</v>
      </c>
      <c r="AJ5" s="282">
        <v>2039</v>
      </c>
      <c r="AK5" s="282">
        <v>2040</v>
      </c>
      <c r="AL5" s="282"/>
      <c r="AM5" s="282"/>
      <c r="AN5" s="282"/>
      <c r="AO5" s="282"/>
      <c r="AP5" s="282"/>
      <c r="AQ5" s="282"/>
      <c r="AR5" s="282"/>
      <c r="AS5" s="282"/>
      <c r="AT5" s="282"/>
      <c r="AU5" s="282"/>
      <c r="AV5" s="254" t="s">
        <v>1218</v>
      </c>
    </row>
    <row r="6" spans="1:48" s="280" customFormat="1" ht="12.9" customHeight="1">
      <c r="A6" s="280" t="s">
        <v>21</v>
      </c>
      <c r="H6" s="178"/>
      <c r="I6" s="142"/>
      <c r="K6" s="178"/>
      <c r="M6" s="178"/>
      <c r="N6" s="142"/>
      <c r="O6" s="142"/>
    </row>
    <row r="7" spans="1:48" s="280" customFormat="1" ht="12.9" customHeight="1">
      <c r="A7" s="280" t="s">
        <v>22</v>
      </c>
      <c r="B7" s="296">
        <v>26.051241846129606</v>
      </c>
      <c r="C7" s="296">
        <v>30.66863980999922</v>
      </c>
      <c r="D7" s="296">
        <v>33.494805329687082</v>
      </c>
      <c r="E7" s="296">
        <v>39.750843853397861</v>
      </c>
      <c r="F7" s="296">
        <v>33.68748039407636</v>
      </c>
      <c r="G7" s="296">
        <v>32.896204367100005</v>
      </c>
      <c r="H7" s="296">
        <v>26.402289025800002</v>
      </c>
      <c r="I7" s="296">
        <v>32.827971883030571</v>
      </c>
      <c r="J7" s="296">
        <v>31.825563371076825</v>
      </c>
      <c r="K7" s="296">
        <v>30.970272137119878</v>
      </c>
      <c r="L7" s="296">
        <v>21.634897387147461</v>
      </c>
      <c r="M7" s="296">
        <v>20.895941805744414</v>
      </c>
      <c r="N7" s="296">
        <v>21.403798256924993</v>
      </c>
      <c r="O7" s="296">
        <v>24.027849</v>
      </c>
      <c r="P7" s="296">
        <v>26.687760999999998</v>
      </c>
      <c r="Q7" s="296">
        <v>28.459735999999999</v>
      </c>
      <c r="R7" s="296">
        <v>29.776292999999999</v>
      </c>
      <c r="S7" s="296">
        <v>31.093789999999998</v>
      </c>
      <c r="T7" s="296">
        <v>32.165745000000001</v>
      </c>
      <c r="U7" s="296">
        <v>33.382641</v>
      </c>
      <c r="V7" s="296">
        <v>34.643070000000002</v>
      </c>
      <c r="W7" s="296">
        <v>35.576774999999998</v>
      </c>
      <c r="X7" s="296">
        <v>36.380248999999999</v>
      </c>
      <c r="Y7" s="296">
        <v>36.982075000000002</v>
      </c>
      <c r="Z7" s="296">
        <v>37.397880999999998</v>
      </c>
      <c r="AA7" s="296">
        <v>40.012562000000003</v>
      </c>
      <c r="AB7" s="296">
        <v>40.172885999999998</v>
      </c>
      <c r="AC7" s="296">
        <v>40.387858999999999</v>
      </c>
      <c r="AD7" s="296">
        <v>40.963538999999997</v>
      </c>
      <c r="AE7" s="296">
        <v>41.229351000000001</v>
      </c>
      <c r="AF7" s="296">
        <v>41.490470999999999</v>
      </c>
      <c r="AG7" s="296">
        <v>41.767586000000001</v>
      </c>
      <c r="AH7" s="296">
        <v>42.019703</v>
      </c>
      <c r="AI7" s="296">
        <v>42.205677000000001</v>
      </c>
      <c r="AJ7" s="296">
        <v>42.356064000000003</v>
      </c>
      <c r="AK7" s="296">
        <v>42.504947999999999</v>
      </c>
      <c r="AL7" s="296">
        <v>42.589900999999998</v>
      </c>
      <c r="AM7" s="296">
        <v>42.630229999999997</v>
      </c>
      <c r="AN7" s="296">
        <v>42.689003</v>
      </c>
      <c r="AO7" s="296">
        <v>42.784027000000002</v>
      </c>
      <c r="AP7" s="296">
        <v>42.843414000000003</v>
      </c>
      <c r="AQ7" s="296">
        <v>42.870514</v>
      </c>
      <c r="AR7" s="296">
        <v>42.869498999999998</v>
      </c>
      <c r="AS7" s="296">
        <v>42.838633999999999</v>
      </c>
      <c r="AT7" s="296">
        <v>42.757080000000002</v>
      </c>
      <c r="AU7" s="296">
        <v>42.636780000000002</v>
      </c>
      <c r="AV7" s="297">
        <v>2.420229516799444E-2</v>
      </c>
    </row>
    <row r="8" spans="1:48" s="280" customFormat="1" ht="12.9" customHeight="1">
      <c r="A8" s="280" t="s">
        <v>23</v>
      </c>
      <c r="B8" s="296">
        <v>20.654778534439036</v>
      </c>
      <c r="C8" s="296">
        <v>21.813877535660978</v>
      </c>
      <c r="D8" s="296">
        <v>26.118203975052712</v>
      </c>
      <c r="E8" s="296">
        <v>28.360250296964857</v>
      </c>
      <c r="F8" s="296">
        <v>20.84400916446355</v>
      </c>
      <c r="G8" s="296">
        <v>23.640661560000002</v>
      </c>
      <c r="H8" s="296">
        <v>28.773628173599999</v>
      </c>
      <c r="I8" s="296">
        <v>33.762666430365009</v>
      </c>
      <c r="J8" s="296">
        <v>33.676814796651236</v>
      </c>
      <c r="K8" s="296">
        <v>32.484117417178155</v>
      </c>
      <c r="L8" s="296">
        <v>21.74043992991864</v>
      </c>
      <c r="M8" s="296">
        <v>16.891901336801794</v>
      </c>
      <c r="N8" s="296">
        <v>19.137224993199993</v>
      </c>
      <c r="O8" s="296">
        <v>21.857793999999998</v>
      </c>
      <c r="P8" s="296">
        <v>22.31682</v>
      </c>
      <c r="Q8" s="296">
        <v>23.032187</v>
      </c>
      <c r="R8" s="296">
        <v>22.967587999999999</v>
      </c>
      <c r="S8" s="296">
        <v>23.393098999999999</v>
      </c>
      <c r="T8" s="296">
        <v>23.868670000000002</v>
      </c>
      <c r="U8" s="296">
        <v>24.806650000000001</v>
      </c>
      <c r="V8" s="296">
        <v>25.166298000000001</v>
      </c>
      <c r="W8" s="296">
        <v>25.341103</v>
      </c>
      <c r="X8" s="296">
        <v>25.976541999999998</v>
      </c>
      <c r="Y8" s="296">
        <v>26.173237</v>
      </c>
      <c r="Z8" s="296">
        <v>26.580666000000001</v>
      </c>
      <c r="AA8" s="296">
        <v>26.873408999999999</v>
      </c>
      <c r="AB8" s="296">
        <v>27.066369999999999</v>
      </c>
      <c r="AC8" s="296">
        <v>27.355101000000001</v>
      </c>
      <c r="AD8" s="296">
        <v>27.675246999999999</v>
      </c>
      <c r="AE8" s="296">
        <v>27.598143</v>
      </c>
      <c r="AF8" s="296">
        <v>27.797536999999998</v>
      </c>
      <c r="AG8" s="296">
        <v>28.198391000000001</v>
      </c>
      <c r="AH8" s="296">
        <v>28.145578</v>
      </c>
      <c r="AI8" s="296">
        <v>28.286261</v>
      </c>
      <c r="AJ8" s="296">
        <v>28.437925</v>
      </c>
      <c r="AK8" s="296">
        <v>28.556328000000001</v>
      </c>
      <c r="AL8" s="296">
        <v>28.651001000000001</v>
      </c>
      <c r="AM8" s="296">
        <v>28.879418999999999</v>
      </c>
      <c r="AN8" s="296">
        <v>28.914072000000001</v>
      </c>
      <c r="AO8" s="296">
        <v>28.844137</v>
      </c>
      <c r="AP8" s="296">
        <v>28.877818999999999</v>
      </c>
      <c r="AQ8" s="296">
        <v>28.891072999999999</v>
      </c>
      <c r="AR8" s="296">
        <v>28.903949999999998</v>
      </c>
      <c r="AS8" s="296">
        <v>28.885134000000001</v>
      </c>
      <c r="AT8" s="296">
        <v>28.867211999999999</v>
      </c>
      <c r="AU8" s="296">
        <v>28.835016</v>
      </c>
      <c r="AV8" s="297">
        <v>9.9753061768264473E-3</v>
      </c>
    </row>
    <row r="9" spans="1:48" s="280" customFormat="1" ht="12.9" customHeight="1">
      <c r="A9" s="280" t="s">
        <v>24</v>
      </c>
      <c r="B9" s="296">
        <v>14.064256366483393</v>
      </c>
      <c r="C9" s="296">
        <v>13.948068335222674</v>
      </c>
      <c r="D9" s="296">
        <v>13.786249584779203</v>
      </c>
      <c r="E9" s="296">
        <v>14.349725806705393</v>
      </c>
      <c r="F9" s="296">
        <v>13.021244137356957</v>
      </c>
      <c r="G9" s="296">
        <v>10.983029568600001</v>
      </c>
      <c r="H9" s="296">
        <v>10.777743023399999</v>
      </c>
      <c r="I9" s="296">
        <v>11.547649323472024</v>
      </c>
      <c r="J9" s="296">
        <v>11.940632153851961</v>
      </c>
      <c r="K9" s="296">
        <v>13.096351886482942</v>
      </c>
      <c r="L9" s="296">
        <v>13.012680876274734</v>
      </c>
      <c r="M9" s="296">
        <v>13.148625335831495</v>
      </c>
      <c r="N9" s="296">
        <v>12.858526045474997</v>
      </c>
      <c r="O9" s="296">
        <v>11.890116000000001</v>
      </c>
      <c r="P9" s="296">
        <v>12.163893</v>
      </c>
      <c r="Q9" s="296">
        <v>11.979126000000001</v>
      </c>
      <c r="R9" s="296">
        <v>11.648602</v>
      </c>
      <c r="S9" s="296">
        <v>11.370637</v>
      </c>
      <c r="T9" s="296">
        <v>11.164133</v>
      </c>
      <c r="U9" s="296">
        <v>11.002041999999999</v>
      </c>
      <c r="V9" s="296">
        <v>11.160446</v>
      </c>
      <c r="W9" s="296">
        <v>11.305167000000001</v>
      </c>
      <c r="X9" s="296">
        <v>11.354350999999999</v>
      </c>
      <c r="Y9" s="296">
        <v>11.434678</v>
      </c>
      <c r="Z9" s="296">
        <v>11.496312</v>
      </c>
      <c r="AA9" s="296">
        <v>13.671592</v>
      </c>
      <c r="AB9" s="296">
        <v>13.720634</v>
      </c>
      <c r="AC9" s="296">
        <v>13.822020999999999</v>
      </c>
      <c r="AD9" s="296">
        <v>14.205889000000001</v>
      </c>
      <c r="AE9" s="296">
        <v>14.267894</v>
      </c>
      <c r="AF9" s="296">
        <v>14.322677000000001</v>
      </c>
      <c r="AG9" s="296">
        <v>14.389856999999999</v>
      </c>
      <c r="AH9" s="296">
        <v>14.445831999999999</v>
      </c>
      <c r="AI9" s="296">
        <v>14.488348</v>
      </c>
      <c r="AJ9" s="296">
        <v>14.531682</v>
      </c>
      <c r="AK9" s="296">
        <v>14.582799</v>
      </c>
      <c r="AL9" s="296">
        <v>14.614585</v>
      </c>
      <c r="AM9" s="296">
        <v>14.631313</v>
      </c>
      <c r="AN9" s="296">
        <v>14.675465000000001</v>
      </c>
      <c r="AO9" s="296">
        <v>14.781738000000001</v>
      </c>
      <c r="AP9" s="296">
        <v>14.856571000000001</v>
      </c>
      <c r="AQ9" s="296">
        <v>14.926804000000001</v>
      </c>
      <c r="AR9" s="296">
        <v>15.026206999999999</v>
      </c>
      <c r="AS9" s="296">
        <v>15.134793</v>
      </c>
      <c r="AT9" s="296">
        <v>15.250316</v>
      </c>
      <c r="AU9" s="296">
        <v>15.369120000000001</v>
      </c>
      <c r="AV9" s="297">
        <v>9.1436345112192331E-3</v>
      </c>
    </row>
    <row r="10" spans="1:48" s="280" customFormat="1" ht="12.9" customHeight="1">
      <c r="A10" s="53" t="s">
        <v>8</v>
      </c>
      <c r="B10" s="296">
        <v>24.437607720489037</v>
      </c>
      <c r="C10" s="296">
        <v>26.748142607449822</v>
      </c>
      <c r="D10" s="296">
        <v>26.864904992864833</v>
      </c>
      <c r="E10" s="296">
        <v>25.673123481965842</v>
      </c>
      <c r="F10" s="296">
        <v>24.417329661592778</v>
      </c>
      <c r="G10" s="296">
        <v>24.222396268240214</v>
      </c>
      <c r="H10" s="296">
        <v>24.41365919630044</v>
      </c>
      <c r="I10" s="296">
        <v>29.051536867070627</v>
      </c>
      <c r="J10" s="296">
        <v>30.004501771281777</v>
      </c>
      <c r="K10" s="296">
        <v>29.681830952631</v>
      </c>
      <c r="L10" s="296">
        <v>29.824521245346872</v>
      </c>
      <c r="M10" s="296">
        <v>29.802576484005293</v>
      </c>
      <c r="N10" s="296">
        <v>29.337223507881514</v>
      </c>
      <c r="O10" s="296">
        <v>27.698577414588719</v>
      </c>
      <c r="P10" s="296">
        <v>27.726992217310574</v>
      </c>
      <c r="Q10" s="296">
        <v>26.709146943389893</v>
      </c>
      <c r="R10" s="296">
        <v>25.645215570949318</v>
      </c>
      <c r="S10" s="296">
        <v>26.314117031312197</v>
      </c>
      <c r="T10" s="296">
        <v>27.190749063957057</v>
      </c>
      <c r="U10" s="296">
        <v>27.617226976503062</v>
      </c>
      <c r="V10" s="296">
        <v>28.457987905823288</v>
      </c>
      <c r="W10" s="296">
        <v>29.664410014986959</v>
      </c>
      <c r="X10" s="296">
        <v>30.046584857418079</v>
      </c>
      <c r="Y10" s="296">
        <v>30.313526753685466</v>
      </c>
      <c r="Z10" s="296">
        <v>30.637805651497882</v>
      </c>
      <c r="AA10" s="296">
        <v>31.186259226819676</v>
      </c>
      <c r="AB10" s="296">
        <v>31.708008365225048</v>
      </c>
      <c r="AC10" s="296">
        <v>32.131996496901778</v>
      </c>
      <c r="AD10" s="296">
        <v>32.668118545922674</v>
      </c>
      <c r="AE10" s="296">
        <v>33.002734164310844</v>
      </c>
      <c r="AF10" s="296">
        <v>33.195925385150915</v>
      </c>
      <c r="AG10" s="296">
        <v>33.671680340119615</v>
      </c>
      <c r="AH10" s="296">
        <v>33.96280397689759</v>
      </c>
      <c r="AI10" s="296">
        <v>34.034031334871209</v>
      </c>
      <c r="AJ10" s="296">
        <v>34.184313116993415</v>
      </c>
      <c r="AK10" s="296">
        <v>34.27479668490286</v>
      </c>
      <c r="AL10" s="296">
        <v>34.326919368618398</v>
      </c>
      <c r="AM10" s="296">
        <v>34.463036291158069</v>
      </c>
      <c r="AN10" s="296">
        <v>34.583745016300199</v>
      </c>
      <c r="AO10" s="296">
        <v>34.762302486423707</v>
      </c>
      <c r="AP10" s="296">
        <v>34.949284470763153</v>
      </c>
      <c r="AQ10" s="296">
        <v>35.120647101432795</v>
      </c>
      <c r="AR10" s="296">
        <v>35.256650372214139</v>
      </c>
      <c r="AS10" s="296">
        <v>35.47879919160539</v>
      </c>
      <c r="AT10" s="296">
        <v>35.660342038790155</v>
      </c>
      <c r="AU10" s="296">
        <v>35.772149906008011</v>
      </c>
      <c r="AV10" s="297">
        <v>0</v>
      </c>
    </row>
    <row r="11" spans="1:48" s="280" customFormat="1" ht="12.9" customHeight="1">
      <c r="I11" s="466"/>
      <c r="J11" s="466"/>
      <c r="K11" s="178"/>
      <c r="L11" s="466"/>
      <c r="M11" s="178"/>
      <c r="N11" s="178"/>
      <c r="O11" s="178"/>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199"/>
    </row>
    <row r="12" spans="1:48" s="280" customFormat="1" ht="12.9" customHeight="1">
      <c r="A12" s="280" t="s">
        <v>77</v>
      </c>
      <c r="B12" s="178"/>
      <c r="I12" s="466"/>
      <c r="J12" s="466"/>
      <c r="K12" s="178"/>
      <c r="L12" s="466"/>
      <c r="M12" s="178"/>
      <c r="N12" s="178"/>
      <c r="O12" s="178"/>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199"/>
    </row>
    <row r="13" spans="1:48" s="280" customFormat="1" ht="12.9" customHeight="1">
      <c r="A13" s="280" t="s">
        <v>22</v>
      </c>
      <c r="B13" s="296">
        <v>22.273055432643208</v>
      </c>
      <c r="C13" s="296">
        <v>27.821644812554112</v>
      </c>
      <c r="D13" s="296">
        <v>27.880069095901991</v>
      </c>
      <c r="E13" s="296">
        <v>31.033551188957645</v>
      </c>
      <c r="F13" s="296">
        <v>23.517310056456335</v>
      </c>
      <c r="G13" s="296">
        <v>26.521402959300005</v>
      </c>
      <c r="H13" s="296">
        <v>23.188544743200001</v>
      </c>
      <c r="I13" s="296">
        <v>26.507598792581543</v>
      </c>
      <c r="J13" s="296">
        <v>25.322604411743573</v>
      </c>
      <c r="K13" s="296">
        <v>25.548612004249346</v>
      </c>
      <c r="L13" s="296">
        <v>18.214250867579299</v>
      </c>
      <c r="M13" s="296">
        <v>17.493409780397585</v>
      </c>
      <c r="N13" s="296">
        <v>17.897220544249993</v>
      </c>
      <c r="O13" s="296">
        <v>19.494102000000002</v>
      </c>
      <c r="P13" s="296">
        <v>20.436067999999999</v>
      </c>
      <c r="Q13" s="296">
        <v>20.623238000000001</v>
      </c>
      <c r="R13" s="296">
        <v>20.916771000000001</v>
      </c>
      <c r="S13" s="296">
        <v>21.525047000000001</v>
      </c>
      <c r="T13" s="296">
        <v>21.943166999999999</v>
      </c>
      <c r="U13" s="296">
        <v>22.635145000000001</v>
      </c>
      <c r="V13" s="296">
        <v>23.342421000000002</v>
      </c>
      <c r="W13" s="296">
        <v>23.673773000000001</v>
      </c>
      <c r="X13" s="296">
        <v>23.992954000000001</v>
      </c>
      <c r="Y13" s="296">
        <v>24.182966</v>
      </c>
      <c r="Z13" s="296">
        <v>24.279834999999999</v>
      </c>
      <c r="AA13" s="296">
        <v>26.271083999999998</v>
      </c>
      <c r="AB13" s="296">
        <v>26.289200000000001</v>
      </c>
      <c r="AC13" s="296">
        <v>26.414906999999999</v>
      </c>
      <c r="AD13" s="296">
        <v>26.838829</v>
      </c>
      <c r="AE13" s="296">
        <v>26.999275000000001</v>
      </c>
      <c r="AF13" s="296">
        <v>27.142527000000001</v>
      </c>
      <c r="AG13" s="296">
        <v>27.300858000000002</v>
      </c>
      <c r="AH13" s="296">
        <v>27.427565000000001</v>
      </c>
      <c r="AI13" s="296">
        <v>27.495241</v>
      </c>
      <c r="AJ13" s="296">
        <v>27.553045000000001</v>
      </c>
      <c r="AK13" s="296">
        <v>27.628506000000002</v>
      </c>
      <c r="AL13" s="296">
        <v>27.645021</v>
      </c>
      <c r="AM13" s="296">
        <v>27.642042</v>
      </c>
      <c r="AN13" s="296">
        <v>27.679970000000001</v>
      </c>
      <c r="AO13" s="296">
        <v>27.752797999999999</v>
      </c>
      <c r="AP13" s="296">
        <v>27.777163000000002</v>
      </c>
      <c r="AQ13" s="296">
        <v>27.778727</v>
      </c>
      <c r="AR13" s="296">
        <v>27.766335999999999</v>
      </c>
      <c r="AS13" s="296">
        <v>27.737428999999999</v>
      </c>
      <c r="AT13" s="296">
        <v>27.67164</v>
      </c>
      <c r="AU13" s="296">
        <v>27.589064</v>
      </c>
      <c r="AV13" s="297">
        <v>1.2976620441403248E-2</v>
      </c>
    </row>
    <row r="14" spans="1:48" s="280" customFormat="1" ht="12.9" customHeight="1">
      <c r="A14" s="280" t="s">
        <v>23</v>
      </c>
      <c r="B14" s="296">
        <v>18.336578255962607</v>
      </c>
      <c r="C14" s="296">
        <v>19.362665933700775</v>
      </c>
      <c r="D14" s="296">
        <v>21.16174832675086</v>
      </c>
      <c r="E14" s="296">
        <v>25.764433837219542</v>
      </c>
      <c r="F14" s="296">
        <v>18.926205218183977</v>
      </c>
      <c r="G14" s="296">
        <v>23.231780717700001</v>
      </c>
      <c r="H14" s="296">
        <v>28.271112897599998</v>
      </c>
      <c r="I14" s="296">
        <v>33.159286638489348</v>
      </c>
      <c r="J14" s="296">
        <v>33.073435004775575</v>
      </c>
      <c r="K14" s="296">
        <v>31.922558113485184</v>
      </c>
      <c r="L14" s="296">
        <v>20.081025704897051</v>
      </c>
      <c r="M14" s="296">
        <v>16.07795196826989</v>
      </c>
      <c r="N14" s="296">
        <v>20.675719302649995</v>
      </c>
      <c r="O14" s="296">
        <v>23.526834000000001</v>
      </c>
      <c r="P14" s="296">
        <v>23.901492999999999</v>
      </c>
      <c r="Q14" s="296">
        <v>23.606397999999999</v>
      </c>
      <c r="R14" s="296">
        <v>22.608221</v>
      </c>
      <c r="S14" s="296">
        <v>22.177782000000001</v>
      </c>
      <c r="T14" s="296">
        <v>21.776865000000001</v>
      </c>
      <c r="U14" s="296">
        <v>21.900569999999998</v>
      </c>
      <c r="V14" s="296">
        <v>22.435124999999999</v>
      </c>
      <c r="W14" s="296">
        <v>22.593941000000001</v>
      </c>
      <c r="X14" s="296">
        <v>23.233452</v>
      </c>
      <c r="Y14" s="296">
        <v>23.490091</v>
      </c>
      <c r="Z14" s="296">
        <v>23.893540999999999</v>
      </c>
      <c r="AA14" s="296">
        <v>26.296666999999999</v>
      </c>
      <c r="AB14" s="296">
        <v>26.506775000000001</v>
      </c>
      <c r="AC14" s="296">
        <v>26.782810000000001</v>
      </c>
      <c r="AD14" s="296">
        <v>27.394209</v>
      </c>
      <c r="AE14" s="296">
        <v>27.275261</v>
      </c>
      <c r="AF14" s="296">
        <v>27.469801</v>
      </c>
      <c r="AG14" s="296">
        <v>27.837114</v>
      </c>
      <c r="AH14" s="296">
        <v>27.781406</v>
      </c>
      <c r="AI14" s="296">
        <v>27.925936</v>
      </c>
      <c r="AJ14" s="296">
        <v>28.084484</v>
      </c>
      <c r="AK14" s="296">
        <v>28.199107999999999</v>
      </c>
      <c r="AL14" s="296">
        <v>28.296246</v>
      </c>
      <c r="AM14" s="296">
        <v>28.524284000000002</v>
      </c>
      <c r="AN14" s="296">
        <v>28.549963000000002</v>
      </c>
      <c r="AO14" s="296">
        <v>28.512632</v>
      </c>
      <c r="AP14" s="296">
        <v>28.530529000000001</v>
      </c>
      <c r="AQ14" s="296">
        <v>28.536245000000001</v>
      </c>
      <c r="AR14" s="296">
        <v>28.544865000000001</v>
      </c>
      <c r="AS14" s="296">
        <v>28.519085</v>
      </c>
      <c r="AT14" s="296">
        <v>28.483073999999998</v>
      </c>
      <c r="AU14" s="296">
        <v>28.512277999999998</v>
      </c>
      <c r="AV14" s="297">
        <v>6.622018287713507E-3</v>
      </c>
    </row>
    <row r="15" spans="1:48" s="280" customFormat="1" ht="12.9" customHeight="1">
      <c r="A15" s="280" t="s">
        <v>43</v>
      </c>
      <c r="B15" s="296">
        <v>12.921112351189148</v>
      </c>
      <c r="C15" s="296">
        <v>6.0615216361345912</v>
      </c>
      <c r="D15" s="296">
        <v>5.8083483068085409</v>
      </c>
      <c r="E15" s="296">
        <v>10.712581042967264</v>
      </c>
      <c r="F15" s="296">
        <v>6.4120503501815724</v>
      </c>
      <c r="G15" s="296">
        <v>12.935456585700001</v>
      </c>
      <c r="H15" s="296">
        <v>21.757031170800001</v>
      </c>
      <c r="I15" s="296">
        <v>20.778513714611861</v>
      </c>
      <c r="J15" s="296">
        <v>20.067517086109078</v>
      </c>
      <c r="K15" s="296">
        <v>14.79496045157877</v>
      </c>
      <c r="L15" s="296">
        <v>12.141037887954141</v>
      </c>
      <c r="M15" s="296">
        <v>8.5961481409439155</v>
      </c>
      <c r="N15" s="296">
        <v>11.025622276499998</v>
      </c>
      <c r="O15" s="296">
        <v>13.333337</v>
      </c>
      <c r="P15" s="296">
        <v>9.6772139999999993</v>
      </c>
      <c r="Q15" s="296">
        <v>10.10666</v>
      </c>
      <c r="R15" s="296">
        <v>10.134442999999999</v>
      </c>
      <c r="S15" s="296">
        <v>10.388293000000001</v>
      </c>
      <c r="T15" s="296">
        <v>10.718688</v>
      </c>
      <c r="U15" s="296">
        <v>11.465904999999999</v>
      </c>
      <c r="V15" s="296">
        <v>11.643744999999999</v>
      </c>
      <c r="W15" s="296">
        <v>11.839674</v>
      </c>
      <c r="X15" s="296">
        <v>12.396419</v>
      </c>
      <c r="Y15" s="296">
        <v>12.596596</v>
      </c>
      <c r="Z15" s="296">
        <v>12.943004999999999</v>
      </c>
      <c r="AA15" s="296">
        <v>13.05542</v>
      </c>
      <c r="AB15" s="296">
        <v>13.236604</v>
      </c>
      <c r="AC15" s="296">
        <v>13.488085999999999</v>
      </c>
      <c r="AD15" s="296">
        <v>13.778691999999999</v>
      </c>
      <c r="AE15" s="296">
        <v>13.682776</v>
      </c>
      <c r="AF15" s="296">
        <v>13.831390000000001</v>
      </c>
      <c r="AG15" s="296">
        <v>14.111495</v>
      </c>
      <c r="AH15" s="296">
        <v>14.260634</v>
      </c>
      <c r="AI15" s="296">
        <v>14.336739</v>
      </c>
      <c r="AJ15" s="296">
        <v>14.503033</v>
      </c>
      <c r="AK15" s="296">
        <v>14.565742</v>
      </c>
      <c r="AL15" s="296">
        <v>14.628743</v>
      </c>
      <c r="AM15" s="296">
        <v>14.911951</v>
      </c>
      <c r="AN15" s="296">
        <v>14.848521</v>
      </c>
      <c r="AO15" s="296">
        <v>14.763505</v>
      </c>
      <c r="AP15" s="296">
        <v>14.802657</v>
      </c>
      <c r="AQ15" s="296">
        <v>14.770568000000001</v>
      </c>
      <c r="AR15" s="296">
        <v>14.768539000000001</v>
      </c>
      <c r="AS15" s="296">
        <v>14.765139</v>
      </c>
      <c r="AT15" s="296">
        <v>14.761949</v>
      </c>
      <c r="AU15" s="296">
        <v>14.751509</v>
      </c>
      <c r="AV15" s="297">
        <v>3.32383971094408E-3</v>
      </c>
    </row>
    <row r="16" spans="1:48" s="280" customFormat="1" ht="12.9" customHeight="1">
      <c r="A16" s="280" t="s">
        <v>24</v>
      </c>
      <c r="B16" s="296">
        <v>12.4588911739857</v>
      </c>
      <c r="C16" s="296">
        <v>12.138027530451193</v>
      </c>
      <c r="D16" s="296">
        <v>12.253838968934737</v>
      </c>
      <c r="E16" s="296">
        <v>13.109720213375745</v>
      </c>
      <c r="F16" s="296">
        <v>10.911478280941965</v>
      </c>
      <c r="G16" s="296">
        <v>9.4729120800000004</v>
      </c>
      <c r="H16" s="296">
        <v>9.3063090174000003</v>
      </c>
      <c r="I16" s="296">
        <v>9.4340062849977713</v>
      </c>
      <c r="J16" s="296">
        <v>9.6516583141312768</v>
      </c>
      <c r="K16" s="296">
        <v>10.628701200965779</v>
      </c>
      <c r="L16" s="296">
        <v>9.8059545564290662</v>
      </c>
      <c r="M16" s="296">
        <v>9.9554157355696002</v>
      </c>
      <c r="N16" s="296">
        <v>9.6696952998249976</v>
      </c>
      <c r="O16" s="296">
        <v>8.9310860000000005</v>
      </c>
      <c r="P16" s="296">
        <v>8.8844180000000001</v>
      </c>
      <c r="Q16" s="296">
        <v>9.0041790000000006</v>
      </c>
      <c r="R16" s="296">
        <v>8.9907559999999993</v>
      </c>
      <c r="S16" s="296">
        <v>9.0232200000000002</v>
      </c>
      <c r="T16" s="296">
        <v>9.1246559999999999</v>
      </c>
      <c r="U16" s="296">
        <v>9.2731739999999991</v>
      </c>
      <c r="V16" s="296">
        <v>9.4152020000000007</v>
      </c>
      <c r="W16" s="296">
        <v>9.5397999999999996</v>
      </c>
      <c r="X16" s="296">
        <v>9.5704639999999994</v>
      </c>
      <c r="Y16" s="296">
        <v>9.6347989999999992</v>
      </c>
      <c r="Z16" s="296">
        <v>9.6818860000000004</v>
      </c>
      <c r="AA16" s="296">
        <v>11.691407</v>
      </c>
      <c r="AB16" s="296">
        <v>11.708280999999999</v>
      </c>
      <c r="AC16" s="296">
        <v>11.788453000000001</v>
      </c>
      <c r="AD16" s="296">
        <v>12.13941</v>
      </c>
      <c r="AE16" s="296">
        <v>12.187854</v>
      </c>
      <c r="AF16" s="296">
        <v>12.231299999999999</v>
      </c>
      <c r="AG16" s="296">
        <v>12.288375</v>
      </c>
      <c r="AH16" s="296">
        <v>12.334116</v>
      </c>
      <c r="AI16" s="296">
        <v>12.367599</v>
      </c>
      <c r="AJ16" s="296">
        <v>12.402113999999999</v>
      </c>
      <c r="AK16" s="296">
        <v>12.444526</v>
      </c>
      <c r="AL16" s="296">
        <v>12.467548000000001</v>
      </c>
      <c r="AM16" s="296">
        <v>12.476625</v>
      </c>
      <c r="AN16" s="296">
        <v>12.513368</v>
      </c>
      <c r="AO16" s="296">
        <v>12.611344000000001</v>
      </c>
      <c r="AP16" s="296">
        <v>12.678687</v>
      </c>
      <c r="AQ16" s="296">
        <v>12.742136</v>
      </c>
      <c r="AR16" s="296">
        <v>12.834937999999999</v>
      </c>
      <c r="AS16" s="296">
        <v>12.936548999999999</v>
      </c>
      <c r="AT16" s="296">
        <v>13.045643</v>
      </c>
      <c r="AU16" s="296">
        <v>13.158243000000001</v>
      </c>
      <c r="AV16" s="297">
        <v>1.4790883913781593E-2</v>
      </c>
    </row>
    <row r="17" spans="1:48" s="280" customFormat="1" ht="12.9" customHeight="1">
      <c r="A17" s="53" t="s">
        <v>8</v>
      </c>
      <c r="B17" s="296">
        <v>23.1460737255574</v>
      </c>
      <c r="C17" s="296">
        <v>24.624666882854779</v>
      </c>
      <c r="D17" s="296">
        <v>24.228302186069008</v>
      </c>
      <c r="E17" s="296">
        <v>23.393087422468135</v>
      </c>
      <c r="F17" s="296">
        <v>22.521179950466806</v>
      </c>
      <c r="G17" s="296">
        <v>23.088380996261964</v>
      </c>
      <c r="H17" s="296">
        <v>21.771570740789318</v>
      </c>
      <c r="I17" s="296">
        <v>25.42178695349849</v>
      </c>
      <c r="J17" s="296">
        <v>26.673055634881422</v>
      </c>
      <c r="K17" s="296">
        <v>28.135734544235298</v>
      </c>
      <c r="L17" s="296">
        <v>27.24237666358604</v>
      </c>
      <c r="M17" s="296">
        <v>25.765236048206109</v>
      </c>
      <c r="N17" s="296">
        <v>26.336651910987015</v>
      </c>
      <c r="O17" s="296">
        <v>24.645421290909145</v>
      </c>
      <c r="P17" s="296">
        <v>23.917361247144886</v>
      </c>
      <c r="Q17" s="296">
        <v>23.005164096154353</v>
      </c>
      <c r="R17" s="296">
        <v>22.167237956606158</v>
      </c>
      <c r="S17" s="296">
        <v>23.19055417770851</v>
      </c>
      <c r="T17" s="296">
        <v>23.640756403425488</v>
      </c>
      <c r="U17" s="296">
        <v>23.855971401428199</v>
      </c>
      <c r="V17" s="296">
        <v>24.868999671437393</v>
      </c>
      <c r="W17" s="296">
        <v>25.551712068326768</v>
      </c>
      <c r="X17" s="296">
        <v>25.67944646247884</v>
      </c>
      <c r="Y17" s="296">
        <v>25.653102750939382</v>
      </c>
      <c r="Z17" s="296">
        <v>25.679151644989922</v>
      </c>
      <c r="AA17" s="296">
        <v>26.043462922756476</v>
      </c>
      <c r="AB17" s="296">
        <v>26.20993397641201</v>
      </c>
      <c r="AC17" s="296">
        <v>26.334352853083747</v>
      </c>
      <c r="AD17" s="296">
        <v>26.624183798990831</v>
      </c>
      <c r="AE17" s="296">
        <v>26.677145402334425</v>
      </c>
      <c r="AF17" s="296">
        <v>26.59469143666977</v>
      </c>
      <c r="AG17" s="296">
        <v>26.857960506095608</v>
      </c>
      <c r="AH17" s="296">
        <v>26.863851549159097</v>
      </c>
      <c r="AI17" s="296">
        <v>26.689199310186183</v>
      </c>
      <c r="AJ17" s="296">
        <v>26.60938808849216</v>
      </c>
      <c r="AK17" s="296">
        <v>26.442680591210518</v>
      </c>
      <c r="AL17" s="296">
        <v>26.232022292316469</v>
      </c>
      <c r="AM17" s="296">
        <v>26.106687712524167</v>
      </c>
      <c r="AN17" s="296">
        <v>25.955423934581827</v>
      </c>
      <c r="AO17" s="296">
        <v>25.801834046651948</v>
      </c>
      <c r="AP17" s="296">
        <v>25.693938510963921</v>
      </c>
      <c r="AQ17" s="296">
        <v>25.551100027219782</v>
      </c>
      <c r="AR17" s="296">
        <v>25.40199549256625</v>
      </c>
      <c r="AS17" s="296">
        <v>25.354783419891469</v>
      </c>
      <c r="AT17" s="296">
        <v>25.26517659231077</v>
      </c>
      <c r="AU17" s="296">
        <v>25.130415518127911</v>
      </c>
      <c r="AV17" s="297">
        <v>0</v>
      </c>
    </row>
    <row r="18" spans="1:48" s="280" customFormat="1" ht="12.9" customHeight="1">
      <c r="I18" s="466"/>
      <c r="J18" s="466"/>
      <c r="K18" s="178"/>
      <c r="L18" s="466"/>
      <c r="M18" s="178"/>
      <c r="N18" s="178"/>
      <c r="O18" s="178"/>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199"/>
    </row>
    <row r="19" spans="1:48" s="280" customFormat="1" ht="12.9" customHeight="1">
      <c r="A19" s="280" t="s">
        <v>78</v>
      </c>
      <c r="B19" s="178"/>
      <c r="I19" s="466"/>
      <c r="J19" s="466"/>
      <c r="K19" s="178"/>
      <c r="L19" s="466"/>
      <c r="M19" s="178"/>
      <c r="N19" s="178"/>
      <c r="O19" s="178"/>
      <c r="P19" s="466"/>
      <c r="Q19" s="466"/>
      <c r="R19" s="466"/>
      <c r="S19" s="466"/>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199"/>
    </row>
    <row r="20" spans="1:48" s="280" customFormat="1" ht="12.9" customHeight="1">
      <c r="A20" s="280" t="s">
        <v>22</v>
      </c>
      <c r="B20" s="296">
        <v>21.509851978559478</v>
      </c>
      <c r="C20" s="296">
        <v>26.868314656148534</v>
      </c>
      <c r="D20" s="296">
        <v>28.751324003003155</v>
      </c>
      <c r="E20" s="296">
        <v>26.965483053909633</v>
      </c>
      <c r="F20" s="296">
        <v>21.018354346330199</v>
      </c>
      <c r="G20" s="296">
        <v>29.179118348100001</v>
      </c>
      <c r="H20" s="296">
        <v>23.640283057799998</v>
      </c>
      <c r="I20" s="296">
        <v>25.77725531704467</v>
      </c>
      <c r="J20" s="296">
        <v>24.552358064198891</v>
      </c>
      <c r="K20" s="296">
        <v>22.218393563600216</v>
      </c>
      <c r="L20" s="296">
        <v>14.031746416077615</v>
      </c>
      <c r="M20" s="296">
        <v>12.845678590761379</v>
      </c>
      <c r="N20" s="296">
        <v>13.494678243749997</v>
      </c>
      <c r="O20" s="296">
        <v>13.672988999999999</v>
      </c>
      <c r="P20" s="296">
        <v>14.085696</v>
      </c>
      <c r="Q20" s="296">
        <v>14.056006</v>
      </c>
      <c r="R20" s="296">
        <v>14.324434999999999</v>
      </c>
      <c r="S20" s="296">
        <v>14.932361999999999</v>
      </c>
      <c r="T20" s="296">
        <v>15.293618</v>
      </c>
      <c r="U20" s="296">
        <v>15.979728</v>
      </c>
      <c r="V20" s="296">
        <v>16.652139999999999</v>
      </c>
      <c r="W20" s="296">
        <v>16.904983999999999</v>
      </c>
      <c r="X20" s="296">
        <v>17.197899</v>
      </c>
      <c r="Y20" s="296">
        <v>17.356566999999998</v>
      </c>
      <c r="Z20" s="296">
        <v>17.429535000000001</v>
      </c>
      <c r="AA20" s="296">
        <v>17.421225</v>
      </c>
      <c r="AB20" s="296">
        <v>17.437052000000001</v>
      </c>
      <c r="AC20" s="296">
        <v>17.573827999999999</v>
      </c>
      <c r="AD20" s="296">
        <v>17.713653999999998</v>
      </c>
      <c r="AE20" s="296">
        <v>17.870096</v>
      </c>
      <c r="AF20" s="296">
        <v>18.004345000000001</v>
      </c>
      <c r="AG20" s="296">
        <v>18.157779999999999</v>
      </c>
      <c r="AH20" s="296">
        <v>18.273788</v>
      </c>
      <c r="AI20" s="296">
        <v>18.327435999999999</v>
      </c>
      <c r="AJ20" s="296">
        <v>18.378931000000001</v>
      </c>
      <c r="AK20" s="296">
        <v>18.453341999999999</v>
      </c>
      <c r="AL20" s="296">
        <v>18.458904</v>
      </c>
      <c r="AM20" s="296">
        <v>18.450001</v>
      </c>
      <c r="AN20" s="296">
        <v>18.491554000000001</v>
      </c>
      <c r="AO20" s="296">
        <v>18.567612</v>
      </c>
      <c r="AP20" s="296">
        <v>18.582543999999999</v>
      </c>
      <c r="AQ20" s="296">
        <v>18.578116999999999</v>
      </c>
      <c r="AR20" s="296">
        <v>18.561913000000001</v>
      </c>
      <c r="AS20" s="296">
        <v>18.529581</v>
      </c>
      <c r="AT20" s="296">
        <v>18.458485</v>
      </c>
      <c r="AU20" s="296">
        <v>18.373740999999999</v>
      </c>
      <c r="AV20" s="297">
        <v>1.0743700590997329E-2</v>
      </c>
    </row>
    <row r="21" spans="1:48" s="280" customFormat="1" ht="12.9" customHeight="1">
      <c r="A21" s="280" t="s">
        <v>23</v>
      </c>
      <c r="B21" s="296">
        <v>19.153648789949461</v>
      </c>
      <c r="C21" s="296">
        <v>20.236741970904106</v>
      </c>
      <c r="D21" s="296">
        <v>21.723221140235491</v>
      </c>
      <c r="E21" s="296">
        <v>25.880665116088384</v>
      </c>
      <c r="F21" s="296">
        <v>19.023063652554338</v>
      </c>
      <c r="G21" s="296">
        <v>23.027341889100001</v>
      </c>
      <c r="H21" s="296">
        <v>28.029164734799998</v>
      </c>
      <c r="I21" s="296">
        <v>32.879966534434686</v>
      </c>
      <c r="J21" s="296">
        <v>32.794114900720913</v>
      </c>
      <c r="K21" s="296">
        <v>31.641777282872919</v>
      </c>
      <c r="L21" s="296">
        <v>20.165046435446492</v>
      </c>
      <c r="M21" s="296">
        <v>15.631252723708403</v>
      </c>
      <c r="N21" s="296">
        <v>20.112673154774992</v>
      </c>
      <c r="O21" s="296">
        <v>22.961897</v>
      </c>
      <c r="P21" s="296">
        <v>23.459949000000002</v>
      </c>
      <c r="Q21" s="296">
        <v>23.198931000000002</v>
      </c>
      <c r="R21" s="296">
        <v>22.281600999999998</v>
      </c>
      <c r="S21" s="296">
        <v>21.944669999999999</v>
      </c>
      <c r="T21" s="296">
        <v>21.633911000000001</v>
      </c>
      <c r="U21" s="296">
        <v>21.857924000000001</v>
      </c>
      <c r="V21" s="296">
        <v>22.421016999999999</v>
      </c>
      <c r="W21" s="296">
        <v>22.577221000000002</v>
      </c>
      <c r="X21" s="296">
        <v>23.217400000000001</v>
      </c>
      <c r="Y21" s="296">
        <v>23.483813999999999</v>
      </c>
      <c r="Z21" s="296">
        <v>23.886621000000002</v>
      </c>
      <c r="AA21" s="296">
        <v>24.068069000000001</v>
      </c>
      <c r="AB21" s="296">
        <v>24.280972999999999</v>
      </c>
      <c r="AC21" s="296">
        <v>24.554939000000001</v>
      </c>
      <c r="AD21" s="296">
        <v>24.848904000000001</v>
      </c>
      <c r="AE21" s="296">
        <v>24.723133000000001</v>
      </c>
      <c r="AF21" s="296">
        <v>24.916882000000001</v>
      </c>
      <c r="AG21" s="296">
        <v>25.278722999999999</v>
      </c>
      <c r="AH21" s="296">
        <v>25.222539999999999</v>
      </c>
      <c r="AI21" s="296">
        <v>25.367692999999999</v>
      </c>
      <c r="AJ21" s="296">
        <v>25.527367000000002</v>
      </c>
      <c r="AK21" s="296">
        <v>25.641376000000001</v>
      </c>
      <c r="AL21" s="296">
        <v>25.738916</v>
      </c>
      <c r="AM21" s="296">
        <v>25.966889999999999</v>
      </c>
      <c r="AN21" s="296">
        <v>25.991109999999999</v>
      </c>
      <c r="AO21" s="296">
        <v>25.959095000000001</v>
      </c>
      <c r="AP21" s="296">
        <v>25.974421</v>
      </c>
      <c r="AQ21" s="296">
        <v>25.978905000000001</v>
      </c>
      <c r="AR21" s="296">
        <v>25.986826000000001</v>
      </c>
      <c r="AS21" s="296">
        <v>25.959907999999999</v>
      </c>
      <c r="AT21" s="296">
        <v>25.920947999999999</v>
      </c>
      <c r="AU21" s="296">
        <v>25.960166999999998</v>
      </c>
      <c r="AV21" s="297">
        <v>4.080496376235811E-3</v>
      </c>
    </row>
    <row r="22" spans="1:48" s="280" customFormat="1" ht="12.9" customHeight="1">
      <c r="A22" s="280" t="s">
        <v>29</v>
      </c>
      <c r="B22" s="296">
        <v>12.712094069421742</v>
      </c>
      <c r="C22" s="296">
        <v>8.3987233696777679</v>
      </c>
      <c r="D22" s="296">
        <v>8.0348807831263542</v>
      </c>
      <c r="E22" s="296">
        <v>14.838764238637486</v>
      </c>
      <c r="F22" s="296">
        <v>8.8722638441839781</v>
      </c>
      <c r="G22" s="296">
        <v>12.8982843453</v>
      </c>
      <c r="H22" s="296">
        <v>21.682584618</v>
      </c>
      <c r="I22" s="296">
        <v>20.692662080898085</v>
      </c>
      <c r="J22" s="296">
        <v>20.003430655308655</v>
      </c>
      <c r="K22" s="296">
        <v>14.751764579481128</v>
      </c>
      <c r="L22" s="296">
        <v>12.078022057884995</v>
      </c>
      <c r="M22" s="296">
        <v>8.554520459444209</v>
      </c>
      <c r="N22" s="296">
        <v>10.985234783699996</v>
      </c>
      <c r="O22" s="296">
        <v>13.256154</v>
      </c>
      <c r="P22" s="296">
        <v>9.6386219999999998</v>
      </c>
      <c r="Q22" s="296">
        <v>10.075787999999999</v>
      </c>
      <c r="R22" s="296">
        <v>10.111288</v>
      </c>
      <c r="S22" s="296">
        <v>10.372857</v>
      </c>
      <c r="T22" s="296">
        <v>10.71097</v>
      </c>
      <c r="U22" s="296">
        <v>11.465904999999999</v>
      </c>
      <c r="V22" s="296">
        <v>11.643744999999999</v>
      </c>
      <c r="W22" s="296">
        <v>11.839674</v>
      </c>
      <c r="X22" s="296">
        <v>12.396419</v>
      </c>
      <c r="Y22" s="296">
        <v>12.596596</v>
      </c>
      <c r="Z22" s="296">
        <v>12.943004999999999</v>
      </c>
      <c r="AA22" s="296">
        <v>13.05542</v>
      </c>
      <c r="AB22" s="296">
        <v>13.236604</v>
      </c>
      <c r="AC22" s="296">
        <v>13.488085999999999</v>
      </c>
      <c r="AD22" s="296">
        <v>13.778691999999999</v>
      </c>
      <c r="AE22" s="296">
        <v>13.682776</v>
      </c>
      <c r="AF22" s="296">
        <v>13.831390000000001</v>
      </c>
      <c r="AG22" s="296">
        <v>14.111495</v>
      </c>
      <c r="AH22" s="296">
        <v>14.260634</v>
      </c>
      <c r="AI22" s="296">
        <v>14.336739</v>
      </c>
      <c r="AJ22" s="296">
        <v>14.503033</v>
      </c>
      <c r="AK22" s="296">
        <v>14.565742</v>
      </c>
      <c r="AL22" s="296">
        <v>14.628743</v>
      </c>
      <c r="AM22" s="296">
        <v>14.911951</v>
      </c>
      <c r="AN22" s="296">
        <v>14.848521</v>
      </c>
      <c r="AO22" s="296">
        <v>14.763505</v>
      </c>
      <c r="AP22" s="296">
        <v>14.802657</v>
      </c>
      <c r="AQ22" s="296">
        <v>14.770568000000001</v>
      </c>
      <c r="AR22" s="296">
        <v>14.768539000000001</v>
      </c>
      <c r="AS22" s="296">
        <v>14.765139</v>
      </c>
      <c r="AT22" s="296">
        <v>14.761949</v>
      </c>
      <c r="AU22" s="296">
        <v>14.751509</v>
      </c>
      <c r="AV22" s="297">
        <v>3.5251433975495455E-3</v>
      </c>
    </row>
    <row r="23" spans="1:48" s="280" customFormat="1" ht="12.9" customHeight="1">
      <c r="A23" s="280" t="s">
        <v>45</v>
      </c>
      <c r="B23" s="296">
        <v>9.6803827233946027</v>
      </c>
      <c r="C23" s="296">
        <v>8.7916513146663533</v>
      </c>
      <c r="D23" s="296">
        <v>9.4360966899852876</v>
      </c>
      <c r="E23" s="296">
        <v>10.9743303406492</v>
      </c>
      <c r="F23" s="296">
        <v>6.1526683944177361</v>
      </c>
      <c r="G23" s="296">
        <v>6.8424346047000011</v>
      </c>
      <c r="H23" s="296">
        <v>6.6316744380000001</v>
      </c>
      <c r="I23" s="296">
        <v>6.0640273672473501</v>
      </c>
      <c r="J23" s="296">
        <v>6.968492466091023</v>
      </c>
      <c r="K23" s="296">
        <v>7.803336357279389</v>
      </c>
      <c r="L23" s="296">
        <v>5.9258265442470721</v>
      </c>
      <c r="M23" s="296">
        <v>4.5073447773165931</v>
      </c>
      <c r="N23" s="296">
        <v>4.8102590217749981</v>
      </c>
      <c r="O23" s="296">
        <v>4.60968</v>
      </c>
      <c r="P23" s="296">
        <v>4.6840549999999999</v>
      </c>
      <c r="Q23" s="296">
        <v>4.7848379999999997</v>
      </c>
      <c r="R23" s="296">
        <v>4.6997229999999997</v>
      </c>
      <c r="S23" s="296">
        <v>4.686903</v>
      </c>
      <c r="T23" s="296">
        <v>4.7778260000000001</v>
      </c>
      <c r="U23" s="296">
        <v>4.9022370000000004</v>
      </c>
      <c r="V23" s="296">
        <v>5.0932659999999998</v>
      </c>
      <c r="W23" s="296">
        <v>5.2390889999999999</v>
      </c>
      <c r="X23" s="296">
        <v>5.2457190000000002</v>
      </c>
      <c r="Y23" s="296">
        <v>5.3219510000000003</v>
      </c>
      <c r="Z23" s="296">
        <v>5.3580870000000003</v>
      </c>
      <c r="AA23" s="296">
        <v>5.3106080000000002</v>
      </c>
      <c r="AB23" s="296">
        <v>5.3158250000000002</v>
      </c>
      <c r="AC23" s="296">
        <v>5.4194979999999999</v>
      </c>
      <c r="AD23" s="296">
        <v>5.4644060000000003</v>
      </c>
      <c r="AE23" s="296">
        <v>5.5120300000000002</v>
      </c>
      <c r="AF23" s="296">
        <v>5.5561069999999999</v>
      </c>
      <c r="AG23" s="296">
        <v>5.6123950000000002</v>
      </c>
      <c r="AH23" s="296">
        <v>5.6567119999999997</v>
      </c>
      <c r="AI23" s="296">
        <v>5.686178</v>
      </c>
      <c r="AJ23" s="296">
        <v>5.7196480000000003</v>
      </c>
      <c r="AK23" s="296">
        <v>5.7694179999999999</v>
      </c>
      <c r="AL23" s="296">
        <v>5.7745939999999996</v>
      </c>
      <c r="AM23" s="296">
        <v>5.7594839999999996</v>
      </c>
      <c r="AN23" s="296">
        <v>5.8092280000000001</v>
      </c>
      <c r="AO23" s="296">
        <v>5.9352790000000004</v>
      </c>
      <c r="AP23" s="296">
        <v>6.0070819999999996</v>
      </c>
      <c r="AQ23" s="296">
        <v>6.0726089999999999</v>
      </c>
      <c r="AR23" s="296">
        <v>6.178121</v>
      </c>
      <c r="AS23" s="296">
        <v>6.3075200000000002</v>
      </c>
      <c r="AT23" s="296">
        <v>6.4265860000000004</v>
      </c>
      <c r="AU23" s="296">
        <v>6.5583410000000004</v>
      </c>
      <c r="AV23" s="297">
        <v>1.3210386892365634E-2</v>
      </c>
    </row>
    <row r="24" spans="1:48" s="280" customFormat="1" ht="12.9" customHeight="1">
      <c r="A24" s="280" t="s">
        <v>34</v>
      </c>
      <c r="B24" s="298" t="s">
        <v>32</v>
      </c>
      <c r="C24" s="298" t="s">
        <v>32</v>
      </c>
      <c r="D24" s="298" t="s">
        <v>32</v>
      </c>
      <c r="E24" s="298" t="s">
        <v>32</v>
      </c>
      <c r="F24" s="298" t="s">
        <v>32</v>
      </c>
      <c r="G24" s="298" t="s">
        <v>32</v>
      </c>
      <c r="H24" s="298" t="s">
        <v>32</v>
      </c>
      <c r="I24" s="296">
        <v>0</v>
      </c>
      <c r="J24" s="296">
        <v>0</v>
      </c>
      <c r="K24" s="296">
        <v>0</v>
      </c>
      <c r="L24" s="296">
        <v>0</v>
      </c>
      <c r="M24" s="296">
        <v>0</v>
      </c>
      <c r="N24" s="296">
        <v>0</v>
      </c>
      <c r="O24" s="296">
        <v>0</v>
      </c>
      <c r="P24" s="296">
        <v>0</v>
      </c>
      <c r="Q24" s="296">
        <v>0</v>
      </c>
      <c r="R24" s="296">
        <v>0</v>
      </c>
      <c r="S24" s="296">
        <v>0</v>
      </c>
      <c r="T24" s="296">
        <v>0</v>
      </c>
      <c r="U24" s="296">
        <v>0</v>
      </c>
      <c r="V24" s="296">
        <v>0</v>
      </c>
      <c r="W24" s="296">
        <v>0</v>
      </c>
      <c r="X24" s="296">
        <v>0</v>
      </c>
      <c r="Y24" s="296">
        <v>0</v>
      </c>
      <c r="Z24" s="296">
        <v>0</v>
      </c>
      <c r="AA24" s="296">
        <v>0</v>
      </c>
      <c r="AB24" s="296">
        <v>0</v>
      </c>
      <c r="AC24" s="296">
        <v>0</v>
      </c>
      <c r="AD24" s="296">
        <v>0</v>
      </c>
      <c r="AE24" s="296">
        <v>0</v>
      </c>
      <c r="AF24" s="296">
        <v>0</v>
      </c>
      <c r="AG24" s="296">
        <v>0</v>
      </c>
      <c r="AH24" s="296">
        <v>0</v>
      </c>
      <c r="AI24" s="296">
        <v>0</v>
      </c>
      <c r="AJ24" s="296">
        <v>0</v>
      </c>
      <c r="AK24" s="296">
        <v>0</v>
      </c>
      <c r="AL24" s="296">
        <v>0</v>
      </c>
      <c r="AM24" s="296">
        <v>0</v>
      </c>
      <c r="AN24" s="296">
        <v>0</v>
      </c>
      <c r="AO24" s="296">
        <v>0</v>
      </c>
      <c r="AP24" s="296">
        <v>0</v>
      </c>
      <c r="AQ24" s="296">
        <v>0</v>
      </c>
      <c r="AR24" s="296">
        <v>0</v>
      </c>
      <c r="AS24" s="296">
        <v>0</v>
      </c>
      <c r="AT24" s="296">
        <v>0</v>
      </c>
      <c r="AU24" s="296">
        <v>0</v>
      </c>
      <c r="AV24" s="297" t="s">
        <v>32</v>
      </c>
    </row>
    <row r="25" spans="1:48" s="280" customFormat="1" ht="12.9" customHeight="1">
      <c r="A25" s="280" t="s">
        <v>35</v>
      </c>
      <c r="B25" s="299">
        <v>2.6853029392704197</v>
      </c>
      <c r="C25" s="299">
        <v>3.0562250666494064</v>
      </c>
      <c r="D25" s="299">
        <v>2.9300224949548581</v>
      </c>
      <c r="E25" s="299">
        <v>3.7140272312924871</v>
      </c>
      <c r="F25" s="299">
        <v>3.6157993272453006</v>
      </c>
      <c r="G25" s="299">
        <v>3.4432300593000003</v>
      </c>
      <c r="H25" s="299">
        <v>3.5423075435999998</v>
      </c>
      <c r="I25" s="296">
        <v>4.5465090530109746</v>
      </c>
      <c r="J25" s="296">
        <v>4.4147086575912411</v>
      </c>
      <c r="K25" s="296">
        <v>4.3033473535796105</v>
      </c>
      <c r="L25" s="296">
        <v>4.3733611328041668</v>
      </c>
      <c r="M25" s="296">
        <v>4.413798584885904</v>
      </c>
      <c r="N25" s="296">
        <v>4.0610570068999987</v>
      </c>
      <c r="O25" s="296">
        <v>4.4319600000000001</v>
      </c>
      <c r="P25" s="296">
        <v>4.4058299999999999</v>
      </c>
      <c r="Q25" s="296">
        <v>4.4298570000000002</v>
      </c>
      <c r="R25" s="296">
        <v>4.3864520000000002</v>
      </c>
      <c r="S25" s="296">
        <v>4.3921320000000001</v>
      </c>
      <c r="T25" s="296">
        <v>4.3878830000000004</v>
      </c>
      <c r="U25" s="296">
        <v>4.3999319999999997</v>
      </c>
      <c r="V25" s="296">
        <v>4.4160180000000002</v>
      </c>
      <c r="W25" s="296">
        <v>4.4092909999999996</v>
      </c>
      <c r="X25" s="296">
        <v>4.4215119999999999</v>
      </c>
      <c r="Y25" s="296">
        <v>4.4110889999999996</v>
      </c>
      <c r="Z25" s="296">
        <v>4.4188390000000002</v>
      </c>
      <c r="AA25" s="296">
        <v>4.4443869999999999</v>
      </c>
      <c r="AB25" s="296">
        <v>4.4455650000000002</v>
      </c>
      <c r="AC25" s="296">
        <v>4.4359299999999999</v>
      </c>
      <c r="AD25" s="296">
        <v>4.4356609999999996</v>
      </c>
      <c r="AE25" s="296">
        <v>4.4326480000000004</v>
      </c>
      <c r="AF25" s="296">
        <v>4.4259700000000004</v>
      </c>
      <c r="AG25" s="296">
        <v>4.4238270000000002</v>
      </c>
      <c r="AH25" s="296">
        <v>4.4215049999999998</v>
      </c>
      <c r="AI25" s="296">
        <v>4.4187649999999996</v>
      </c>
      <c r="AJ25" s="296">
        <v>4.4159259999999998</v>
      </c>
      <c r="AK25" s="296">
        <v>4.41364</v>
      </c>
      <c r="AL25" s="296">
        <v>4.4125399999999999</v>
      </c>
      <c r="AM25" s="296">
        <v>4.4116929999999996</v>
      </c>
      <c r="AN25" s="296">
        <v>4.4110560000000003</v>
      </c>
      <c r="AO25" s="296">
        <v>4.415699</v>
      </c>
      <c r="AP25" s="296">
        <v>4.4169859999999996</v>
      </c>
      <c r="AQ25" s="296">
        <v>4.4254379999999998</v>
      </c>
      <c r="AR25" s="296">
        <v>4.4297680000000001</v>
      </c>
      <c r="AS25" s="296">
        <v>4.4351630000000002</v>
      </c>
      <c r="AT25" s="296">
        <v>4.4402619999999997</v>
      </c>
      <c r="AU25" s="296">
        <v>4.4473830000000003</v>
      </c>
      <c r="AV25" s="297">
        <v>1.0874844312674433E-4</v>
      </c>
    </row>
    <row r="26" spans="1:48" s="280" customFormat="1" ht="12.9" customHeight="1">
      <c r="A26" s="280" t="s">
        <v>46</v>
      </c>
      <c r="B26" s="298" t="s">
        <v>32</v>
      </c>
      <c r="C26" s="298" t="s">
        <v>32</v>
      </c>
      <c r="D26" s="298" t="s">
        <v>32</v>
      </c>
      <c r="E26" s="298" t="s">
        <v>32</v>
      </c>
      <c r="F26" s="298" t="s">
        <v>32</v>
      </c>
      <c r="G26" s="298" t="s">
        <v>32</v>
      </c>
      <c r="H26" s="298" t="s">
        <v>32</v>
      </c>
      <c r="I26" s="296">
        <v>0</v>
      </c>
      <c r="J26" s="296">
        <v>0</v>
      </c>
      <c r="K26" s="296">
        <v>0</v>
      </c>
      <c r="L26" s="296">
        <v>0</v>
      </c>
      <c r="M26" s="296">
        <v>0</v>
      </c>
      <c r="N26" s="296">
        <v>0</v>
      </c>
      <c r="O26" s="296">
        <v>0</v>
      </c>
      <c r="P26" s="296">
        <v>0</v>
      </c>
      <c r="Q26" s="296">
        <v>0</v>
      </c>
      <c r="R26" s="296">
        <v>0</v>
      </c>
      <c r="S26" s="296">
        <v>0</v>
      </c>
      <c r="T26" s="296">
        <v>0</v>
      </c>
      <c r="U26" s="296">
        <v>0</v>
      </c>
      <c r="V26" s="296">
        <v>0</v>
      </c>
      <c r="W26" s="296">
        <v>0</v>
      </c>
      <c r="X26" s="296">
        <v>0</v>
      </c>
      <c r="Y26" s="296">
        <v>0</v>
      </c>
      <c r="Z26" s="296">
        <v>0</v>
      </c>
      <c r="AA26" s="296">
        <v>0</v>
      </c>
      <c r="AB26" s="296">
        <v>0</v>
      </c>
      <c r="AC26" s="296">
        <v>0</v>
      </c>
      <c r="AD26" s="296">
        <v>0</v>
      </c>
      <c r="AE26" s="296">
        <v>0</v>
      </c>
      <c r="AF26" s="296">
        <v>0</v>
      </c>
      <c r="AG26" s="296">
        <v>0</v>
      </c>
      <c r="AH26" s="296">
        <v>0</v>
      </c>
      <c r="AI26" s="296">
        <v>0</v>
      </c>
      <c r="AJ26" s="296">
        <v>0</v>
      </c>
      <c r="AK26" s="296">
        <v>0</v>
      </c>
      <c r="AL26" s="296">
        <v>0</v>
      </c>
      <c r="AM26" s="296">
        <v>0</v>
      </c>
      <c r="AN26" s="296">
        <v>0</v>
      </c>
      <c r="AO26" s="296">
        <v>0</v>
      </c>
      <c r="AP26" s="296">
        <v>0</v>
      </c>
      <c r="AQ26" s="296">
        <v>0</v>
      </c>
      <c r="AR26" s="296">
        <v>0</v>
      </c>
      <c r="AS26" s="296">
        <v>0</v>
      </c>
      <c r="AT26" s="296">
        <v>0</v>
      </c>
      <c r="AU26" s="296">
        <v>0</v>
      </c>
      <c r="AV26" s="297" t="s">
        <v>32</v>
      </c>
    </row>
    <row r="27" spans="1:48" s="280" customFormat="1" ht="12.9" customHeight="1">
      <c r="A27" s="53" t="s">
        <v>8</v>
      </c>
      <c r="B27" s="296">
        <v>14.501129517650607</v>
      </c>
      <c r="C27" s="296">
        <v>14.97593173500983</v>
      </c>
      <c r="D27" s="296">
        <v>14.85010796351723</v>
      </c>
      <c r="E27" s="296">
        <v>14.628858094573284</v>
      </c>
      <c r="F27" s="296">
        <v>13.785994920885091</v>
      </c>
      <c r="G27" s="296">
        <v>13.017621405478318</v>
      </c>
      <c r="H27" s="296">
        <v>12.499403010805048</v>
      </c>
      <c r="I27" s="296">
        <v>13.337118567848234</v>
      </c>
      <c r="J27" s="296">
        <v>13.932637479398192</v>
      </c>
      <c r="K27" s="296">
        <v>15.043239188654034</v>
      </c>
      <c r="L27" s="296">
        <v>14.408230794264828</v>
      </c>
      <c r="M27" s="296">
        <v>13.921787889687845</v>
      </c>
      <c r="N27" s="296">
        <v>13.954561445853086</v>
      </c>
      <c r="O27" s="296">
        <v>13.917181421024685</v>
      </c>
      <c r="P27" s="296">
        <v>13.38603397518245</v>
      </c>
      <c r="Q27" s="296">
        <v>12.298822213092969</v>
      </c>
      <c r="R27" s="296">
        <v>11.797872111986669</v>
      </c>
      <c r="S27" s="296">
        <v>12.59313979664306</v>
      </c>
      <c r="T27" s="296">
        <v>12.731621001086957</v>
      </c>
      <c r="U27" s="296">
        <v>12.817706622470753</v>
      </c>
      <c r="V27" s="296">
        <v>13.587361063870109</v>
      </c>
      <c r="W27" s="296">
        <v>13.865299053927197</v>
      </c>
      <c r="X27" s="296">
        <v>13.882140070946219</v>
      </c>
      <c r="Y27" s="296">
        <v>13.895672963787884</v>
      </c>
      <c r="Z27" s="296">
        <v>13.92538251793917</v>
      </c>
      <c r="AA27" s="296">
        <v>14.175477835764019</v>
      </c>
      <c r="AB27" s="296">
        <v>14.221745902734723</v>
      </c>
      <c r="AC27" s="296">
        <v>14.342777764449787</v>
      </c>
      <c r="AD27" s="296">
        <v>14.479568652099388</v>
      </c>
      <c r="AE27" s="296">
        <v>14.46636299328893</v>
      </c>
      <c r="AF27" s="296">
        <v>14.417463870539255</v>
      </c>
      <c r="AG27" s="296">
        <v>14.62808487655353</v>
      </c>
      <c r="AH27" s="296">
        <v>14.566854445491169</v>
      </c>
      <c r="AI27" s="296">
        <v>14.483191297618969</v>
      </c>
      <c r="AJ27" s="296">
        <v>14.441157968600319</v>
      </c>
      <c r="AK27" s="296">
        <v>14.338777034143069</v>
      </c>
      <c r="AL27" s="296">
        <v>14.224038424314504</v>
      </c>
      <c r="AM27" s="296">
        <v>14.165124998529222</v>
      </c>
      <c r="AN27" s="296">
        <v>14.089651647403526</v>
      </c>
      <c r="AO27" s="296">
        <v>14.033891910166481</v>
      </c>
      <c r="AP27" s="296">
        <v>13.97372746161729</v>
      </c>
      <c r="AQ27" s="296">
        <v>13.904446131706566</v>
      </c>
      <c r="AR27" s="296">
        <v>13.840020578146691</v>
      </c>
      <c r="AS27" s="296">
        <v>13.836615931701138</v>
      </c>
      <c r="AT27" s="296">
        <v>13.80087491288832</v>
      </c>
      <c r="AU27" s="296">
        <v>13.767387335907673</v>
      </c>
      <c r="AV27" s="297">
        <v>0</v>
      </c>
    </row>
    <row r="28" spans="1:48" s="280" customFormat="1" ht="12.9" customHeight="1">
      <c r="B28" s="178"/>
      <c r="C28" s="178"/>
      <c r="I28" s="466"/>
      <c r="J28" s="466"/>
      <c r="K28" s="178"/>
      <c r="L28" s="466"/>
      <c r="M28" s="178"/>
      <c r="N28" s="178"/>
      <c r="O28" s="178"/>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199"/>
    </row>
    <row r="29" spans="1:48" s="280" customFormat="1" ht="12.9" customHeight="1">
      <c r="A29" s="280" t="s">
        <v>79</v>
      </c>
      <c r="B29" s="178"/>
      <c r="C29" s="178"/>
      <c r="I29" s="466"/>
      <c r="J29" s="466"/>
      <c r="K29" s="178"/>
      <c r="L29" s="466"/>
      <c r="M29" s="178"/>
      <c r="N29" s="178"/>
      <c r="O29" s="178"/>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199"/>
    </row>
    <row r="30" spans="1:48" s="280" customFormat="1" ht="12.9" customHeight="1">
      <c r="A30" s="280" t="s">
        <v>47</v>
      </c>
      <c r="B30" s="296">
        <v>23.581029927118582</v>
      </c>
      <c r="C30" s="296">
        <v>25.158165491875451</v>
      </c>
      <c r="D30" s="296">
        <v>26.679676788537343</v>
      </c>
      <c r="E30" s="296">
        <v>33.455022466836319</v>
      </c>
      <c r="F30" s="296">
        <v>28.166532270599728</v>
      </c>
      <c r="G30" s="296">
        <v>33.068190690999998</v>
      </c>
      <c r="H30" s="296">
        <v>27.4650159696</v>
      </c>
      <c r="I30" s="296">
        <v>30.580110093257328</v>
      </c>
      <c r="J30" s="296">
        <v>29.678063350292916</v>
      </c>
      <c r="K30" s="296">
        <v>28.709327461680445</v>
      </c>
      <c r="L30" s="296">
        <v>20.559681462959261</v>
      </c>
      <c r="M30" s="296">
        <v>19.89727028830012</v>
      </c>
      <c r="N30" s="296">
        <v>20.480419946724993</v>
      </c>
      <c r="O30" s="296">
        <v>18.521521</v>
      </c>
      <c r="P30" s="296">
        <v>18.627068000000001</v>
      </c>
      <c r="Q30" s="296">
        <v>18.612836999999999</v>
      </c>
      <c r="R30" s="296">
        <v>18.829571000000001</v>
      </c>
      <c r="S30" s="296">
        <v>19.342963999999998</v>
      </c>
      <c r="T30" s="296">
        <v>19.674154000000001</v>
      </c>
      <c r="U30" s="296">
        <v>20.253632</v>
      </c>
      <c r="V30" s="296">
        <v>20.831308</v>
      </c>
      <c r="W30" s="296">
        <v>21.076311</v>
      </c>
      <c r="X30" s="296">
        <v>21.329165</v>
      </c>
      <c r="Y30" s="296">
        <v>21.473929999999999</v>
      </c>
      <c r="Z30" s="296">
        <v>21.543959000000001</v>
      </c>
      <c r="AA30" s="296">
        <v>24.352293</v>
      </c>
      <c r="AB30" s="296">
        <v>24.366419</v>
      </c>
      <c r="AC30" s="296">
        <v>24.474976999999999</v>
      </c>
      <c r="AD30" s="296">
        <v>24.991194</v>
      </c>
      <c r="AE30" s="296">
        <v>25.122033999999999</v>
      </c>
      <c r="AF30" s="296">
        <v>25.236597</v>
      </c>
      <c r="AG30" s="296">
        <v>25.364691000000001</v>
      </c>
      <c r="AH30" s="296">
        <v>25.464573000000001</v>
      </c>
      <c r="AI30" s="296">
        <v>25.514593000000001</v>
      </c>
      <c r="AJ30" s="296">
        <v>25.559373999999998</v>
      </c>
      <c r="AK30" s="296">
        <v>25.621054000000001</v>
      </c>
      <c r="AL30" s="296">
        <v>25.630835000000001</v>
      </c>
      <c r="AM30" s="296">
        <v>25.626192</v>
      </c>
      <c r="AN30" s="296">
        <v>25.658932</v>
      </c>
      <c r="AO30" s="296">
        <v>25.720424999999999</v>
      </c>
      <c r="AP30" s="296">
        <v>25.737234000000001</v>
      </c>
      <c r="AQ30" s="296">
        <v>25.736532</v>
      </c>
      <c r="AR30" s="296">
        <v>25.725480999999998</v>
      </c>
      <c r="AS30" s="296">
        <v>25.700877999999999</v>
      </c>
      <c r="AT30" s="296">
        <v>25.645606999999998</v>
      </c>
      <c r="AU30" s="296">
        <v>25.577614000000001</v>
      </c>
      <c r="AV30" s="297">
        <v>1.1905226695474957E-2</v>
      </c>
    </row>
    <row r="31" spans="1:48" s="280" customFormat="1" ht="12.9" customHeight="1">
      <c r="A31" s="280" t="s">
        <v>48</v>
      </c>
      <c r="B31" s="296">
        <v>28.50245344808981</v>
      </c>
      <c r="C31" s="296">
        <v>31.960750134705297</v>
      </c>
      <c r="D31" s="296">
        <v>33.572252010082465</v>
      </c>
      <c r="E31" s="296">
        <v>33.59062427495482</v>
      </c>
      <c r="F31" s="296">
        <v>30.529886172607366</v>
      </c>
      <c r="G31" s="296">
        <v>29.803621808999999</v>
      </c>
      <c r="H31" s="296">
        <v>48.911446820999998</v>
      </c>
      <c r="I31" s="296">
        <v>45.734737210647367</v>
      </c>
      <c r="J31" s="296">
        <v>42.52678813680744</v>
      </c>
      <c r="K31" s="296">
        <v>42.980978380440753</v>
      </c>
      <c r="L31" s="296">
        <v>34.637666650074287</v>
      </c>
      <c r="M31" s="296">
        <v>28.031312651014101</v>
      </c>
      <c r="N31" s="296">
        <v>27.85394311624999</v>
      </c>
      <c r="O31" s="296">
        <v>32.339108000000003</v>
      </c>
      <c r="P31" s="296">
        <v>34.930363</v>
      </c>
      <c r="Q31" s="296">
        <v>36.201141</v>
      </c>
      <c r="R31" s="296">
        <v>34.95232</v>
      </c>
      <c r="S31" s="296">
        <v>34.020828000000002</v>
      </c>
      <c r="T31" s="296">
        <v>33.162426000000004</v>
      </c>
      <c r="U31" s="296">
        <v>30.710799999999999</v>
      </c>
      <c r="V31" s="296">
        <v>27.609528999999998</v>
      </c>
      <c r="W31" s="296">
        <v>26.791771000000001</v>
      </c>
      <c r="X31" s="296">
        <v>26.409685</v>
      </c>
      <c r="Y31" s="296">
        <v>25.528632999999999</v>
      </c>
      <c r="Z31" s="296">
        <v>25.226704000000002</v>
      </c>
      <c r="AA31" s="296">
        <v>26.319313000000001</v>
      </c>
      <c r="AB31" s="296">
        <v>26.070747000000001</v>
      </c>
      <c r="AC31" s="296">
        <v>26.123798000000001</v>
      </c>
      <c r="AD31" s="296">
        <v>26.722797</v>
      </c>
      <c r="AE31" s="296">
        <v>27.486543999999999</v>
      </c>
      <c r="AF31" s="296">
        <v>27.486160000000002</v>
      </c>
      <c r="AG31" s="296">
        <v>27.665154999999999</v>
      </c>
      <c r="AH31" s="296">
        <v>27.673338000000001</v>
      </c>
      <c r="AI31" s="296">
        <v>27.752116999999998</v>
      </c>
      <c r="AJ31" s="296">
        <v>27.801044000000001</v>
      </c>
      <c r="AK31" s="296">
        <v>27.913959999999999</v>
      </c>
      <c r="AL31" s="296">
        <v>27.974274000000001</v>
      </c>
      <c r="AM31" s="296">
        <v>28.073999000000001</v>
      </c>
      <c r="AN31" s="296">
        <v>28.279095000000002</v>
      </c>
      <c r="AO31" s="296">
        <v>27.869458999999999</v>
      </c>
      <c r="AP31" s="296">
        <v>28.180136000000001</v>
      </c>
      <c r="AQ31" s="296">
        <v>28.271025000000002</v>
      </c>
      <c r="AR31" s="296">
        <v>28.421934</v>
      </c>
      <c r="AS31" s="296">
        <v>28.543600000000001</v>
      </c>
      <c r="AT31" s="296">
        <v>28.994668999999998</v>
      </c>
      <c r="AU31" s="296">
        <v>28.354846999999999</v>
      </c>
      <c r="AV31" s="297">
        <v>-3.8500801027041348E-3</v>
      </c>
    </row>
    <row r="32" spans="1:48" s="280" customFormat="1" ht="12.9" customHeight="1">
      <c r="A32" s="280" t="s">
        <v>49</v>
      </c>
      <c r="B32" s="296">
        <v>25.215170995092052</v>
      </c>
      <c r="C32" s="296">
        <v>26.545286505964025</v>
      </c>
      <c r="D32" s="296">
        <v>28.731961754408683</v>
      </c>
      <c r="E32" s="296">
        <v>31.537219678181152</v>
      </c>
      <c r="F32" s="296">
        <v>22.548723397503924</v>
      </c>
      <c r="G32" s="296">
        <v>26.558251523999999</v>
      </c>
      <c r="H32" s="296">
        <v>32.520299452742321</v>
      </c>
      <c r="I32" s="296">
        <v>37.28086697784493</v>
      </c>
      <c r="J32" s="296">
        <v>35.238384362724958</v>
      </c>
      <c r="K32" s="296">
        <v>33.662814326172274</v>
      </c>
      <c r="L32" s="296">
        <v>23.283922176875258</v>
      </c>
      <c r="M32" s="296">
        <v>21.919784906051916</v>
      </c>
      <c r="N32" s="296">
        <v>23.700192754275768</v>
      </c>
      <c r="O32" s="296">
        <v>25.326493931384267</v>
      </c>
      <c r="P32" s="296">
        <v>24.884195811142241</v>
      </c>
      <c r="Q32" s="296">
        <v>25.867980530555887</v>
      </c>
      <c r="R32" s="296">
        <v>25.854824810603194</v>
      </c>
      <c r="S32" s="296">
        <v>26.228623860375333</v>
      </c>
      <c r="T32" s="296">
        <v>26.621247832546285</v>
      </c>
      <c r="U32" s="296">
        <v>27.259662501098962</v>
      </c>
      <c r="V32" s="296">
        <v>27.401229386194821</v>
      </c>
      <c r="W32" s="296">
        <v>27.362096037928147</v>
      </c>
      <c r="X32" s="296">
        <v>27.92944240515866</v>
      </c>
      <c r="Y32" s="296">
        <v>28.0916962845752</v>
      </c>
      <c r="Z32" s="296">
        <v>28.379196646058901</v>
      </c>
      <c r="AA32" s="296">
        <v>31.259835895695947</v>
      </c>
      <c r="AB32" s="296">
        <v>31.454120768933088</v>
      </c>
      <c r="AC32" s="296">
        <v>31.664586180007003</v>
      </c>
      <c r="AD32" s="296">
        <v>32.267823820355325</v>
      </c>
      <c r="AE32" s="296">
        <v>32.375603937254589</v>
      </c>
      <c r="AF32" s="296">
        <v>32.526162289322158</v>
      </c>
      <c r="AG32" s="296">
        <v>32.814702315399188</v>
      </c>
      <c r="AH32" s="296">
        <v>32.829208200671275</v>
      </c>
      <c r="AI32" s="296">
        <v>32.976245679640733</v>
      </c>
      <c r="AJ32" s="296">
        <v>33.059745199221396</v>
      </c>
      <c r="AK32" s="296">
        <v>33.200554014977008</v>
      </c>
      <c r="AL32" s="296">
        <v>33.243017087246173</v>
      </c>
      <c r="AM32" s="296">
        <v>33.367218310112328</v>
      </c>
      <c r="AN32" s="296">
        <v>33.416820101777468</v>
      </c>
      <c r="AO32" s="296">
        <v>33.388464765200716</v>
      </c>
      <c r="AP32" s="296">
        <v>33.452109022135367</v>
      </c>
      <c r="AQ32" s="296">
        <v>33.493515645988168</v>
      </c>
      <c r="AR32" s="296">
        <v>33.460425406447371</v>
      </c>
      <c r="AS32" s="296">
        <v>33.447943836719766</v>
      </c>
      <c r="AT32" s="296">
        <v>33.420022082237992</v>
      </c>
      <c r="AU32" s="296">
        <v>33.346815708348572</v>
      </c>
      <c r="AV32" s="297">
        <v>9.5657595646712942E-3</v>
      </c>
    </row>
    <row r="33" spans="1:48" s="280" customFormat="1" ht="12.9" customHeight="1">
      <c r="A33" s="280" t="s">
        <v>50</v>
      </c>
      <c r="B33" s="296">
        <v>16.702437187989137</v>
      </c>
      <c r="C33" s="296">
        <v>17.975547195644388</v>
      </c>
      <c r="D33" s="296">
        <v>18.52862945579167</v>
      </c>
      <c r="E33" s="296">
        <v>26.326216229440853</v>
      </c>
      <c r="F33" s="296">
        <v>14.548188935526408</v>
      </c>
      <c r="G33" s="296">
        <v>18.012754261000001</v>
      </c>
      <c r="H33" s="296">
        <v>23.841538827600001</v>
      </c>
      <c r="I33" s="296">
        <v>27.540236753026051</v>
      </c>
      <c r="J33" s="296">
        <v>26.118243496020494</v>
      </c>
      <c r="K33" s="296">
        <v>24.44948128053613</v>
      </c>
      <c r="L33" s="296">
        <v>13.73743741153484</v>
      </c>
      <c r="M33" s="296">
        <v>10.983489622817544</v>
      </c>
      <c r="N33" s="296">
        <v>12.940838376299997</v>
      </c>
      <c r="O33" s="296">
        <v>16.150238000000002</v>
      </c>
      <c r="P33" s="296">
        <v>16.168748999999998</v>
      </c>
      <c r="Q33" s="296">
        <v>17.418032</v>
      </c>
      <c r="R33" s="296">
        <v>16.887632</v>
      </c>
      <c r="S33" s="296">
        <v>16.967361</v>
      </c>
      <c r="T33" s="296">
        <v>17.108086</v>
      </c>
      <c r="U33" s="296">
        <v>17.457799999999999</v>
      </c>
      <c r="V33" s="296">
        <v>17.689713999999999</v>
      </c>
      <c r="W33" s="296">
        <v>17.829453000000001</v>
      </c>
      <c r="X33" s="296">
        <v>18.357824000000001</v>
      </c>
      <c r="Y33" s="296">
        <v>18.697882</v>
      </c>
      <c r="Z33" s="296">
        <v>19.128941999999999</v>
      </c>
      <c r="AA33" s="296">
        <v>19.633607999999999</v>
      </c>
      <c r="AB33" s="296">
        <v>19.848566000000002</v>
      </c>
      <c r="AC33" s="296">
        <v>20.206053000000001</v>
      </c>
      <c r="AD33" s="296">
        <v>20.544014000000001</v>
      </c>
      <c r="AE33" s="296">
        <v>20.549721000000002</v>
      </c>
      <c r="AF33" s="296">
        <v>20.799372000000002</v>
      </c>
      <c r="AG33" s="296">
        <v>21.188015</v>
      </c>
      <c r="AH33" s="296">
        <v>21.230612000000001</v>
      </c>
      <c r="AI33" s="296">
        <v>21.401861</v>
      </c>
      <c r="AJ33" s="296">
        <v>21.561018000000001</v>
      </c>
      <c r="AK33" s="296">
        <v>21.711400999999999</v>
      </c>
      <c r="AL33" s="296">
        <v>21.836012</v>
      </c>
      <c r="AM33" s="296">
        <v>22.080379000000001</v>
      </c>
      <c r="AN33" s="296">
        <v>22.184204000000001</v>
      </c>
      <c r="AO33" s="296">
        <v>22.144774999999999</v>
      </c>
      <c r="AP33" s="296">
        <v>22.220886</v>
      </c>
      <c r="AQ33" s="296">
        <v>22.278376000000002</v>
      </c>
      <c r="AR33" s="296">
        <v>22.32864</v>
      </c>
      <c r="AS33" s="296">
        <v>22.359480000000001</v>
      </c>
      <c r="AT33" s="296">
        <v>22.393153999999999</v>
      </c>
      <c r="AU33" s="296">
        <v>22.407043000000002</v>
      </c>
      <c r="AV33" s="297">
        <v>1.2106642406755862E-2</v>
      </c>
    </row>
    <row r="34" spans="1:48" s="280" customFormat="1" ht="12.9" customHeight="1">
      <c r="A34" s="280" t="s">
        <v>51</v>
      </c>
      <c r="B34" s="296">
        <v>23.581029927118582</v>
      </c>
      <c r="C34" s="296">
        <v>24.455105964321913</v>
      </c>
      <c r="D34" s="296">
        <v>25.885869718822821</v>
      </c>
      <c r="E34" s="296">
        <v>33.59062427495482</v>
      </c>
      <c r="F34" s="296">
        <v>21.580136738551513</v>
      </c>
      <c r="G34" s="296">
        <v>24.676323889999999</v>
      </c>
      <c r="H34" s="296">
        <v>29.8158830466</v>
      </c>
      <c r="I34" s="296">
        <v>34.119823132474451</v>
      </c>
      <c r="J34" s="296">
        <v>33.276313210332994</v>
      </c>
      <c r="K34" s="296">
        <v>31.978790781061949</v>
      </c>
      <c r="L34" s="296">
        <v>21.938467101971739</v>
      </c>
      <c r="M34" s="296">
        <v>18.94944661480184</v>
      </c>
      <c r="N34" s="296">
        <v>20.585025985557937</v>
      </c>
      <c r="O34" s="296">
        <v>22.173495952368839</v>
      </c>
      <c r="P34" s="296">
        <v>22.657205845975959</v>
      </c>
      <c r="Q34" s="296">
        <v>24.466268131712869</v>
      </c>
      <c r="R34" s="296">
        <v>24.284140712044159</v>
      </c>
      <c r="S34" s="296">
        <v>24.942804159829993</v>
      </c>
      <c r="T34" s="296">
        <v>25.520424071809853</v>
      </c>
      <c r="U34" s="296">
        <v>26.316389081045358</v>
      </c>
      <c r="V34" s="296">
        <v>26.683408721823394</v>
      </c>
      <c r="W34" s="296">
        <v>26.782051914506141</v>
      </c>
      <c r="X34" s="296">
        <v>27.33787752522176</v>
      </c>
      <c r="Y34" s="296">
        <v>27.575573414211568</v>
      </c>
      <c r="Z34" s="296">
        <v>27.973695427158898</v>
      </c>
      <c r="AA34" s="296">
        <v>30.781843092188005</v>
      </c>
      <c r="AB34" s="296">
        <v>31.033144096523689</v>
      </c>
      <c r="AC34" s="296">
        <v>31.268981753352605</v>
      </c>
      <c r="AD34" s="296">
        <v>31.982853861097748</v>
      </c>
      <c r="AE34" s="296">
        <v>31.805642583440147</v>
      </c>
      <c r="AF34" s="296">
        <v>32.015888681980364</v>
      </c>
      <c r="AG34" s="296">
        <v>32.307728834044603</v>
      </c>
      <c r="AH34" s="296">
        <v>32.215555633723888</v>
      </c>
      <c r="AI34" s="296">
        <v>32.351733612936741</v>
      </c>
      <c r="AJ34" s="296">
        <v>32.50854943042593</v>
      </c>
      <c r="AK34" s="296">
        <v>32.605321238647356</v>
      </c>
      <c r="AL34" s="296">
        <v>32.7268127955289</v>
      </c>
      <c r="AM34" s="296">
        <v>32.908510886533541</v>
      </c>
      <c r="AN34" s="296">
        <v>32.928761671397204</v>
      </c>
      <c r="AO34" s="296">
        <v>33.005947825376758</v>
      </c>
      <c r="AP34" s="296">
        <v>33.000723543755548</v>
      </c>
      <c r="AQ34" s="296">
        <v>33.01315904381309</v>
      </c>
      <c r="AR34" s="296">
        <v>33.018422782335598</v>
      </c>
      <c r="AS34" s="296">
        <v>32.974662260451467</v>
      </c>
      <c r="AT34" s="296">
        <v>32.933585747305301</v>
      </c>
      <c r="AU34" s="296">
        <v>33.014688468463213</v>
      </c>
      <c r="AV34" s="297">
        <v>1.2703677096488515E-2</v>
      </c>
    </row>
    <row r="35" spans="1:48" s="280" customFormat="1" ht="12.9" customHeight="1">
      <c r="A35" s="280" t="s">
        <v>29</v>
      </c>
      <c r="B35" s="296">
        <v>10.868934719680732</v>
      </c>
      <c r="C35" s="296">
        <v>11.781013667017787</v>
      </c>
      <c r="D35" s="296">
        <v>11.945835170871824</v>
      </c>
      <c r="E35" s="296">
        <v>20.824636319965069</v>
      </c>
      <c r="F35" s="296">
        <v>11.526194206927102</v>
      </c>
      <c r="G35" s="296">
        <v>15.439504906</v>
      </c>
      <c r="H35" s="296">
        <v>25.107132314400001</v>
      </c>
      <c r="I35" s="296">
        <v>23.965906763478063</v>
      </c>
      <c r="J35" s="296">
        <v>23.169058501261514</v>
      </c>
      <c r="K35" s="296">
        <v>17.084399432277209</v>
      </c>
      <c r="L35" s="296">
        <v>13.98949960318317</v>
      </c>
      <c r="M35" s="296">
        <v>9.9074245097370142</v>
      </c>
      <c r="N35" s="296">
        <v>12.701677064574996</v>
      </c>
      <c r="O35" s="296">
        <v>15.359387</v>
      </c>
      <c r="P35" s="296">
        <v>17.714216</v>
      </c>
      <c r="Q35" s="296">
        <v>17.885853000000001</v>
      </c>
      <c r="R35" s="296">
        <v>17.770924000000001</v>
      </c>
      <c r="S35" s="296">
        <v>16.080082000000001</v>
      </c>
      <c r="T35" s="296">
        <v>16.396993999999999</v>
      </c>
      <c r="U35" s="296">
        <v>17.004103000000001</v>
      </c>
      <c r="V35" s="296">
        <v>17.272293000000001</v>
      </c>
      <c r="W35" s="296">
        <v>17.88129</v>
      </c>
      <c r="X35" s="296">
        <v>18.612047</v>
      </c>
      <c r="Y35" s="296">
        <v>19.393695999999998</v>
      </c>
      <c r="Z35" s="296">
        <v>19.583659999999998</v>
      </c>
      <c r="AA35" s="296">
        <v>19.405144</v>
      </c>
      <c r="AB35" s="296">
        <v>19.189394</v>
      </c>
      <c r="AC35" s="296">
        <v>19.779019999999999</v>
      </c>
      <c r="AD35" s="296">
        <v>20.366152</v>
      </c>
      <c r="AE35" s="296">
        <v>20.299828999999999</v>
      </c>
      <c r="AF35" s="296">
        <v>20.768834999999999</v>
      </c>
      <c r="AG35" s="296">
        <v>20.722470999999999</v>
      </c>
      <c r="AH35" s="296">
        <v>20.804311999999999</v>
      </c>
      <c r="AI35" s="296">
        <v>20.856086999999999</v>
      </c>
      <c r="AJ35" s="296">
        <v>21.371680999999999</v>
      </c>
      <c r="AK35" s="296">
        <v>21.25882</v>
      </c>
      <c r="AL35" s="296">
        <v>21.299173</v>
      </c>
      <c r="AM35" s="296">
        <v>21.465717000000001</v>
      </c>
      <c r="AN35" s="296">
        <v>21.578751</v>
      </c>
      <c r="AO35" s="296">
        <v>21.551485</v>
      </c>
      <c r="AP35" s="296">
        <v>21.545604999999998</v>
      </c>
      <c r="AQ35" s="296">
        <v>21.988686000000001</v>
      </c>
      <c r="AR35" s="296">
        <v>22.257487999999999</v>
      </c>
      <c r="AS35" s="296">
        <v>22.119291</v>
      </c>
      <c r="AT35" s="296">
        <v>22.127586000000001</v>
      </c>
      <c r="AU35" s="296">
        <v>22.329364999999999</v>
      </c>
      <c r="AV35" s="297">
        <v>1.4181022491327289E-2</v>
      </c>
    </row>
    <row r="36" spans="1:48" s="280" customFormat="1" ht="12.9" customHeight="1">
      <c r="A36" s="280" t="s">
        <v>52</v>
      </c>
      <c r="B36" s="296">
        <v>14.347516543540372</v>
      </c>
      <c r="C36" s="296">
        <v>13.450918029411255</v>
      </c>
      <c r="D36" s="296">
        <v>12.714585281051809</v>
      </c>
      <c r="E36" s="296">
        <v>15.022166673886632</v>
      </c>
      <c r="F36" s="296">
        <v>10.607329831625647</v>
      </c>
      <c r="G36" s="296">
        <v>15.702759674999999</v>
      </c>
      <c r="H36" s="296">
        <v>16.275761133</v>
      </c>
      <c r="I36" s="296">
        <v>18.340810988316612</v>
      </c>
      <c r="J36" s="296">
        <v>18.112276357726433</v>
      </c>
      <c r="K36" s="296">
        <v>22.497340234655006</v>
      </c>
      <c r="L36" s="296">
        <v>20.092027573140665</v>
      </c>
      <c r="M36" s="296">
        <v>17.266133423212487</v>
      </c>
      <c r="N36" s="296">
        <v>17.636189999599996</v>
      </c>
      <c r="O36" s="296">
        <v>16.264334000000002</v>
      </c>
      <c r="P36" s="296">
        <v>15.816557</v>
      </c>
      <c r="Q36" s="296">
        <v>15.673629999999999</v>
      </c>
      <c r="R36" s="296">
        <v>14.446904999999999</v>
      </c>
      <c r="S36" s="296">
        <v>14.669972</v>
      </c>
      <c r="T36" s="296">
        <v>14.603374000000001</v>
      </c>
      <c r="U36" s="296">
        <v>14.580375</v>
      </c>
      <c r="V36" s="296">
        <v>14.656741</v>
      </c>
      <c r="W36" s="296">
        <v>14.647247999999999</v>
      </c>
      <c r="X36" s="296">
        <v>14.526363999999999</v>
      </c>
      <c r="Y36" s="296">
        <v>14.342238</v>
      </c>
      <c r="Z36" s="296">
        <v>14.230273</v>
      </c>
      <c r="AA36" s="296">
        <v>16.945367999999998</v>
      </c>
      <c r="AB36" s="296">
        <v>16.829132000000001</v>
      </c>
      <c r="AC36" s="296">
        <v>16.821929999999998</v>
      </c>
      <c r="AD36" s="296">
        <v>17.104213999999999</v>
      </c>
      <c r="AE36" s="296">
        <v>17.066445999999999</v>
      </c>
      <c r="AF36" s="296">
        <v>17.033064</v>
      </c>
      <c r="AG36" s="296">
        <v>17.006087999999998</v>
      </c>
      <c r="AH36" s="296">
        <v>16.948395000000001</v>
      </c>
      <c r="AI36" s="296">
        <v>16.904115999999998</v>
      </c>
      <c r="AJ36" s="296">
        <v>16.871345999999999</v>
      </c>
      <c r="AK36" s="296">
        <v>16.862718999999998</v>
      </c>
      <c r="AL36" s="296">
        <v>16.793863000000002</v>
      </c>
      <c r="AM36" s="296">
        <v>16.716545</v>
      </c>
      <c r="AN36" s="296">
        <v>16.724091999999999</v>
      </c>
      <c r="AO36" s="296">
        <v>16.799875</v>
      </c>
      <c r="AP36" s="296">
        <v>16.835936</v>
      </c>
      <c r="AQ36" s="296">
        <v>16.866505</v>
      </c>
      <c r="AR36" s="296">
        <v>16.946145999999999</v>
      </c>
      <c r="AS36" s="296">
        <v>17.045555</v>
      </c>
      <c r="AT36" s="296">
        <v>17.146097000000001</v>
      </c>
      <c r="AU36" s="296">
        <v>17.263930999999999</v>
      </c>
      <c r="AV36" s="297">
        <v>1.9206077697371394E-3</v>
      </c>
    </row>
    <row r="37" spans="1:48" s="280" customFormat="1" ht="12.9" customHeight="1">
      <c r="A37" s="53" t="s">
        <v>8</v>
      </c>
      <c r="B37" s="296">
        <v>25.273055569087418</v>
      </c>
      <c r="C37" s="296">
        <v>23.968927249238199</v>
      </c>
      <c r="D37" s="296">
        <v>23.728557758441507</v>
      </c>
      <c r="E37" s="296">
        <v>24.586978211291097</v>
      </c>
      <c r="F37" s="296">
        <v>23.563944028004737</v>
      </c>
      <c r="G37" s="296">
        <v>25.051514399860356</v>
      </c>
      <c r="H37" s="296">
        <v>24.211661054755247</v>
      </c>
      <c r="I37" s="296">
        <v>27.913016546923913</v>
      </c>
      <c r="J37" s="296">
        <v>28.232515279212006</v>
      </c>
      <c r="K37" s="296">
        <v>29.73839143417678</v>
      </c>
      <c r="L37" s="296">
        <v>25.823030828179906</v>
      </c>
      <c r="M37" s="296">
        <v>26.815254301558824</v>
      </c>
      <c r="N37" s="296">
        <v>22.790843461041714</v>
      </c>
      <c r="O37" s="296">
        <v>36.530536559247523</v>
      </c>
      <c r="P37" s="296">
        <v>37.750075462615207</v>
      </c>
      <c r="Q37" s="296">
        <v>36.641089252267371</v>
      </c>
      <c r="R37" s="296">
        <v>35.85054728680042</v>
      </c>
      <c r="S37" s="296">
        <v>36.969751666042967</v>
      </c>
      <c r="T37" s="296">
        <v>38.224733601662329</v>
      </c>
      <c r="U37" s="296">
        <v>38.564152366623908</v>
      </c>
      <c r="V37" s="296">
        <v>39.512658129219254</v>
      </c>
      <c r="W37" s="296">
        <v>40.777938474767723</v>
      </c>
      <c r="X37" s="296">
        <v>40.933324022094091</v>
      </c>
      <c r="Y37" s="296">
        <v>40.89079789489746</v>
      </c>
      <c r="Z37" s="296">
        <v>40.923142326396828</v>
      </c>
      <c r="AA37" s="296">
        <v>41.294364909019997</v>
      </c>
      <c r="AB37" s="296">
        <v>41.73919850925386</v>
      </c>
      <c r="AC37" s="296">
        <v>41.745638865408168</v>
      </c>
      <c r="AD37" s="296">
        <v>42.060558178384305</v>
      </c>
      <c r="AE37" s="296">
        <v>42.147214442949895</v>
      </c>
      <c r="AF37" s="296">
        <v>41.914748871677517</v>
      </c>
      <c r="AG37" s="296">
        <v>41.932397036150711</v>
      </c>
      <c r="AH37" s="296">
        <v>42.102499113390721</v>
      </c>
      <c r="AI37" s="296">
        <v>41.674714706676355</v>
      </c>
      <c r="AJ37" s="296">
        <v>41.4747751223751</v>
      </c>
      <c r="AK37" s="296">
        <v>41.182185511393847</v>
      </c>
      <c r="AL37" s="296">
        <v>40.769606375438968</v>
      </c>
      <c r="AM37" s="296">
        <v>40.480769451217647</v>
      </c>
      <c r="AN37" s="296">
        <v>40.197653145387605</v>
      </c>
      <c r="AO37" s="296">
        <v>39.946846418890473</v>
      </c>
      <c r="AP37" s="296">
        <v>39.75861635200193</v>
      </c>
      <c r="AQ37" s="296">
        <v>39.508351049858064</v>
      </c>
      <c r="AR37" s="296">
        <v>39.247060305382583</v>
      </c>
      <c r="AS37" s="296">
        <v>39.037097886421847</v>
      </c>
      <c r="AT37" s="296">
        <v>38.870913030588056</v>
      </c>
      <c r="AU37" s="296">
        <v>38.640670703329178</v>
      </c>
      <c r="AV37" s="297">
        <v>0</v>
      </c>
    </row>
    <row r="38" spans="1:48" s="280" customFormat="1" ht="12.9" customHeight="1">
      <c r="B38" s="178"/>
      <c r="C38" s="178"/>
      <c r="I38" s="466"/>
      <c r="J38" s="466"/>
      <c r="K38" s="178"/>
      <c r="L38" s="466"/>
      <c r="M38" s="178"/>
      <c r="N38" s="178"/>
      <c r="O38" s="178"/>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199"/>
    </row>
    <row r="39" spans="1:48" s="280" customFormat="1" ht="12.9" customHeight="1">
      <c r="A39" s="280" t="s">
        <v>416</v>
      </c>
      <c r="B39" s="141" t="s">
        <v>407</v>
      </c>
      <c r="C39" s="141"/>
      <c r="D39" s="141"/>
      <c r="E39" s="141"/>
      <c r="F39" s="141"/>
      <c r="G39" s="141"/>
      <c r="H39" s="141"/>
      <c r="I39" s="141"/>
      <c r="J39" s="466"/>
      <c r="K39" s="178"/>
      <c r="L39" s="466"/>
      <c r="M39" s="178"/>
      <c r="N39" s="178"/>
      <c r="O39" s="178"/>
      <c r="P39" s="466"/>
      <c r="Q39" s="466"/>
      <c r="R39" s="466"/>
      <c r="S39" s="466"/>
      <c r="T39" s="466"/>
      <c r="U39" s="466"/>
      <c r="V39" s="466"/>
      <c r="W39" s="466"/>
      <c r="X39" s="466"/>
      <c r="Y39" s="466"/>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199"/>
    </row>
    <row r="40" spans="1:48" s="280" customFormat="1" ht="12.9" customHeight="1">
      <c r="A40" s="280" t="s">
        <v>23</v>
      </c>
      <c r="B40" s="296">
        <v>16.854451104556041</v>
      </c>
      <c r="C40" s="296">
        <v>17.804532962026791</v>
      </c>
      <c r="D40" s="296">
        <v>19.128826766465245</v>
      </c>
      <c r="E40" s="296">
        <v>22.761811953118713</v>
      </c>
      <c r="F40" s="296">
        <v>16.737196498042987</v>
      </c>
      <c r="G40" s="296">
        <v>20.931666121999999</v>
      </c>
      <c r="H40" s="296">
        <v>24.660451953000003</v>
      </c>
      <c r="I40" s="296">
        <v>28.939255629178632</v>
      </c>
      <c r="J40" s="296">
        <v>28.853403995464859</v>
      </c>
      <c r="K40" s="296">
        <v>27.840445058251927</v>
      </c>
      <c r="L40" s="296">
        <v>17.749441120966889</v>
      </c>
      <c r="M40" s="296">
        <v>13.758000453893089</v>
      </c>
      <c r="N40" s="296">
        <v>20.072283568924995</v>
      </c>
      <c r="O40" s="296">
        <v>22.923307000000001</v>
      </c>
      <c r="P40" s="296">
        <v>23.206955000000001</v>
      </c>
      <c r="Q40" s="296">
        <v>22.874690999999999</v>
      </c>
      <c r="R40" s="296">
        <v>21.764267</v>
      </c>
      <c r="S40" s="296">
        <v>21.143948000000002</v>
      </c>
      <c r="T40" s="296">
        <v>20.573689999999999</v>
      </c>
      <c r="U40" s="296">
        <v>20.465848999999999</v>
      </c>
      <c r="V40" s="296">
        <v>20.825493000000002</v>
      </c>
      <c r="W40" s="296">
        <v>21.000295999999999</v>
      </c>
      <c r="X40" s="296">
        <v>21.635735</v>
      </c>
      <c r="Y40" s="296">
        <v>21.832433999999999</v>
      </c>
      <c r="Z40" s="296">
        <v>22.239858999999999</v>
      </c>
      <c r="AA40" s="296">
        <v>22.397355999999998</v>
      </c>
      <c r="AB40" s="296">
        <v>22.590315</v>
      </c>
      <c r="AC40" s="296">
        <v>22.879048999999998</v>
      </c>
      <c r="AD40" s="296">
        <v>23.179955</v>
      </c>
      <c r="AE40" s="296">
        <v>23.102851999999999</v>
      </c>
      <c r="AF40" s="296">
        <v>23.302244000000002</v>
      </c>
      <c r="AG40" s="296">
        <v>23.703099999999999</v>
      </c>
      <c r="AH40" s="296">
        <v>23.650288</v>
      </c>
      <c r="AI40" s="296">
        <v>23.790972</v>
      </c>
      <c r="AJ40" s="296">
        <v>23.942634999999999</v>
      </c>
      <c r="AK40" s="296">
        <v>24.061036999999999</v>
      </c>
      <c r="AL40" s="296">
        <v>24.155704</v>
      </c>
      <c r="AM40" s="296">
        <v>24.384129000000001</v>
      </c>
      <c r="AN40" s="296">
        <v>24.418779000000001</v>
      </c>
      <c r="AO40" s="296">
        <v>24.348842999999999</v>
      </c>
      <c r="AP40" s="296">
        <v>24.382529999999999</v>
      </c>
      <c r="AQ40" s="296">
        <v>24.395782000000001</v>
      </c>
      <c r="AR40" s="296">
        <v>24.408659</v>
      </c>
      <c r="AS40" s="296">
        <v>24.389842999999999</v>
      </c>
      <c r="AT40" s="296">
        <v>24.371922000000001</v>
      </c>
      <c r="AU40" s="296">
        <v>24.339724</v>
      </c>
      <c r="AV40" s="297">
        <v>1.9309182244080215E-3</v>
      </c>
    </row>
    <row r="41" spans="1:48" s="280" customFormat="1" ht="12.9" customHeight="1">
      <c r="A41" s="280" t="s">
        <v>29</v>
      </c>
      <c r="B41" s="296">
        <v>10.260883605477513</v>
      </c>
      <c r="C41" s="296">
        <v>11.514991020049854</v>
      </c>
      <c r="D41" s="296">
        <v>12.429864774934828</v>
      </c>
      <c r="E41" s="296">
        <v>19.642959947773459</v>
      </c>
      <c r="F41" s="296">
        <v>12.010487536403307</v>
      </c>
      <c r="G41" s="296">
        <v>15.579757000000001</v>
      </c>
      <c r="H41" s="296">
        <v>22.408439552400001</v>
      </c>
      <c r="I41" s="296">
        <v>30.618803787325504</v>
      </c>
      <c r="J41" s="296">
        <v>28.293554609415906</v>
      </c>
      <c r="K41" s="296">
        <v>23.15357446969649</v>
      </c>
      <c r="L41" s="296">
        <v>14.556640945177232</v>
      </c>
      <c r="M41" s="296">
        <v>11.968002446689097</v>
      </c>
      <c r="N41" s="296">
        <v>14.337346452899997</v>
      </c>
      <c r="O41" s="296">
        <v>15.841780999999999</v>
      </c>
      <c r="P41" s="296">
        <v>15.620293999999999</v>
      </c>
      <c r="Q41" s="296">
        <v>15.675404</v>
      </c>
      <c r="R41" s="296">
        <v>15.328849</v>
      </c>
      <c r="S41" s="296">
        <v>15.208363</v>
      </c>
      <c r="T41" s="296">
        <v>15.164421000000001</v>
      </c>
      <c r="U41" s="296">
        <v>15.5373</v>
      </c>
      <c r="V41" s="296">
        <v>15.71514</v>
      </c>
      <c r="W41" s="296">
        <v>15.911068999999999</v>
      </c>
      <c r="X41" s="296">
        <v>16.467813</v>
      </c>
      <c r="Y41" s="296">
        <v>16.667994</v>
      </c>
      <c r="Z41" s="296">
        <v>17.014402</v>
      </c>
      <c r="AA41" s="296">
        <v>17.126814</v>
      </c>
      <c r="AB41" s="296">
        <v>17.307998999999999</v>
      </c>
      <c r="AC41" s="296">
        <v>17.559483</v>
      </c>
      <c r="AD41" s="296">
        <v>17.850088</v>
      </c>
      <c r="AE41" s="296">
        <v>17.754173000000002</v>
      </c>
      <c r="AF41" s="296">
        <v>17.902785999999999</v>
      </c>
      <c r="AG41" s="296">
        <v>18.182891999999999</v>
      </c>
      <c r="AH41" s="296">
        <v>18.332028999999999</v>
      </c>
      <c r="AI41" s="296">
        <v>18.408134</v>
      </c>
      <c r="AJ41" s="296">
        <v>18.574427</v>
      </c>
      <c r="AK41" s="296">
        <v>18.637136000000002</v>
      </c>
      <c r="AL41" s="296">
        <v>18.700137999999999</v>
      </c>
      <c r="AM41" s="296">
        <v>18.983345</v>
      </c>
      <c r="AN41" s="296">
        <v>18.919917999999999</v>
      </c>
      <c r="AO41" s="296">
        <v>18.834900000000001</v>
      </c>
      <c r="AP41" s="296">
        <v>18.874054000000001</v>
      </c>
      <c r="AQ41" s="296">
        <v>18.841963</v>
      </c>
      <c r="AR41" s="296">
        <v>18.839936999999999</v>
      </c>
      <c r="AS41" s="296">
        <v>18.836535000000001</v>
      </c>
      <c r="AT41" s="296">
        <v>18.833345000000001</v>
      </c>
      <c r="AU41" s="296">
        <v>18.822903</v>
      </c>
      <c r="AV41" s="297">
        <v>5.8806558744878513E-3</v>
      </c>
    </row>
    <row r="42" spans="1:48" s="280" customFormat="1" ht="12.9" customHeight="1">
      <c r="A42" s="280" t="s">
        <v>24</v>
      </c>
      <c r="B42" s="296">
        <v>8.8587806092391812</v>
      </c>
      <c r="C42" s="296">
        <v>7.2187537219205105</v>
      </c>
      <c r="D42" s="296">
        <v>7.365604152788511</v>
      </c>
      <c r="E42" s="296">
        <v>8.8873175920093885</v>
      </c>
      <c r="F42" s="296">
        <v>4.8130168071388626</v>
      </c>
      <c r="G42" s="296">
        <v>4.9287729999999996</v>
      </c>
      <c r="H42" s="296">
        <v>4.9588802021999996</v>
      </c>
      <c r="I42" s="296">
        <v>4.4207545472893948</v>
      </c>
      <c r="J42" s="296">
        <v>5.2937810197026716</v>
      </c>
      <c r="K42" s="296">
        <v>5.8873515942431487</v>
      </c>
      <c r="L42" s="296">
        <v>3.7356477945642048</v>
      </c>
      <c r="M42" s="296">
        <v>3.1579278568856042</v>
      </c>
      <c r="N42" s="296">
        <v>3.5135098942749994</v>
      </c>
      <c r="O42" s="296">
        <v>3.4791129999999999</v>
      </c>
      <c r="P42" s="296">
        <v>3.3550770000000001</v>
      </c>
      <c r="Q42" s="296">
        <v>3.5079039999999999</v>
      </c>
      <c r="R42" s="296">
        <v>3.507727</v>
      </c>
      <c r="S42" s="296">
        <v>3.5423249999999999</v>
      </c>
      <c r="T42" s="296">
        <v>3.69299</v>
      </c>
      <c r="U42" s="296">
        <v>3.8288039999999999</v>
      </c>
      <c r="V42" s="296">
        <v>4.0320229999999997</v>
      </c>
      <c r="W42" s="296">
        <v>4.1831870000000002</v>
      </c>
      <c r="X42" s="296">
        <v>4.1302789999999998</v>
      </c>
      <c r="Y42" s="296">
        <v>4.1858129999999996</v>
      </c>
      <c r="Z42" s="296">
        <v>4.2007019999999997</v>
      </c>
      <c r="AA42" s="296">
        <v>4.1709699999999996</v>
      </c>
      <c r="AB42" s="296">
        <v>4.1701509999999997</v>
      </c>
      <c r="AC42" s="296">
        <v>4.3116250000000003</v>
      </c>
      <c r="AD42" s="296">
        <v>4.3599209999999999</v>
      </c>
      <c r="AE42" s="296">
        <v>4.4093590000000003</v>
      </c>
      <c r="AF42" s="296">
        <v>4.4043700000000001</v>
      </c>
      <c r="AG42" s="296">
        <v>4.4597910000000001</v>
      </c>
      <c r="AH42" s="296">
        <v>4.5062280000000001</v>
      </c>
      <c r="AI42" s="296">
        <v>4.5475859999999999</v>
      </c>
      <c r="AJ42" s="296">
        <v>4.5825019999999999</v>
      </c>
      <c r="AK42" s="296">
        <v>4.6598290000000002</v>
      </c>
      <c r="AL42" s="296">
        <v>4.6518519999999999</v>
      </c>
      <c r="AM42" s="296">
        <v>4.6333219999999997</v>
      </c>
      <c r="AN42" s="296">
        <v>4.696682</v>
      </c>
      <c r="AO42" s="296">
        <v>4.8500249999999996</v>
      </c>
      <c r="AP42" s="296">
        <v>4.9161619999999999</v>
      </c>
      <c r="AQ42" s="296">
        <v>4.9961250000000001</v>
      </c>
      <c r="AR42" s="296">
        <v>5.1114610000000003</v>
      </c>
      <c r="AS42" s="296">
        <v>5.2607249999999999</v>
      </c>
      <c r="AT42" s="296">
        <v>5.4120480000000004</v>
      </c>
      <c r="AU42" s="296">
        <v>5.5694689999999998</v>
      </c>
      <c r="AV42" s="297">
        <v>1.8775942316331777E-2</v>
      </c>
    </row>
    <row r="43" spans="1:48" s="280" customFormat="1" ht="12.9" customHeight="1">
      <c r="A43" s="280" t="s">
        <v>39</v>
      </c>
      <c r="B43" s="296">
        <v>1.7320665011297836</v>
      </c>
      <c r="C43" s="296">
        <v>1.9023175526905256</v>
      </c>
      <c r="D43" s="296">
        <v>2.1303159268487466</v>
      </c>
      <c r="E43" s="296">
        <v>2.6336036357309429</v>
      </c>
      <c r="F43" s="296">
        <v>2.7189923274487202</v>
      </c>
      <c r="G43" s="296">
        <v>1.8096479999999999</v>
      </c>
      <c r="H43" s="296">
        <v>2.0108612675999997</v>
      </c>
      <c r="I43" s="296">
        <v>2.3022747970566209</v>
      </c>
      <c r="J43" s="296">
        <v>2.4534220395104436</v>
      </c>
      <c r="K43" s="296">
        <v>2.5854695042381763</v>
      </c>
      <c r="L43" s="296">
        <v>2.4027795829736083</v>
      </c>
      <c r="M43" s="296">
        <v>2.1810099116212669</v>
      </c>
      <c r="N43" s="296">
        <v>2.1177312455999995</v>
      </c>
      <c r="O43" s="296">
        <v>2.1175099999999998</v>
      </c>
      <c r="P43" s="296">
        <v>2.0840179999999999</v>
      </c>
      <c r="Q43" s="296">
        <v>2.1082459999999998</v>
      </c>
      <c r="R43" s="296">
        <v>2.1780650000000001</v>
      </c>
      <c r="S43" s="296">
        <v>2.1726030000000001</v>
      </c>
      <c r="T43" s="296">
        <v>2.1655899999999999</v>
      </c>
      <c r="U43" s="296">
        <v>2.1743809999999999</v>
      </c>
      <c r="V43" s="296">
        <v>2.1848130000000001</v>
      </c>
      <c r="W43" s="296">
        <v>2.1830430000000001</v>
      </c>
      <c r="X43" s="296">
        <v>2.190185</v>
      </c>
      <c r="Y43" s="296">
        <v>2.1840259999999998</v>
      </c>
      <c r="Z43" s="296">
        <v>2.1870530000000001</v>
      </c>
      <c r="AA43" s="296">
        <v>2.1999559999999998</v>
      </c>
      <c r="AB43" s="296">
        <v>2.2022400000000002</v>
      </c>
      <c r="AC43" s="296">
        <v>2.2028780000000001</v>
      </c>
      <c r="AD43" s="296">
        <v>2.2100590000000002</v>
      </c>
      <c r="AE43" s="296">
        <v>2.205228</v>
      </c>
      <c r="AF43" s="296">
        <v>2.2222360000000001</v>
      </c>
      <c r="AG43" s="296">
        <v>2.2449849999999998</v>
      </c>
      <c r="AH43" s="296">
        <v>2.2585160000000002</v>
      </c>
      <c r="AI43" s="296">
        <v>2.2742849999999999</v>
      </c>
      <c r="AJ43" s="296">
        <v>2.2917149999999999</v>
      </c>
      <c r="AK43" s="296">
        <v>2.3072710000000001</v>
      </c>
      <c r="AL43" s="296">
        <v>2.3153239999999999</v>
      </c>
      <c r="AM43" s="296">
        <v>2.3245719999999999</v>
      </c>
      <c r="AN43" s="296">
        <v>2.32972</v>
      </c>
      <c r="AO43" s="296">
        <v>2.3332799999999998</v>
      </c>
      <c r="AP43" s="296">
        <v>2.3345590000000001</v>
      </c>
      <c r="AQ43" s="296">
        <v>2.3388939999999998</v>
      </c>
      <c r="AR43" s="296">
        <v>2.3413179999999998</v>
      </c>
      <c r="AS43" s="296">
        <v>2.3430629999999999</v>
      </c>
      <c r="AT43" s="296">
        <v>2.3453650000000001</v>
      </c>
      <c r="AU43" s="296">
        <v>2.3485779999999998</v>
      </c>
      <c r="AV43" s="297">
        <v>3.4100783467374426E-3</v>
      </c>
    </row>
    <row r="44" spans="1:48">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row>
    <row r="45" spans="1:48">
      <c r="A45" s="54"/>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row>
  </sheetData>
  <hyperlinks>
    <hyperlink ref="B1" location="Cover!B16" display="return to TOC"/>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AW87"/>
  <sheetViews>
    <sheetView workbookViewId="0">
      <pane xSplit="1" ySplit="6" topLeftCell="B7" activePane="bottomRight" state="frozen"/>
      <selection pane="topRight" activeCell="B1" sqref="B1"/>
      <selection pane="bottomLeft" activeCell="A7" sqref="A7"/>
      <selection pane="bottomRight" activeCell="B23" sqref="B23"/>
    </sheetView>
  </sheetViews>
  <sheetFormatPr defaultColWidth="9.33203125" defaultRowHeight="13"/>
  <cols>
    <col min="1" max="1" width="35.6640625" style="40" customWidth="1"/>
    <col min="2" max="8" width="8.88671875" style="40" customWidth="1"/>
    <col min="9" max="9" width="8.88671875" style="44" customWidth="1"/>
    <col min="10" max="10" width="8.88671875" style="42" customWidth="1"/>
    <col min="11" max="47" width="8.88671875" style="40" customWidth="1"/>
    <col min="48" max="16384" width="9.33203125" style="40"/>
  </cols>
  <sheetData>
    <row r="1" spans="1:49" ht="26.15" customHeight="1">
      <c r="A1" s="281" t="s">
        <v>415</v>
      </c>
      <c r="D1" s="295" t="s">
        <v>1216</v>
      </c>
    </row>
    <row r="2" spans="1:49" ht="12.9" customHeight="1">
      <c r="A2" s="43" t="s">
        <v>414</v>
      </c>
      <c r="C2" s="41" t="s">
        <v>1192</v>
      </c>
      <c r="L2"/>
      <c r="M2"/>
      <c r="N2"/>
      <c r="O2"/>
    </row>
    <row r="3" spans="1:49" ht="12.9" customHeight="1">
      <c r="A3" s="43" t="s">
        <v>357</v>
      </c>
      <c r="C3" s="41" t="s">
        <v>313</v>
      </c>
      <c r="H3" s="1"/>
      <c r="K3" s="1"/>
      <c r="L3"/>
      <c r="M3"/>
      <c r="N3"/>
      <c r="O3"/>
      <c r="AV3" s="253" t="s">
        <v>1394</v>
      </c>
    </row>
    <row r="4" spans="1:49" ht="12.9" customHeight="1">
      <c r="B4" s="40" t="s">
        <v>19</v>
      </c>
      <c r="C4" s="40" t="s">
        <v>19</v>
      </c>
      <c r="D4" s="40" t="s">
        <v>19</v>
      </c>
      <c r="E4" s="40" t="s">
        <v>19</v>
      </c>
      <c r="F4" s="40" t="s">
        <v>19</v>
      </c>
      <c r="G4" s="40" t="s">
        <v>19</v>
      </c>
      <c r="L4"/>
      <c r="M4"/>
      <c r="N4"/>
      <c r="O4"/>
      <c r="AV4" s="471" t="s">
        <v>1217</v>
      </c>
    </row>
    <row r="5" spans="1:49" s="280" customFormat="1" ht="12.9" customHeight="1">
      <c r="A5" s="282" t="s">
        <v>20</v>
      </c>
      <c r="B5" s="282">
        <v>2005</v>
      </c>
      <c r="C5" s="282">
        <v>2006</v>
      </c>
      <c r="D5" s="282">
        <v>2007</v>
      </c>
      <c r="E5" s="282">
        <v>2008</v>
      </c>
      <c r="F5" s="282">
        <v>2009</v>
      </c>
      <c r="G5" s="282">
        <v>2010</v>
      </c>
      <c r="H5" s="282">
        <v>2011</v>
      </c>
      <c r="I5" s="282">
        <v>2012</v>
      </c>
      <c r="J5" s="282">
        <v>2013</v>
      </c>
      <c r="K5" s="282">
        <v>2014</v>
      </c>
      <c r="L5" s="282">
        <v>2015</v>
      </c>
      <c r="M5" s="282">
        <v>2016</v>
      </c>
      <c r="N5" s="282">
        <v>2017</v>
      </c>
      <c r="O5" s="282">
        <v>2018</v>
      </c>
      <c r="P5" s="282">
        <v>2019</v>
      </c>
      <c r="Q5" s="282">
        <v>2020</v>
      </c>
      <c r="R5" s="282">
        <v>2021</v>
      </c>
      <c r="S5" s="282">
        <v>2022</v>
      </c>
      <c r="T5" s="282">
        <v>2023</v>
      </c>
      <c r="U5" s="282">
        <v>2024</v>
      </c>
      <c r="V5" s="282">
        <v>2025</v>
      </c>
      <c r="W5" s="282">
        <v>2026</v>
      </c>
      <c r="X5" s="282">
        <v>2027</v>
      </c>
      <c r="Y5" s="282">
        <v>2028</v>
      </c>
      <c r="Z5" s="282">
        <v>2029</v>
      </c>
      <c r="AA5" s="282">
        <v>2030</v>
      </c>
      <c r="AB5" s="282">
        <v>2031</v>
      </c>
      <c r="AC5" s="282">
        <v>2032</v>
      </c>
      <c r="AD5" s="282">
        <v>2033</v>
      </c>
      <c r="AE5" s="282">
        <v>2034</v>
      </c>
      <c r="AF5" s="282">
        <v>2035</v>
      </c>
      <c r="AG5" s="282">
        <v>2036</v>
      </c>
      <c r="AH5" s="282">
        <v>2037</v>
      </c>
      <c r="AI5" s="282">
        <v>2038</v>
      </c>
      <c r="AJ5" s="282">
        <v>2039</v>
      </c>
      <c r="AK5" s="282">
        <v>2040</v>
      </c>
      <c r="AL5" s="282">
        <v>2041</v>
      </c>
      <c r="AM5" s="282">
        <v>2042</v>
      </c>
      <c r="AN5" s="282">
        <v>2043</v>
      </c>
      <c r="AO5" s="282">
        <v>2044</v>
      </c>
      <c r="AP5" s="282">
        <v>2045</v>
      </c>
      <c r="AQ5" s="282">
        <v>2046</v>
      </c>
      <c r="AR5" s="282">
        <v>2047</v>
      </c>
      <c r="AS5" s="282">
        <v>2048</v>
      </c>
      <c r="AT5" s="282">
        <v>2049</v>
      </c>
      <c r="AU5" s="282">
        <v>2050</v>
      </c>
      <c r="AV5" s="254" t="s">
        <v>1218</v>
      </c>
    </row>
    <row r="6" spans="1:49" ht="12.9" customHeight="1">
      <c r="A6" s="40" t="s">
        <v>76</v>
      </c>
      <c r="K6" s="1"/>
      <c r="L6" s="1"/>
      <c r="M6" s="142"/>
      <c r="N6" s="142"/>
      <c r="O6" s="142"/>
      <c r="P6" s="167"/>
      <c r="Q6" s="167"/>
      <c r="R6" s="167"/>
      <c r="S6" s="167"/>
      <c r="T6" s="167"/>
      <c r="U6" s="167"/>
      <c r="V6" s="167"/>
      <c r="W6" s="167"/>
      <c r="X6" s="167"/>
      <c r="Y6" s="167"/>
      <c r="Z6" s="167"/>
      <c r="AA6" s="167"/>
      <c r="AB6" s="167"/>
      <c r="AC6" s="167"/>
      <c r="AD6" s="167"/>
      <c r="AE6" s="167"/>
      <c r="AF6" s="167"/>
      <c r="AG6" s="167"/>
      <c r="AH6" s="167"/>
      <c r="AI6" s="167"/>
      <c r="AJ6" s="167"/>
      <c r="AK6" s="167"/>
    </row>
    <row r="7" spans="1:49" ht="12.9" customHeight="1">
      <c r="A7" s="40" t="s">
        <v>22</v>
      </c>
      <c r="B7" s="302">
        <v>5.8942762385447468E-3</v>
      </c>
      <c r="C7" s="302">
        <v>6.2467946001240303E-3</v>
      </c>
      <c r="D7" s="302">
        <v>7.438418335187668E-3</v>
      </c>
      <c r="E7" s="302">
        <v>7.3868315449196285E-3</v>
      </c>
      <c r="F7" s="302">
        <v>8.1507128623502095E-3</v>
      </c>
      <c r="G7" s="302">
        <v>8.8649914968307545E-3</v>
      </c>
      <c r="H7" s="302">
        <v>8.755865594340672E-3</v>
      </c>
      <c r="I7" s="302">
        <v>6.7459648812051402E-3</v>
      </c>
      <c r="J7" s="302">
        <v>5.5555004904042334E-3</v>
      </c>
      <c r="K7" s="302">
        <v>6.0346624077015978E-3</v>
      </c>
      <c r="L7" s="302">
        <v>6.9229472539708743E-3</v>
      </c>
      <c r="M7" s="302">
        <v>6.9436813729269577E-3</v>
      </c>
      <c r="N7" s="302">
        <v>5.783433359724143E-3</v>
      </c>
      <c r="O7" s="302">
        <v>6.5909187589264697E-3</v>
      </c>
      <c r="P7" s="302">
        <v>6.3105883594219035E-3</v>
      </c>
      <c r="Q7" s="302">
        <v>6.1163809419921581E-3</v>
      </c>
      <c r="R7" s="302">
        <v>5.9556392344241506E-3</v>
      </c>
      <c r="S7" s="302">
        <v>5.8159376524193739E-3</v>
      </c>
      <c r="T7" s="302">
        <v>5.6942745367098866E-3</v>
      </c>
      <c r="U7" s="302">
        <v>5.5825467369033065E-3</v>
      </c>
      <c r="V7" s="302">
        <v>5.4817346199790909E-3</v>
      </c>
      <c r="W7" s="302">
        <v>5.3870500878923262E-3</v>
      </c>
      <c r="X7" s="302">
        <v>5.3040332794291132E-3</v>
      </c>
      <c r="Y7" s="302">
        <v>5.2359778637624541E-3</v>
      </c>
      <c r="Z7" s="302">
        <v>5.1491431868845054E-3</v>
      </c>
      <c r="AA7" s="302">
        <v>5.0879305016698923E-3</v>
      </c>
      <c r="AB7" s="302">
        <v>5.0394601999173396E-3</v>
      </c>
      <c r="AC7" s="302">
        <v>4.9988304470717053E-3</v>
      </c>
      <c r="AD7" s="302">
        <v>4.9618605086801798E-3</v>
      </c>
      <c r="AE7" s="302">
        <v>4.930245565687566E-3</v>
      </c>
      <c r="AF7" s="302">
        <v>4.9026680405009964E-3</v>
      </c>
      <c r="AG7" s="302">
        <v>4.8790893951239324E-3</v>
      </c>
      <c r="AH7" s="302">
        <v>4.8581372190093595E-3</v>
      </c>
      <c r="AI7" s="302">
        <v>4.8414632440420035E-3</v>
      </c>
      <c r="AJ7" s="302">
        <v>4.8282495525616377E-3</v>
      </c>
      <c r="AK7" s="302">
        <v>4.8187327156034463E-3</v>
      </c>
      <c r="AL7" s="302">
        <v>4.8126485504073483E-3</v>
      </c>
      <c r="AM7" s="302">
        <v>4.8058913158750653E-3</v>
      </c>
      <c r="AN7" s="302">
        <v>4.8003865551966363E-3</v>
      </c>
      <c r="AO7" s="302">
        <v>4.7953317825101928E-3</v>
      </c>
      <c r="AP7" s="302">
        <v>4.7939688432499915E-3</v>
      </c>
      <c r="AQ7" s="302">
        <v>4.7953562348023249E-3</v>
      </c>
      <c r="AR7" s="302">
        <v>4.7990275184574419E-3</v>
      </c>
      <c r="AS7" s="302">
        <v>4.8039822925324662E-3</v>
      </c>
      <c r="AT7" s="302">
        <v>4.8116587058175224E-3</v>
      </c>
      <c r="AU7" s="302">
        <v>4.8218394019192388E-3</v>
      </c>
      <c r="AV7" s="472">
        <f>((AU7-O7)/O7)/32</f>
        <v>-8.3878639577527718E-3</v>
      </c>
      <c r="AW7"/>
    </row>
    <row r="8" spans="1:49" ht="12.9" customHeight="1">
      <c r="A8" s="40" t="s">
        <v>54</v>
      </c>
      <c r="B8" s="302">
        <v>5.8034862224497956E-4</v>
      </c>
      <c r="C8" s="302">
        <v>6.231536076880495E-4</v>
      </c>
      <c r="D8" s="302">
        <v>3.5001391495894139E-4</v>
      </c>
      <c r="E8" s="302">
        <v>2.6297341758819938E-4</v>
      </c>
      <c r="F8" s="302">
        <v>2.7778882139598525E-4</v>
      </c>
      <c r="G8" s="302">
        <v>2.5186186473235997E-4</v>
      </c>
      <c r="H8" s="302">
        <v>2.2037913164081496E-4</v>
      </c>
      <c r="I8" s="302">
        <v>1.8519254759732348E-4</v>
      </c>
      <c r="J8" s="302">
        <v>0</v>
      </c>
      <c r="K8" s="302">
        <v>5.5187379184002392E-5</v>
      </c>
      <c r="L8" s="302">
        <v>7.1113938277372215E-5</v>
      </c>
      <c r="M8" s="302">
        <v>3.0731504072374513E-5</v>
      </c>
      <c r="N8" s="302">
        <v>1.9748890306979102E-5</v>
      </c>
      <c r="O8" s="302">
        <v>2.7517151868173095E-5</v>
      </c>
      <c r="P8" s="302">
        <v>2.4728730501898353E-5</v>
      </c>
      <c r="Q8" s="302">
        <v>2.3669471773277677E-5</v>
      </c>
      <c r="R8" s="302">
        <v>2.243326685347065E-5</v>
      </c>
      <c r="S8" s="302">
        <v>2.1248985590055807E-5</v>
      </c>
      <c r="T8" s="302">
        <v>2.0281590144307972E-5</v>
      </c>
      <c r="U8" s="302">
        <v>1.9200021357764467E-5</v>
      </c>
      <c r="V8" s="302">
        <v>1.8280507405607722E-5</v>
      </c>
      <c r="W8" s="302">
        <v>1.7524889891578839E-5</v>
      </c>
      <c r="X8" s="302">
        <v>1.6821732926443624E-5</v>
      </c>
      <c r="Y8" s="302">
        <v>1.6116450801261584E-5</v>
      </c>
      <c r="Z8" s="302">
        <v>1.541220588764166E-5</v>
      </c>
      <c r="AA8" s="302">
        <v>1.4762147408003317E-5</v>
      </c>
      <c r="AB8" s="302">
        <v>1.4110795697675536E-5</v>
      </c>
      <c r="AC8" s="302">
        <v>1.3564035127785418E-5</v>
      </c>
      <c r="AD8" s="302">
        <v>1.2956639023010308E-5</v>
      </c>
      <c r="AE8" s="302">
        <v>1.240713408593014E-5</v>
      </c>
      <c r="AF8" s="302">
        <v>1.1856715373279086E-5</v>
      </c>
      <c r="AG8" s="302">
        <v>1.1363787168623386E-5</v>
      </c>
      <c r="AH8" s="302">
        <v>1.0869102026827263E-5</v>
      </c>
      <c r="AI8" s="302">
        <v>1.037301612910235E-5</v>
      </c>
      <c r="AJ8" s="302">
        <v>9.9331521643406264E-6</v>
      </c>
      <c r="AK8" s="302">
        <v>9.4929607049627209E-6</v>
      </c>
      <c r="AL8" s="302">
        <v>9.1085018334868579E-6</v>
      </c>
      <c r="AM8" s="302">
        <v>8.660311595366361E-6</v>
      </c>
      <c r="AN8" s="302">
        <v>8.3216936748702357E-6</v>
      </c>
      <c r="AO8" s="302">
        <v>7.9244438324167424E-6</v>
      </c>
      <c r="AP8" s="302">
        <v>7.5816218534427678E-6</v>
      </c>
      <c r="AQ8" s="302">
        <v>7.2375263944270676E-6</v>
      </c>
      <c r="AR8" s="302">
        <v>6.8923838446234193E-6</v>
      </c>
      <c r="AS8" s="302">
        <v>6.5465910405632132E-6</v>
      </c>
      <c r="AT8" s="302">
        <v>6.2561522806196478E-6</v>
      </c>
      <c r="AU8" s="302">
        <v>5.9652710031892435E-6</v>
      </c>
      <c r="AV8" s="472">
        <f t="shared" ref="AV8:AV12" si="0">((AU8-O8)/O8)/32</f>
        <v>-2.4475508230549288E-2</v>
      </c>
      <c r="AW8"/>
    </row>
    <row r="9" spans="1:49" ht="12.9" customHeight="1">
      <c r="A9" s="40" t="s">
        <v>23</v>
      </c>
      <c r="B9" s="302">
        <v>6.8304536086320998E-3</v>
      </c>
      <c r="C9" s="302">
        <v>7.422900146842013E-3</v>
      </c>
      <c r="D9" s="302">
        <v>5.5950143999999999E-3</v>
      </c>
      <c r="E9" s="302">
        <v>5.7114527999999999E-3</v>
      </c>
      <c r="F9" s="302">
        <v>6.0786816E-3</v>
      </c>
      <c r="G9" s="302">
        <v>5.4427488000000001E-3</v>
      </c>
      <c r="H9" s="302">
        <v>4.8157727999999997E-3</v>
      </c>
      <c r="I9" s="302">
        <v>4.1798399999999998E-3</v>
      </c>
      <c r="J9" s="302">
        <v>3.2841599999999995E-3</v>
      </c>
      <c r="K9" s="302">
        <v>3.5397273600000002E-3</v>
      </c>
      <c r="L9" s="302">
        <v>3.75409344E-3</v>
      </c>
      <c r="M9" s="302">
        <v>3.4485312173642047E-3</v>
      </c>
      <c r="N9" s="302">
        <v>2.7954720839123755E-3</v>
      </c>
      <c r="O9" s="302">
        <v>2.6713531233866659E-3</v>
      </c>
      <c r="P9" s="302">
        <v>2.5915740212040907E-3</v>
      </c>
      <c r="Q9" s="302">
        <v>2.5098667626481381E-3</v>
      </c>
      <c r="R9" s="302">
        <v>2.4388523967702486E-3</v>
      </c>
      <c r="S9" s="302">
        <v>2.3730104142474229E-3</v>
      </c>
      <c r="T9" s="302">
        <v>2.3085716772874017E-3</v>
      </c>
      <c r="U9" s="302">
        <v>2.2415867069253029E-3</v>
      </c>
      <c r="V9" s="302">
        <v>2.1796396290724974E-3</v>
      </c>
      <c r="W9" s="302">
        <v>2.1209071597580232E-3</v>
      </c>
      <c r="X9" s="302">
        <v>2.0641462239125528E-3</v>
      </c>
      <c r="Y9" s="302">
        <v>2.014001546885069E-3</v>
      </c>
      <c r="Z9" s="302">
        <v>1.9637859700187168E-3</v>
      </c>
      <c r="AA9" s="302">
        <v>1.9200179184525848E-3</v>
      </c>
      <c r="AB9" s="302">
        <v>1.8784600296336954E-3</v>
      </c>
      <c r="AC9" s="302">
        <v>1.8357702675147001E-3</v>
      </c>
      <c r="AD9" s="302">
        <v>1.7939007651809936E-3</v>
      </c>
      <c r="AE9" s="302">
        <v>1.7546454409680594E-3</v>
      </c>
      <c r="AF9" s="302">
        <v>1.7161735700669607E-3</v>
      </c>
      <c r="AG9" s="302">
        <v>1.677415605163185E-3</v>
      </c>
      <c r="AH9" s="302">
        <v>1.6404621764947239E-3</v>
      </c>
      <c r="AI9" s="302">
        <v>1.605364338141611E-3</v>
      </c>
      <c r="AJ9" s="302">
        <v>1.5709252270406434E-3</v>
      </c>
      <c r="AK9" s="302">
        <v>1.5379327732595257E-3</v>
      </c>
      <c r="AL9" s="302">
        <v>1.5052200616685822E-3</v>
      </c>
      <c r="AM9" s="302">
        <v>1.4718787502985501E-3</v>
      </c>
      <c r="AN9" s="302">
        <v>1.4394858483204914E-3</v>
      </c>
      <c r="AO9" s="302">
        <v>1.4075182847491056E-3</v>
      </c>
      <c r="AP9" s="302">
        <v>1.3766315969304696E-3</v>
      </c>
      <c r="AQ9" s="302">
        <v>1.3466064007524267E-3</v>
      </c>
      <c r="AR9" s="302">
        <v>1.3165973459652927E-3</v>
      </c>
      <c r="AS9" s="302">
        <v>1.286367346275282E-3</v>
      </c>
      <c r="AT9" s="302">
        <v>1.257060740145248E-3</v>
      </c>
      <c r="AU9" s="302">
        <v>1.2284141687060332E-3</v>
      </c>
      <c r="AV9" s="472">
        <f t="shared" si="0"/>
        <v>-1.6879775997792314E-2</v>
      </c>
      <c r="AW9"/>
    </row>
    <row r="10" spans="1:49" ht="12.9" customHeight="1">
      <c r="A10" s="40" t="s">
        <v>24</v>
      </c>
      <c r="B10" s="302">
        <v>7.5801999999999994E-2</v>
      </c>
      <c r="C10" s="302">
        <v>7.7752000000000002E-2</v>
      </c>
      <c r="D10" s="302">
        <v>8.2187999999999997E-2</v>
      </c>
      <c r="E10" s="302">
        <v>8.7054000000000006E-2</v>
      </c>
      <c r="F10" s="302">
        <v>8.6681999999999995E-2</v>
      </c>
      <c r="G10" s="302">
        <v>7.8028E-2</v>
      </c>
      <c r="H10" s="302">
        <v>8.7884000000000004E-2</v>
      </c>
      <c r="I10" s="302">
        <v>8.2237000000000005E-2</v>
      </c>
      <c r="J10" s="302">
        <v>8.6128999999999997E-2</v>
      </c>
      <c r="K10" s="302">
        <v>8.2249000000000003E-2</v>
      </c>
      <c r="L10" s="302">
        <v>7.6475000000000001E-2</v>
      </c>
      <c r="M10" s="302">
        <v>8.2328999999999999E-2</v>
      </c>
      <c r="N10" s="302">
        <v>8.4165415194799975E-2</v>
      </c>
      <c r="O10" s="302">
        <v>8.5532732448052901E-2</v>
      </c>
      <c r="P10" s="302">
        <v>8.4416421964726346E-2</v>
      </c>
      <c r="Q10" s="302">
        <v>8.4658997952583373E-2</v>
      </c>
      <c r="R10" s="302">
        <v>8.4834813925563968E-2</v>
      </c>
      <c r="S10" s="302">
        <v>8.510838236638868E-2</v>
      </c>
      <c r="T10" s="302">
        <v>8.5392556393082908E-2</v>
      </c>
      <c r="U10" s="302">
        <v>8.6653299174879309E-2</v>
      </c>
      <c r="V10" s="302">
        <v>8.744372747300827E-2</v>
      </c>
      <c r="W10" s="302">
        <v>8.7750919192656138E-2</v>
      </c>
      <c r="X10" s="302">
        <v>8.7830967124235229E-2</v>
      </c>
      <c r="Y10" s="302">
        <v>8.7985723020185341E-2</v>
      </c>
      <c r="Z10" s="302">
        <v>8.7310890083508036E-2</v>
      </c>
      <c r="AA10" s="302">
        <v>8.6955798536892615E-2</v>
      </c>
      <c r="AB10" s="302">
        <v>8.6811499868324496E-2</v>
      </c>
      <c r="AC10" s="302">
        <v>8.684829545804687E-2</v>
      </c>
      <c r="AD10" s="302">
        <v>8.6926845511169401E-2</v>
      </c>
      <c r="AE10" s="302">
        <v>8.7074321002007432E-2</v>
      </c>
      <c r="AF10" s="302">
        <v>8.7249682152290925E-2</v>
      </c>
      <c r="AG10" s="302">
        <v>8.7446392757140501E-2</v>
      </c>
      <c r="AH10" s="302">
        <v>8.7617093973126295E-2</v>
      </c>
      <c r="AI10" s="302">
        <v>8.7782078156849408E-2</v>
      </c>
      <c r="AJ10" s="302">
        <v>8.7931329541958897E-2</v>
      </c>
      <c r="AK10" s="302">
        <v>8.8072689213039457E-2</v>
      </c>
      <c r="AL10" s="302">
        <v>8.823817265818093E-2</v>
      </c>
      <c r="AM10" s="302">
        <v>8.8352041434754169E-2</v>
      </c>
      <c r="AN10" s="302">
        <v>8.8434233821764671E-2</v>
      </c>
      <c r="AO10" s="302">
        <v>8.8475857885633419E-2</v>
      </c>
      <c r="AP10" s="302">
        <v>8.8521783631504869E-2</v>
      </c>
      <c r="AQ10" s="302">
        <v>8.8564062878936339E-2</v>
      </c>
      <c r="AR10" s="302">
        <v>8.8589481154284597E-2</v>
      </c>
      <c r="AS10" s="302">
        <v>8.8566123066040864E-2</v>
      </c>
      <c r="AT10" s="302">
        <v>8.853233031340875E-2</v>
      </c>
      <c r="AU10" s="302">
        <v>8.8486838096099113E-2</v>
      </c>
      <c r="AV10" s="472">
        <f t="shared" si="0"/>
        <v>1.0793037806609397E-3</v>
      </c>
      <c r="AW10"/>
    </row>
    <row r="11" spans="1:49" ht="12.9" customHeight="1">
      <c r="A11" s="40" t="s">
        <v>56</v>
      </c>
      <c r="B11" s="302">
        <v>2.5619835112737261E-2</v>
      </c>
      <c r="C11" s="302">
        <v>2.864199903128303E-2</v>
      </c>
      <c r="D11" s="302">
        <v>2.4351163685010991E-2</v>
      </c>
      <c r="E11" s="302">
        <v>2.5910547916754244E-2</v>
      </c>
      <c r="F11" s="302">
        <v>2.4137076390130387E-2</v>
      </c>
      <c r="G11" s="302">
        <v>2.4553740910274364E-2</v>
      </c>
      <c r="H11" s="302">
        <v>4.2340021288398137E-2</v>
      </c>
      <c r="I11" s="302">
        <v>3.4990611636400056E-2</v>
      </c>
      <c r="J11" s="302">
        <v>3.4530208851710584E-2</v>
      </c>
      <c r="K11" s="302">
        <v>2.4050060263824075E-2</v>
      </c>
      <c r="L11" s="302">
        <v>2.2825849259334761E-2</v>
      </c>
      <c r="M11" s="302">
        <v>1.2050038567881257E-2</v>
      </c>
      <c r="N11" s="302">
        <v>1.5364514903065663E-2</v>
      </c>
      <c r="O11" s="302">
        <v>1.6494427769252938E-2</v>
      </c>
      <c r="P11" s="302">
        <v>1.7193584030458457E-2</v>
      </c>
      <c r="Q11" s="302">
        <v>1.7407928845809117E-2</v>
      </c>
      <c r="R11" s="302">
        <v>1.7294963990703172E-2</v>
      </c>
      <c r="S11" s="302">
        <v>1.7100261287079158E-2</v>
      </c>
      <c r="T11" s="302">
        <v>1.6948244366821637E-2</v>
      </c>
      <c r="U11" s="302">
        <v>1.6881220312290324E-2</v>
      </c>
      <c r="V11" s="302">
        <v>1.6774832294045673E-2</v>
      </c>
      <c r="W11" s="302">
        <v>1.6629729159350595E-2</v>
      </c>
      <c r="X11" s="302">
        <v>1.6495383216629442E-2</v>
      </c>
      <c r="Y11" s="302">
        <v>1.6319219190474629E-2</v>
      </c>
      <c r="Z11" s="302">
        <v>1.6116294173353266E-2</v>
      </c>
      <c r="AA11" s="302">
        <v>1.586523104717328E-2</v>
      </c>
      <c r="AB11" s="302">
        <v>1.5609704720564539E-2</v>
      </c>
      <c r="AC11" s="302">
        <v>1.535588122466873E-2</v>
      </c>
      <c r="AD11" s="302">
        <v>1.5112039750617772E-2</v>
      </c>
      <c r="AE11" s="302">
        <v>1.48461419963625E-2</v>
      </c>
      <c r="AF11" s="302">
        <v>1.4584123047552792E-2</v>
      </c>
      <c r="AG11" s="302">
        <v>1.4348421880156807E-2</v>
      </c>
      <c r="AH11" s="302">
        <v>1.408198320741046E-2</v>
      </c>
      <c r="AI11" s="302">
        <v>1.3826617523986173E-2</v>
      </c>
      <c r="AJ11" s="302">
        <v>1.3583123776960975E-2</v>
      </c>
      <c r="AK11" s="302">
        <v>1.3342287201155895E-2</v>
      </c>
      <c r="AL11" s="302">
        <v>1.3097776871821409E-2</v>
      </c>
      <c r="AM11" s="302">
        <v>1.2873874400670029E-2</v>
      </c>
      <c r="AN11" s="302">
        <v>1.2642010819270149E-2</v>
      </c>
      <c r="AO11" s="302">
        <v>1.2391023454966822E-2</v>
      </c>
      <c r="AP11" s="302">
        <v>1.2148935047702288E-2</v>
      </c>
      <c r="AQ11" s="302">
        <v>1.1913367930111194E-2</v>
      </c>
      <c r="AR11" s="302">
        <v>1.1677552434735783E-2</v>
      </c>
      <c r="AS11" s="302">
        <v>1.1441410931225911E-2</v>
      </c>
      <c r="AT11" s="302">
        <v>1.1202979216637186E-2</v>
      </c>
      <c r="AU11" s="302">
        <v>1.0962730329174778E-2</v>
      </c>
      <c r="AV11" s="472">
        <f t="shared" si="0"/>
        <v>-1.0480238988628576E-2</v>
      </c>
      <c r="AW11"/>
    </row>
    <row r="12" spans="1:49" ht="12.9" customHeight="1">
      <c r="A12" s="40" t="s">
        <v>25</v>
      </c>
      <c r="B12" s="302">
        <v>0.11332</v>
      </c>
      <c r="C12" s="302">
        <v>0.117504</v>
      </c>
      <c r="D12" s="302">
        <v>0.12074699999999999</v>
      </c>
      <c r="E12" s="302">
        <v>0.123978</v>
      </c>
      <c r="F12" s="302">
        <v>0.12545300000000001</v>
      </c>
      <c r="G12" s="302">
        <v>0.119102</v>
      </c>
      <c r="H12" s="302">
        <v>0.124115</v>
      </c>
      <c r="I12" s="302">
        <v>0.12116300000000001</v>
      </c>
      <c r="J12" s="302">
        <v>0.122776</v>
      </c>
      <c r="K12" s="302">
        <v>0.119703</v>
      </c>
      <c r="L12" s="302">
        <v>0.116254</v>
      </c>
      <c r="M12" s="302">
        <v>0.11673</v>
      </c>
      <c r="N12" s="302">
        <v>0.12439573367477594</v>
      </c>
      <c r="O12" s="302">
        <v>0.12204087750746904</v>
      </c>
      <c r="P12" s="302">
        <v>0.11862723687580025</v>
      </c>
      <c r="Q12" s="302">
        <v>0.11684761416986771</v>
      </c>
      <c r="R12" s="302">
        <v>0.11521526589842083</v>
      </c>
      <c r="S12" s="302">
        <v>0.11355577635510031</v>
      </c>
      <c r="T12" s="302">
        <v>0.11187522321809647</v>
      </c>
      <c r="U12" s="302">
        <v>0.11009632437046522</v>
      </c>
      <c r="V12" s="302">
        <v>0.10833609901835253</v>
      </c>
      <c r="W12" s="302">
        <v>0.10663235510029878</v>
      </c>
      <c r="X12" s="302">
        <v>0.10476178915919761</v>
      </c>
      <c r="Y12" s="302">
        <v>0.10292075800256083</v>
      </c>
      <c r="Z12" s="302">
        <v>0.1018107383696116</v>
      </c>
      <c r="AA12" s="302">
        <v>0.1015605360648741</v>
      </c>
      <c r="AB12" s="302">
        <v>0.10167605292360223</v>
      </c>
      <c r="AC12" s="302">
        <v>0.10186643790012805</v>
      </c>
      <c r="AD12" s="302">
        <v>0.10217900469483568</v>
      </c>
      <c r="AE12" s="302">
        <v>0.10262277080665813</v>
      </c>
      <c r="AF12" s="302">
        <v>0.1031030712761417</v>
      </c>
      <c r="AG12" s="302">
        <v>0.10325451859439456</v>
      </c>
      <c r="AH12" s="302">
        <v>0.10356495849440067</v>
      </c>
      <c r="AI12" s="302">
        <v>0.10387539839440676</v>
      </c>
      <c r="AJ12" s="302">
        <v>0.10418583829441287</v>
      </c>
      <c r="AK12" s="302">
        <v>0.10449627819441895</v>
      </c>
      <c r="AL12" s="302">
        <v>0.10480671809442506</v>
      </c>
      <c r="AM12" s="302">
        <v>0.10511715799443115</v>
      </c>
      <c r="AN12" s="302">
        <v>0.10542759789443726</v>
      </c>
      <c r="AO12" s="302">
        <v>0.10573803779444335</v>
      </c>
      <c r="AP12" s="302">
        <v>0.10604847769444946</v>
      </c>
      <c r="AQ12" s="302">
        <v>0.10635891759445554</v>
      </c>
      <c r="AR12" s="302">
        <v>0.10666935749446164</v>
      </c>
      <c r="AS12" s="302">
        <v>0.10697979739446774</v>
      </c>
      <c r="AT12" s="302">
        <v>0.10729023729447384</v>
      </c>
      <c r="AU12" s="302">
        <v>0.10760067719447994</v>
      </c>
      <c r="AV12" s="472">
        <f t="shared" si="0"/>
        <v>-3.6975828836800372E-3</v>
      </c>
      <c r="AW12"/>
    </row>
    <row r="13" spans="1:49" customFormat="1" ht="12.9" customHeight="1">
      <c r="B13" s="165"/>
      <c r="C13" s="532"/>
      <c r="D13" s="532"/>
      <c r="E13" s="532"/>
      <c r="F13" s="532"/>
      <c r="G13" s="532"/>
      <c r="H13" s="532"/>
      <c r="I13" s="532"/>
      <c r="J13" s="532"/>
      <c r="K13" s="532"/>
      <c r="L13" s="532"/>
      <c r="M13" s="532"/>
      <c r="N13" s="532"/>
      <c r="O13" s="532"/>
      <c r="P13" s="165"/>
      <c r="Q13" s="165"/>
      <c r="R13" s="165"/>
      <c r="S13" s="165"/>
      <c r="T13" s="165"/>
      <c r="U13" s="165"/>
      <c r="V13" s="165"/>
      <c r="W13" s="165"/>
      <c r="X13" s="165"/>
      <c r="Y13" s="165"/>
      <c r="Z13" s="165"/>
      <c r="AA13" s="165"/>
      <c r="AB13" s="165"/>
      <c r="AC13" s="165"/>
      <c r="AD13" s="165"/>
      <c r="AE13" s="165"/>
      <c r="AF13" s="165"/>
      <c r="AG13" s="532"/>
      <c r="AH13" s="532"/>
      <c r="AI13" s="532"/>
      <c r="AJ13" s="532"/>
      <c r="AK13" s="532"/>
      <c r="AL13" s="532"/>
      <c r="AM13" s="532"/>
      <c r="AN13" s="532"/>
      <c r="AO13" s="532"/>
      <c r="AP13" s="532"/>
      <c r="AQ13" s="532"/>
      <c r="AR13" s="532"/>
      <c r="AS13" s="532"/>
      <c r="AT13" s="532"/>
      <c r="AU13" s="532"/>
      <c r="AV13" s="470"/>
    </row>
    <row r="14" spans="1:49" ht="12.9" customHeight="1">
      <c r="A14" s="40" t="s">
        <v>77</v>
      </c>
      <c r="B14" s="532"/>
      <c r="C14" s="532"/>
      <c r="D14" s="532"/>
      <c r="E14" s="532"/>
      <c r="F14" s="532"/>
      <c r="G14" s="532"/>
      <c r="H14" s="532"/>
      <c r="I14" s="532"/>
      <c r="J14" s="532"/>
      <c r="K14" s="178"/>
      <c r="L14" s="178"/>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8"/>
      <c r="AK14" s="467"/>
      <c r="AL14" s="467"/>
      <c r="AM14" s="467"/>
      <c r="AN14" s="467"/>
      <c r="AO14" s="467"/>
      <c r="AP14" s="467"/>
      <c r="AQ14" s="467"/>
      <c r="AR14" s="467"/>
      <c r="AS14" s="467"/>
      <c r="AT14" s="467"/>
      <c r="AU14" s="532"/>
      <c r="AV14" s="470"/>
      <c r="AW14"/>
    </row>
    <row r="15" spans="1:49" ht="12.9" customHeight="1">
      <c r="A15" s="40" t="s">
        <v>22</v>
      </c>
      <c r="B15" s="302">
        <v>1.2587159951896001E-3</v>
      </c>
      <c r="C15" s="302">
        <v>1.0560701573511305E-3</v>
      </c>
      <c r="D15" s="302">
        <v>1.3134790445170008E-3</v>
      </c>
      <c r="E15" s="302">
        <v>1.2928443284097851E-3</v>
      </c>
      <c r="F15" s="302">
        <v>2.7083064890720638E-3</v>
      </c>
      <c r="G15" s="302">
        <v>3.0475888404503221E-3</v>
      </c>
      <c r="H15" s="302">
        <v>3.1586988502584068E-3</v>
      </c>
      <c r="I15" s="302">
        <v>3.3729824406025701E-3</v>
      </c>
      <c r="J15" s="302">
        <v>3.571393172402721E-3</v>
      </c>
      <c r="K15" s="302">
        <v>3.140841884396393E-3</v>
      </c>
      <c r="L15" s="302">
        <v>3.0670330921667367E-3</v>
      </c>
      <c r="M15" s="302">
        <v>3.1091878810090394E-3</v>
      </c>
      <c r="N15" s="302">
        <v>3.8392013189207049E-3</v>
      </c>
      <c r="O15" s="302">
        <v>3.5644565930658982E-3</v>
      </c>
      <c r="P15" s="302">
        <v>3.5704488129175882E-3</v>
      </c>
      <c r="Q15" s="302">
        <v>3.6138198737450137E-3</v>
      </c>
      <c r="R15" s="302">
        <v>3.6477500064558601E-3</v>
      </c>
      <c r="S15" s="302">
        <v>3.6708420419556118E-3</v>
      </c>
      <c r="T15" s="302">
        <v>3.7002990005522911E-3</v>
      </c>
      <c r="U15" s="302">
        <v>3.7233428077092976E-3</v>
      </c>
      <c r="V15" s="302">
        <v>3.7447201061078356E-3</v>
      </c>
      <c r="W15" s="302">
        <v>3.7717677276254778E-3</v>
      </c>
      <c r="X15" s="302">
        <v>3.8042771396995757E-3</v>
      </c>
      <c r="Y15" s="302">
        <v>3.8403744091912739E-3</v>
      </c>
      <c r="Z15" s="302">
        <v>3.8061370678549671E-3</v>
      </c>
      <c r="AA15" s="302">
        <v>3.8489002003417377E-3</v>
      </c>
      <c r="AB15" s="302">
        <v>3.882221402357864E-3</v>
      </c>
      <c r="AC15" s="302">
        <v>3.9195632397628927E-3</v>
      </c>
      <c r="AD15" s="302">
        <v>3.9543454423612455E-3</v>
      </c>
      <c r="AE15" s="302">
        <v>3.9902158549096041E-3</v>
      </c>
      <c r="AF15" s="302">
        <v>4.0269188374418416E-3</v>
      </c>
      <c r="AG15" s="302">
        <v>4.0634734598037478E-3</v>
      </c>
      <c r="AH15" s="302">
        <v>4.1018295858204733E-3</v>
      </c>
      <c r="AI15" s="302">
        <v>4.1412575316870353E-3</v>
      </c>
      <c r="AJ15" s="302">
        <v>4.1809155677630062E-3</v>
      </c>
      <c r="AK15" s="302">
        <v>4.2210467883604229E-3</v>
      </c>
      <c r="AL15" s="302">
        <v>4.263053754190377E-3</v>
      </c>
      <c r="AM15" s="302">
        <v>4.3007756093685181E-3</v>
      </c>
      <c r="AN15" s="302">
        <v>4.3366640329752168E-3</v>
      </c>
      <c r="AO15" s="302">
        <v>4.3713635783791437E-3</v>
      </c>
      <c r="AP15" s="302">
        <v>4.4062449926998894E-3</v>
      </c>
      <c r="AQ15" s="302">
        <v>4.4412176740713976E-3</v>
      </c>
      <c r="AR15" s="302">
        <v>4.4754132424191257E-3</v>
      </c>
      <c r="AS15" s="302">
        <v>4.5089015185411623E-3</v>
      </c>
      <c r="AT15" s="302">
        <v>4.5428229637406916E-3</v>
      </c>
      <c r="AU15" s="517">
        <v>4.5773730518920402E-3</v>
      </c>
      <c r="AV15" s="472">
        <f>((AU15-O15)/O15)/32</f>
        <v>8.8803548344211069E-3</v>
      </c>
      <c r="AW15"/>
    </row>
    <row r="16" spans="1:49" ht="12.9" customHeight="1">
      <c r="A16" s="40" t="s">
        <v>28</v>
      </c>
      <c r="B16" s="302">
        <v>3.6985840507473735E-4</v>
      </c>
      <c r="C16" s="302">
        <v>3.5468746916060654E-4</v>
      </c>
      <c r="D16" s="302">
        <v>4.7044319165203357E-4</v>
      </c>
      <c r="E16" s="302">
        <v>3.9724816211992637E-4</v>
      </c>
      <c r="F16" s="302">
        <v>3.6395318551876526E-4</v>
      </c>
      <c r="G16" s="302">
        <v>3.9630457978709989E-4</v>
      </c>
      <c r="H16" s="302">
        <v>3.7608495836939074E-4</v>
      </c>
      <c r="I16" s="302">
        <v>4.0439242835418361E-4</v>
      </c>
      <c r="J16" s="302">
        <v>4.0439242835418361E-4</v>
      </c>
      <c r="K16" s="302">
        <v>3.8956470598119691E-4</v>
      </c>
      <c r="L16" s="302">
        <v>5.4660376565873812E-4</v>
      </c>
      <c r="M16" s="302">
        <v>5.4660376565873812E-4</v>
      </c>
      <c r="N16" s="302">
        <v>5.4660376565873812E-4</v>
      </c>
      <c r="O16" s="302">
        <v>5.4660376565873812E-4</v>
      </c>
      <c r="P16" s="302">
        <v>5.4660376565873812E-4</v>
      </c>
      <c r="Q16" s="302">
        <v>5.4660376565873812E-4</v>
      </c>
      <c r="R16" s="302">
        <v>5.4660376565873812E-4</v>
      </c>
      <c r="S16" s="302">
        <v>5.4660376565873812E-4</v>
      </c>
      <c r="T16" s="302">
        <v>5.4660376565873812E-4</v>
      </c>
      <c r="U16" s="302">
        <v>5.4660376565873812E-4</v>
      </c>
      <c r="V16" s="302">
        <v>5.4660376565873812E-4</v>
      </c>
      <c r="W16" s="302">
        <v>5.4660376565873812E-4</v>
      </c>
      <c r="X16" s="302">
        <v>5.4660376565873812E-4</v>
      </c>
      <c r="Y16" s="302">
        <v>5.4660376565873812E-4</v>
      </c>
      <c r="Z16" s="302">
        <v>5.4660376565873812E-4</v>
      </c>
      <c r="AA16" s="302">
        <v>5.4660376565873812E-4</v>
      </c>
      <c r="AB16" s="302">
        <v>5.4660376565873812E-4</v>
      </c>
      <c r="AC16" s="302">
        <v>5.4660376565873812E-4</v>
      </c>
      <c r="AD16" s="302">
        <v>5.4660376565873812E-4</v>
      </c>
      <c r="AE16" s="302">
        <v>5.4660376565873812E-4</v>
      </c>
      <c r="AF16" s="302">
        <v>5.4660376565873812E-4</v>
      </c>
      <c r="AG16" s="302">
        <v>5.4660376565873812E-4</v>
      </c>
      <c r="AH16" s="302">
        <v>5.4660376565873812E-4</v>
      </c>
      <c r="AI16" s="302">
        <v>5.4660376565873812E-4</v>
      </c>
      <c r="AJ16" s="302">
        <v>5.4660376565873812E-4</v>
      </c>
      <c r="AK16" s="302">
        <v>5.4660376565873812E-4</v>
      </c>
      <c r="AL16" s="302">
        <v>5.4660376565873812E-4</v>
      </c>
      <c r="AM16" s="302">
        <v>5.4660376565873812E-4</v>
      </c>
      <c r="AN16" s="302">
        <v>5.4660376565873812E-4</v>
      </c>
      <c r="AO16" s="302">
        <v>5.4660376565873812E-4</v>
      </c>
      <c r="AP16" s="302">
        <v>5.4660376565873812E-4</v>
      </c>
      <c r="AQ16" s="302">
        <v>5.4660376565873812E-4</v>
      </c>
      <c r="AR16" s="302">
        <v>5.4660376565873812E-4</v>
      </c>
      <c r="AS16" s="302">
        <v>5.4660376565873812E-4</v>
      </c>
      <c r="AT16" s="302">
        <v>5.4660376565873812E-4</v>
      </c>
      <c r="AU16" s="302">
        <v>5.4660376565873812E-4</v>
      </c>
      <c r="AV16" s="472">
        <f t="shared" ref="AV16:AV23" si="1">((AU16-O16)/O16)/32</f>
        <v>0</v>
      </c>
      <c r="AW16"/>
    </row>
    <row r="17" spans="1:49" ht="12.9" customHeight="1">
      <c r="A17" s="40" t="s">
        <v>54</v>
      </c>
      <c r="B17" s="302">
        <v>1.592482195869598E-4</v>
      </c>
      <c r="C17" s="302">
        <v>1.317943040934273E-4</v>
      </c>
      <c r="D17" s="302">
        <v>1.6852521831356437E-4</v>
      </c>
      <c r="E17" s="302">
        <v>1.979708333815388E-4</v>
      </c>
      <c r="F17" s="302">
        <v>5.7409689755170276E-5</v>
      </c>
      <c r="G17" s="302">
        <v>6.2965466183089992E-5</v>
      </c>
      <c r="H17" s="302">
        <v>6.1113540707116745E-5</v>
      </c>
      <c r="I17" s="302">
        <v>0</v>
      </c>
      <c r="J17" s="302">
        <v>0</v>
      </c>
      <c r="K17" s="302">
        <v>2.7408497044403875E-5</v>
      </c>
      <c r="L17" s="302">
        <v>1.4259826164993908E-5</v>
      </c>
      <c r="M17" s="302">
        <v>1.075781593719602E-5</v>
      </c>
      <c r="N17" s="302">
        <v>7.683828830750699E-5</v>
      </c>
      <c r="O17" s="302">
        <v>9.3977655874845643E-5</v>
      </c>
      <c r="P17" s="302">
        <v>8.6857022838229543E-5</v>
      </c>
      <c r="Q17" s="302">
        <v>6.5494691531155141E-5</v>
      </c>
      <c r="R17" s="302">
        <v>4.8410320019668696E-5</v>
      </c>
      <c r="S17" s="302">
        <v>3.2737587187207333E-5</v>
      </c>
      <c r="T17" s="302">
        <v>3.3946942090436847E-5</v>
      </c>
      <c r="U17" s="302">
        <v>3.2625437091361023E-5</v>
      </c>
      <c r="V17" s="302">
        <v>3.4320710063144035E-5</v>
      </c>
      <c r="W17" s="302">
        <v>3.6019184529655264E-5</v>
      </c>
      <c r="X17" s="302">
        <v>3.7327659737495114E-5</v>
      </c>
      <c r="Y17" s="302">
        <v>3.8735207740327545E-5</v>
      </c>
      <c r="Z17" s="302">
        <v>3.9270705209782167E-5</v>
      </c>
      <c r="AA17" s="302">
        <v>4.0788364254972095E-5</v>
      </c>
      <c r="AB17" s="302">
        <v>4.201593635285831E-5</v>
      </c>
      <c r="AC17" s="302">
        <v>4.3425436872691992E-5</v>
      </c>
      <c r="AD17" s="302">
        <v>4.4627187955652844E-5</v>
      </c>
      <c r="AE17" s="302">
        <v>4.5839905396622868E-5</v>
      </c>
      <c r="AF17" s="302">
        <v>4.7250789091990212E-5</v>
      </c>
      <c r="AG17" s="302">
        <v>4.8673580747116188E-5</v>
      </c>
      <c r="AH17" s="302">
        <v>4.9404778446857562E-5</v>
      </c>
      <c r="AI17" s="302">
        <v>5.0627908273149422E-5</v>
      </c>
      <c r="AJ17" s="302">
        <v>5.1857600793546682E-5</v>
      </c>
      <c r="AK17" s="302">
        <v>5.3190803265508468E-5</v>
      </c>
      <c r="AL17" s="302">
        <v>5.4429446723243246E-5</v>
      </c>
      <c r="AM17" s="302">
        <v>5.5825316750218836E-5</v>
      </c>
      <c r="AN17" s="302">
        <v>5.7004847463262677E-5</v>
      </c>
      <c r="AO17" s="302">
        <v>5.816561168800172E-5</v>
      </c>
      <c r="AP17" s="302">
        <v>5.9407615034902499E-5</v>
      </c>
      <c r="AQ17" s="302">
        <v>6.0830369867273451E-5</v>
      </c>
      <c r="AR17" s="302">
        <v>6.1840241919747693E-5</v>
      </c>
      <c r="AS17" s="302">
        <v>6.2833221010326684E-5</v>
      </c>
      <c r="AT17" s="302">
        <v>6.3611093890710336E-5</v>
      </c>
      <c r="AU17" s="302">
        <v>6.4763398576180283E-5</v>
      </c>
      <c r="AV17" s="472">
        <f t="shared" si="1"/>
        <v>-9.7144957711980378E-3</v>
      </c>
      <c r="AW17"/>
    </row>
    <row r="18" spans="1:49" ht="12.9" customHeight="1">
      <c r="A18" s="40" t="s">
        <v>23</v>
      </c>
      <c r="B18" s="302">
        <v>4.6543384913355045E-3</v>
      </c>
      <c r="C18" s="302">
        <v>4.6359459206461858E-3</v>
      </c>
      <c r="D18" s="302">
        <v>4.55793E-3</v>
      </c>
      <c r="E18" s="302">
        <v>4.3696793999999997E-3</v>
      </c>
      <c r="F18" s="302">
        <v>7.4005679999999997E-3</v>
      </c>
      <c r="G18" s="302">
        <v>9.3495999999999996E-3</v>
      </c>
      <c r="H18" s="302">
        <v>1.2508686E-2</v>
      </c>
      <c r="I18" s="302">
        <v>7.3717999999999995E-3</v>
      </c>
      <c r="J18" s="302">
        <v>7.0121999999999997E-3</v>
      </c>
      <c r="K18" s="302">
        <v>6.7119340000000001E-3</v>
      </c>
      <c r="L18" s="302">
        <v>6.6919761999999997E-3</v>
      </c>
      <c r="M18" s="302">
        <v>7.2311261095989393E-3</v>
      </c>
      <c r="N18" s="302">
        <v>6.9078268861660188E-3</v>
      </c>
      <c r="O18" s="302">
        <v>7.0027363463817729E-3</v>
      </c>
      <c r="P18" s="302">
        <v>7.440514916078232E-3</v>
      </c>
      <c r="Q18" s="302">
        <v>7.4024323950588429E-3</v>
      </c>
      <c r="R18" s="302">
        <v>7.4477311223120875E-3</v>
      </c>
      <c r="S18" s="302">
        <v>7.5090330905279428E-3</v>
      </c>
      <c r="T18" s="302">
        <v>7.5689294790053261E-3</v>
      </c>
      <c r="U18" s="302">
        <v>7.7181928112317619E-3</v>
      </c>
      <c r="V18" s="302">
        <v>7.792257707060931E-3</v>
      </c>
      <c r="W18" s="302">
        <v>7.7991158331240174E-3</v>
      </c>
      <c r="X18" s="302">
        <v>7.7633978996579584E-3</v>
      </c>
      <c r="Y18" s="302">
        <v>7.7350914670593117E-3</v>
      </c>
      <c r="Z18" s="302">
        <v>7.6423005400901682E-3</v>
      </c>
      <c r="AA18" s="302">
        <v>7.5832961772018632E-3</v>
      </c>
      <c r="AB18" s="302">
        <v>7.5480836766337357E-3</v>
      </c>
      <c r="AC18" s="302">
        <v>7.53141899185785E-3</v>
      </c>
      <c r="AD18" s="302">
        <v>7.5155921503153511E-3</v>
      </c>
      <c r="AE18" s="302">
        <v>7.5114051711088819E-3</v>
      </c>
      <c r="AF18" s="302">
        <v>7.505993434298047E-3</v>
      </c>
      <c r="AG18" s="302">
        <v>7.4993188221876336E-3</v>
      </c>
      <c r="AH18" s="302">
        <v>7.4956107114929685E-3</v>
      </c>
      <c r="AI18" s="302">
        <v>7.4937076279868418E-3</v>
      </c>
      <c r="AJ18" s="302">
        <v>7.4921612251928078E-3</v>
      </c>
      <c r="AK18" s="302">
        <v>7.4953182219772898E-3</v>
      </c>
      <c r="AL18" s="302">
        <v>7.5016941232886204E-3</v>
      </c>
      <c r="AM18" s="302">
        <v>7.4987878733875522E-3</v>
      </c>
      <c r="AN18" s="302">
        <v>7.4970051698322699E-3</v>
      </c>
      <c r="AO18" s="302">
        <v>7.4994030819093525E-3</v>
      </c>
      <c r="AP18" s="302">
        <v>7.4999701638829297E-3</v>
      </c>
      <c r="AQ18" s="302">
        <v>7.4998672487914834E-3</v>
      </c>
      <c r="AR18" s="302">
        <v>7.500169010524086E-3</v>
      </c>
      <c r="AS18" s="302">
        <v>7.4955050891328916E-3</v>
      </c>
      <c r="AT18" s="302">
        <v>7.4896459389240744E-3</v>
      </c>
      <c r="AU18" s="302">
        <v>7.4818972667754927E-3</v>
      </c>
      <c r="AV18" s="472">
        <f t="shared" si="1"/>
        <v>2.1382753857412478E-3</v>
      </c>
      <c r="AW18"/>
    </row>
    <row r="19" spans="1:49" ht="12.9" customHeight="1">
      <c r="A19" s="40" t="s">
        <v>29</v>
      </c>
      <c r="B19" s="302">
        <v>0</v>
      </c>
      <c r="C19" s="302">
        <v>0</v>
      </c>
      <c r="D19" s="302">
        <v>3.7438924259351497E-5</v>
      </c>
      <c r="E19" s="302">
        <v>2.0502268046787723E-5</v>
      </c>
      <c r="F19" s="302">
        <v>3.5834398933950719E-4</v>
      </c>
      <c r="G19" s="302">
        <v>3.9400010768174669E-4</v>
      </c>
      <c r="H19" s="302">
        <v>3.3873312425127543E-5</v>
      </c>
      <c r="I19" s="302">
        <v>0</v>
      </c>
      <c r="J19" s="302">
        <v>0</v>
      </c>
      <c r="K19" s="302">
        <v>1.0518554910960657E-5</v>
      </c>
      <c r="L19" s="302">
        <v>2.1393671005343709E-6</v>
      </c>
      <c r="M19" s="302">
        <v>0</v>
      </c>
      <c r="N19" s="302">
        <v>0</v>
      </c>
      <c r="O19" s="302">
        <v>0</v>
      </c>
      <c r="P19" s="302">
        <v>0</v>
      </c>
      <c r="Q19" s="302">
        <v>0</v>
      </c>
      <c r="R19" s="302">
        <v>0</v>
      </c>
      <c r="S19" s="302">
        <v>0</v>
      </c>
      <c r="T19" s="302">
        <v>0</v>
      </c>
      <c r="U19" s="302">
        <v>0</v>
      </c>
      <c r="V19" s="302">
        <v>0</v>
      </c>
      <c r="W19" s="302">
        <v>0</v>
      </c>
      <c r="X19" s="302">
        <v>0</v>
      </c>
      <c r="Y19" s="302">
        <v>0</v>
      </c>
      <c r="Z19" s="302">
        <v>0</v>
      </c>
      <c r="AA19" s="302">
        <v>0</v>
      </c>
      <c r="AB19" s="302">
        <v>0</v>
      </c>
      <c r="AC19" s="302">
        <v>0</v>
      </c>
      <c r="AD19" s="302">
        <v>0</v>
      </c>
      <c r="AE19" s="302">
        <v>0</v>
      </c>
      <c r="AF19" s="302">
        <v>0</v>
      </c>
      <c r="AG19" s="302">
        <v>0</v>
      </c>
      <c r="AH19" s="302">
        <v>0</v>
      </c>
      <c r="AI19" s="302">
        <v>0</v>
      </c>
      <c r="AJ19" s="302">
        <v>0</v>
      </c>
      <c r="AK19" s="302">
        <v>0</v>
      </c>
      <c r="AL19" s="302">
        <v>0</v>
      </c>
      <c r="AM19" s="302">
        <v>0</v>
      </c>
      <c r="AN19" s="302">
        <v>0</v>
      </c>
      <c r="AO19" s="302">
        <v>0</v>
      </c>
      <c r="AP19" s="302">
        <v>0</v>
      </c>
      <c r="AQ19" s="302">
        <v>0</v>
      </c>
      <c r="AR19" s="302">
        <v>0</v>
      </c>
      <c r="AS19" s="302">
        <v>0</v>
      </c>
      <c r="AT19" s="302">
        <v>0</v>
      </c>
      <c r="AU19" s="302">
        <v>0</v>
      </c>
      <c r="AV19" s="472"/>
      <c r="AW19"/>
    </row>
    <row r="20" spans="1:49" ht="12.9" customHeight="1">
      <c r="A20" s="40" t="s">
        <v>24</v>
      </c>
      <c r="B20" s="302">
        <v>5.1214000000000003E-2</v>
      </c>
      <c r="C20" s="302">
        <v>5.2828E-2</v>
      </c>
      <c r="D20" s="302">
        <v>5.5051999999999997E-2</v>
      </c>
      <c r="E20" s="302">
        <v>5.7896999999999997E-2</v>
      </c>
      <c r="F20" s="302">
        <v>5.7377999999999998E-2</v>
      </c>
      <c r="G20" s="302">
        <v>5.3016000000000001E-2</v>
      </c>
      <c r="H20" s="302">
        <v>5.8134999999999999E-2</v>
      </c>
      <c r="I20" s="302">
        <v>5.4988000000000002E-2</v>
      </c>
      <c r="J20" s="302">
        <v>5.7654999999999998E-2</v>
      </c>
      <c r="K20" s="302">
        <v>5.6876999999999997E-2</v>
      </c>
      <c r="L20" s="302">
        <v>5.3111999999999999E-2</v>
      </c>
      <c r="M20" s="302">
        <v>5.5698999999999999E-2</v>
      </c>
      <c r="N20" s="302">
        <v>5.5966835565110645E-2</v>
      </c>
      <c r="O20" s="302">
        <v>5.8523915625327834E-2</v>
      </c>
      <c r="P20" s="302">
        <v>5.948748667885756E-2</v>
      </c>
      <c r="Q20" s="302">
        <v>6.0301302184893747E-2</v>
      </c>
      <c r="R20" s="302">
        <v>6.0913786654772817E-2</v>
      </c>
      <c r="S20" s="302">
        <v>6.1463325706564806E-2</v>
      </c>
      <c r="T20" s="302">
        <v>6.1822030385556961E-2</v>
      </c>
      <c r="U20" s="302">
        <v>6.3690981410237199E-2</v>
      </c>
      <c r="V20" s="302">
        <v>6.513375116583045E-2</v>
      </c>
      <c r="W20" s="302">
        <v>6.6182537410300057E-2</v>
      </c>
      <c r="X20" s="302">
        <v>6.7095494674876521E-2</v>
      </c>
      <c r="Y20" s="302">
        <v>6.8114712802252467E-2</v>
      </c>
      <c r="Z20" s="302">
        <v>6.7686878212167581E-2</v>
      </c>
      <c r="AA20" s="302">
        <v>6.7674896625387407E-2</v>
      </c>
      <c r="AB20" s="302">
        <v>6.793124961269123E-2</v>
      </c>
      <c r="AC20" s="302">
        <v>6.8528568969132661E-2</v>
      </c>
      <c r="AD20" s="302">
        <v>6.9184360294954783E-2</v>
      </c>
      <c r="AE20" s="302">
        <v>6.9915172102793244E-2</v>
      </c>
      <c r="AF20" s="302">
        <v>7.0714641963580113E-2</v>
      </c>
      <c r="AG20" s="302">
        <v>7.1626689725620654E-2</v>
      </c>
      <c r="AH20" s="302">
        <v>7.259997423589655E-2</v>
      </c>
      <c r="AI20" s="302">
        <v>7.3579983788905484E-2</v>
      </c>
      <c r="AJ20" s="302">
        <v>7.4559327893704883E-2</v>
      </c>
      <c r="AK20" s="302">
        <v>7.5546441277812626E-2</v>
      </c>
      <c r="AL20" s="302">
        <v>7.6759829880778355E-2</v>
      </c>
      <c r="AM20" s="302">
        <v>7.7956446052409714E-2</v>
      </c>
      <c r="AN20" s="302">
        <v>7.9126449044794323E-2</v>
      </c>
      <c r="AO20" s="302">
        <v>8.026913639757613E-2</v>
      </c>
      <c r="AP20" s="302">
        <v>8.142279341273384E-2</v>
      </c>
      <c r="AQ20" s="302">
        <v>8.2621331088611319E-2</v>
      </c>
      <c r="AR20" s="302">
        <v>8.3755414680991236E-2</v>
      </c>
      <c r="AS20" s="302">
        <v>8.4805706049698629E-2</v>
      </c>
      <c r="AT20" s="302">
        <v>8.5772338137669352E-2</v>
      </c>
      <c r="AU20" s="302">
        <v>8.6664340895714814E-2</v>
      </c>
      <c r="AV20" s="472">
        <f t="shared" si="1"/>
        <v>1.5026135560195048E-2</v>
      </c>
      <c r="AW20"/>
    </row>
    <row r="21" spans="1:49" ht="12.9" customHeight="1">
      <c r="A21" s="40" t="s">
        <v>55</v>
      </c>
      <c r="B21" s="302">
        <v>0</v>
      </c>
      <c r="C21" s="302">
        <v>0</v>
      </c>
      <c r="D21" s="302">
        <v>0</v>
      </c>
      <c r="E21" s="302">
        <v>0</v>
      </c>
      <c r="F21" s="302">
        <v>0</v>
      </c>
      <c r="G21" s="302">
        <v>0</v>
      </c>
      <c r="H21" s="302">
        <v>0</v>
      </c>
      <c r="I21" s="302">
        <v>0</v>
      </c>
      <c r="J21" s="302">
        <v>0</v>
      </c>
      <c r="K21" s="302">
        <v>0</v>
      </c>
      <c r="L21" s="302">
        <v>0</v>
      </c>
      <c r="M21" s="302">
        <v>0</v>
      </c>
      <c r="N21" s="302">
        <v>0</v>
      </c>
      <c r="O21" s="302">
        <v>0</v>
      </c>
      <c r="P21" s="302">
        <v>0</v>
      </c>
      <c r="Q21" s="302">
        <v>0</v>
      </c>
      <c r="R21" s="302">
        <v>0</v>
      </c>
      <c r="S21" s="302">
        <v>0</v>
      </c>
      <c r="T21" s="302">
        <v>0</v>
      </c>
      <c r="U21" s="302">
        <v>0</v>
      </c>
      <c r="V21" s="302">
        <v>0</v>
      </c>
      <c r="W21" s="302">
        <v>0</v>
      </c>
      <c r="X21" s="302">
        <v>0</v>
      </c>
      <c r="Y21" s="302">
        <v>0</v>
      </c>
      <c r="Z21" s="302">
        <v>0</v>
      </c>
      <c r="AA21" s="302">
        <v>0</v>
      </c>
      <c r="AB21" s="302">
        <v>0</v>
      </c>
      <c r="AC21" s="302">
        <v>0</v>
      </c>
      <c r="AD21" s="302">
        <v>0</v>
      </c>
      <c r="AE21" s="302">
        <v>0</v>
      </c>
      <c r="AF21" s="302">
        <v>0</v>
      </c>
      <c r="AG21" s="302">
        <v>0</v>
      </c>
      <c r="AH21" s="302">
        <v>0</v>
      </c>
      <c r="AI21" s="302">
        <v>0</v>
      </c>
      <c r="AJ21" s="302">
        <v>0</v>
      </c>
      <c r="AK21" s="302">
        <v>0</v>
      </c>
      <c r="AL21" s="302">
        <v>0</v>
      </c>
      <c r="AM21" s="302">
        <v>0</v>
      </c>
      <c r="AN21" s="302">
        <v>0</v>
      </c>
      <c r="AO21" s="302">
        <v>0</v>
      </c>
      <c r="AP21" s="302">
        <v>0</v>
      </c>
      <c r="AQ21" s="302">
        <v>0</v>
      </c>
      <c r="AR21" s="302">
        <v>0</v>
      </c>
      <c r="AS21" s="302">
        <v>0</v>
      </c>
      <c r="AT21" s="302">
        <v>0</v>
      </c>
      <c r="AU21" s="302">
        <v>0</v>
      </c>
      <c r="AV21" s="472"/>
      <c r="AW21"/>
    </row>
    <row r="22" spans="1:49" ht="12.9" customHeight="1">
      <c r="A22" s="40" t="s">
        <v>57</v>
      </c>
      <c r="B22" s="302">
        <v>1.1232510506697361E-2</v>
      </c>
      <c r="C22" s="302">
        <v>1.2004280513282546E-2</v>
      </c>
      <c r="D22" s="302">
        <v>7.0902028842179067E-3</v>
      </c>
      <c r="E22" s="302">
        <v>8.4327374043724132E-3</v>
      </c>
      <c r="F22" s="302">
        <v>7.6196660866108016E-3</v>
      </c>
      <c r="G22" s="302">
        <v>7.5091694182853287E-3</v>
      </c>
      <c r="H22" s="302">
        <v>1.1597546146327862E-2</v>
      </c>
      <c r="I22" s="302">
        <v>1.0589264047857911E-2</v>
      </c>
      <c r="J22" s="302">
        <v>1.4272486325373708E-2</v>
      </c>
      <c r="K22" s="302">
        <v>1.5841078612810748E-2</v>
      </c>
      <c r="L22" s="302">
        <v>1.5290897285106825E-2</v>
      </c>
      <c r="M22" s="302">
        <v>2.0754026326031674E-3</v>
      </c>
      <c r="N22" s="302">
        <v>3.3825338184819507E-3</v>
      </c>
      <c r="O22" s="302">
        <v>3.3825338184819507E-3</v>
      </c>
      <c r="P22" s="302">
        <v>3.3977855063388059E-3</v>
      </c>
      <c r="Q22" s="302">
        <v>3.4035078928144969E-3</v>
      </c>
      <c r="R22" s="302">
        <v>3.4080406398445616E-3</v>
      </c>
      <c r="S22" s="302">
        <v>3.4125900814022357E-3</v>
      </c>
      <c r="T22" s="302">
        <v>3.4169812017083435E-3</v>
      </c>
      <c r="U22" s="302">
        <v>3.421203350669724E-3</v>
      </c>
      <c r="V22" s="302">
        <v>3.4251607442380839E-3</v>
      </c>
      <c r="W22" s="302">
        <v>3.4290582850517539E-3</v>
      </c>
      <c r="X22" s="302">
        <v>3.4326913584163737E-3</v>
      </c>
      <c r="Y22" s="302">
        <v>3.4361970490957476E-3</v>
      </c>
      <c r="Z22" s="302">
        <v>3.4402633168222601E-3</v>
      </c>
      <c r="AA22" s="302">
        <v>3.4443741042352138E-3</v>
      </c>
      <c r="AB22" s="302">
        <v>3.4485587931539384E-3</v>
      </c>
      <c r="AC22" s="302">
        <v>3.4513522312543468E-3</v>
      </c>
      <c r="AD22" s="302">
        <v>3.453114873590974E-3</v>
      </c>
      <c r="AE22" s="302">
        <v>3.4556134283030772E-3</v>
      </c>
      <c r="AF22" s="302">
        <v>3.4580811876723586E-3</v>
      </c>
      <c r="AG22" s="302">
        <v>3.4612558680297686E-3</v>
      </c>
      <c r="AH22" s="302">
        <v>3.4641651410198754E-3</v>
      </c>
      <c r="AI22" s="302">
        <v>3.4668893150800414E-3</v>
      </c>
      <c r="AJ22" s="302">
        <v>3.4699280825442802E-3</v>
      </c>
      <c r="AK22" s="302">
        <v>3.4731347254052017E-3</v>
      </c>
      <c r="AL22" s="302">
        <v>3.4764708101491545E-3</v>
      </c>
      <c r="AM22" s="302">
        <v>3.4771181578228927E-3</v>
      </c>
      <c r="AN22" s="302">
        <v>3.4766154951589539E-3</v>
      </c>
      <c r="AO22" s="302">
        <v>3.4750121752726371E-3</v>
      </c>
      <c r="AP22" s="302">
        <v>3.4724420172171548E-3</v>
      </c>
      <c r="AQ22" s="302">
        <v>3.4690223823380622E-3</v>
      </c>
      <c r="AR22" s="302">
        <v>3.4647427609070082E-3</v>
      </c>
      <c r="AS22" s="302">
        <v>3.45968056372037E-3</v>
      </c>
      <c r="AT22" s="302">
        <v>3.4537901002250509E-3</v>
      </c>
      <c r="AU22" s="302">
        <v>3.4470934128259922E-3</v>
      </c>
      <c r="AV22" s="472">
        <f t="shared" si="1"/>
        <v>5.9644261713744692E-4</v>
      </c>
      <c r="AW22"/>
    </row>
    <row r="23" spans="1:49" ht="12.9" customHeight="1">
      <c r="A23" s="40" t="s">
        <v>25</v>
      </c>
      <c r="B23" s="302">
        <v>9.5876000000000003E-2</v>
      </c>
      <c r="C23" s="302">
        <v>9.7516000000000005E-2</v>
      </c>
      <c r="D23" s="302">
        <v>0.100992</v>
      </c>
      <c r="E23" s="302">
        <v>0.10194499999999999</v>
      </c>
      <c r="F23" s="302">
        <v>0.102594</v>
      </c>
      <c r="G23" s="302">
        <v>9.8378999999999994E-2</v>
      </c>
      <c r="H23" s="302">
        <v>0.100343</v>
      </c>
      <c r="I23" s="302">
        <v>9.9765999999999994E-2</v>
      </c>
      <c r="J23" s="302">
        <v>0.10119499999999999</v>
      </c>
      <c r="K23" s="302">
        <v>9.9085999999999994E-2</v>
      </c>
      <c r="L23" s="302">
        <v>9.9857000000000001E-2</v>
      </c>
      <c r="M23" s="302">
        <v>9.8910999999999999E-2</v>
      </c>
      <c r="N23" s="302">
        <v>0.10480490635936836</v>
      </c>
      <c r="O23" s="302">
        <v>0.10521333871105421</v>
      </c>
      <c r="P23" s="302">
        <v>0.10555012548015365</v>
      </c>
      <c r="Q23" s="302">
        <v>0.10421451165172857</v>
      </c>
      <c r="R23" s="302">
        <v>0.10267501630388394</v>
      </c>
      <c r="S23" s="302">
        <v>0.10108634400341444</v>
      </c>
      <c r="T23" s="302">
        <v>9.9449491762697392E-2</v>
      </c>
      <c r="U23" s="302">
        <v>9.7830387366624014E-2</v>
      </c>
      <c r="V23" s="302">
        <v>9.6386871190781057E-2</v>
      </c>
      <c r="W23" s="302">
        <v>9.5001582927870254E-2</v>
      </c>
      <c r="X23" s="302">
        <v>9.4089885104566798E-2</v>
      </c>
      <c r="Y23" s="302">
        <v>9.3723052838241575E-2</v>
      </c>
      <c r="Z23" s="302">
        <v>9.3927226291079816E-2</v>
      </c>
      <c r="AA23" s="302">
        <v>9.4841494152795539E-2</v>
      </c>
      <c r="AB23" s="302">
        <v>9.6066288348271439E-2</v>
      </c>
      <c r="AC23" s="302">
        <v>9.7326356636790456E-2</v>
      </c>
      <c r="AD23" s="302">
        <v>9.8648277592829722E-2</v>
      </c>
      <c r="AE23" s="302">
        <v>9.9976876483141297E-2</v>
      </c>
      <c r="AF23" s="302">
        <v>0.10144642048655569</v>
      </c>
      <c r="AG23" s="302">
        <v>0.10265878398634208</v>
      </c>
      <c r="AH23" s="302">
        <v>0.1039753073300408</v>
      </c>
      <c r="AI23" s="302">
        <v>0.1052918306737395</v>
      </c>
      <c r="AJ23" s="302">
        <v>0.1066083540174378</v>
      </c>
      <c r="AK23" s="302">
        <v>0.1079248773611365</v>
      </c>
      <c r="AL23" s="302">
        <v>0.1092414007048348</v>
      </c>
      <c r="AM23" s="302">
        <v>0.1105579240485335</v>
      </c>
      <c r="AN23" s="302">
        <v>0.11187444739223221</v>
      </c>
      <c r="AO23" s="302">
        <v>0.1131909707359305</v>
      </c>
      <c r="AP23" s="302">
        <v>0.11450749407962921</v>
      </c>
      <c r="AQ23" s="302">
        <v>0.1158240174233279</v>
      </c>
      <c r="AR23" s="302">
        <v>0.11714054076702622</v>
      </c>
      <c r="AS23" s="302">
        <v>0.11845706411072492</v>
      </c>
      <c r="AT23" s="302">
        <v>0.11977358745442361</v>
      </c>
      <c r="AU23" s="302">
        <v>0.12109011079812192</v>
      </c>
      <c r="AV23" s="472">
        <f t="shared" si="1"/>
        <v>4.7156485460786756E-3</v>
      </c>
      <c r="AW23"/>
    </row>
    <row r="24" spans="1:49" customFormat="1" ht="12.9" customHeight="1">
      <c r="B24" s="165"/>
      <c r="C24" s="532"/>
      <c r="D24" s="532"/>
      <c r="E24" s="532"/>
      <c r="F24" s="532"/>
      <c r="G24" s="532"/>
      <c r="H24" s="532"/>
      <c r="I24" s="532"/>
      <c r="J24" s="532"/>
      <c r="K24" s="532"/>
      <c r="L24" s="532"/>
      <c r="M24" s="532"/>
      <c r="N24" s="532"/>
      <c r="O24" s="532"/>
      <c r="P24" s="165"/>
      <c r="Q24" s="165"/>
      <c r="R24" s="165"/>
      <c r="S24" s="165"/>
      <c r="T24" s="165"/>
      <c r="U24" s="165"/>
      <c r="V24" s="165"/>
      <c r="W24" s="165"/>
      <c r="X24" s="165"/>
      <c r="Y24" s="165"/>
      <c r="Z24" s="165"/>
      <c r="AA24" s="165"/>
      <c r="AB24" s="165"/>
      <c r="AC24" s="165"/>
      <c r="AD24" s="532"/>
      <c r="AE24" s="165"/>
      <c r="AF24" s="165"/>
      <c r="AG24" s="532"/>
      <c r="AH24" s="532"/>
      <c r="AI24" s="532"/>
      <c r="AJ24" s="532"/>
      <c r="AK24" s="532"/>
      <c r="AL24" s="532"/>
      <c r="AM24" s="532"/>
      <c r="AN24" s="532"/>
      <c r="AO24" s="532"/>
      <c r="AP24" s="532"/>
      <c r="AQ24" s="532"/>
      <c r="AR24" s="532"/>
      <c r="AS24" s="532"/>
      <c r="AT24" s="532"/>
      <c r="AU24" s="532"/>
      <c r="AV24" s="470"/>
    </row>
    <row r="25" spans="1:49" customFormat="1" ht="12.9" customHeight="1">
      <c r="A25" s="40" t="s">
        <v>78</v>
      </c>
      <c r="B25" s="532"/>
      <c r="C25" s="532"/>
      <c r="D25" s="532"/>
      <c r="E25" s="532"/>
      <c r="F25" s="532"/>
      <c r="G25" s="532"/>
      <c r="H25" s="532"/>
      <c r="I25" s="532"/>
      <c r="J25" s="532"/>
      <c r="K25" s="532"/>
      <c r="L25" s="532"/>
      <c r="M25" s="532"/>
      <c r="N25" s="532"/>
      <c r="O25" s="532"/>
      <c r="P25" s="532"/>
      <c r="Q25" s="532"/>
      <c r="R25" s="532"/>
      <c r="S25" s="532"/>
      <c r="T25" s="532"/>
      <c r="U25" s="532"/>
      <c r="V25" s="532"/>
      <c r="W25" s="532"/>
      <c r="X25" s="532"/>
      <c r="Y25" s="532"/>
      <c r="Z25" s="532"/>
      <c r="AA25" s="532"/>
      <c r="AB25" s="532"/>
      <c r="AC25" s="532"/>
      <c r="AD25" s="199"/>
      <c r="AE25" s="532"/>
      <c r="AF25" s="532"/>
      <c r="AG25" s="532"/>
      <c r="AH25" s="532"/>
      <c r="AI25" s="532"/>
      <c r="AJ25" s="532"/>
      <c r="AK25" s="532"/>
      <c r="AL25" s="532"/>
      <c r="AM25" s="532"/>
      <c r="AN25" s="532"/>
      <c r="AO25" s="532"/>
      <c r="AP25" s="532"/>
      <c r="AQ25" s="532"/>
      <c r="AR25" s="532"/>
      <c r="AS25" s="532"/>
      <c r="AT25" s="532"/>
      <c r="AU25" s="532"/>
      <c r="AV25" s="470"/>
    </row>
    <row r="26" spans="1:49" ht="12.9" customHeight="1">
      <c r="A26" s="40" t="s">
        <v>22</v>
      </c>
      <c r="B26" s="302">
        <v>4.716850778559491E-3</v>
      </c>
      <c r="C26" s="302">
        <v>4.2493773066018276E-3</v>
      </c>
      <c r="D26" s="302">
        <v>1.8075217666993772E-3</v>
      </c>
      <c r="E26" s="302">
        <v>1.8116883920671805E-3</v>
      </c>
      <c r="F26" s="302">
        <v>5.4305017293701371E-3</v>
      </c>
      <c r="G26" s="302">
        <v>5.2023293877999635E-3</v>
      </c>
      <c r="H26" s="302">
        <v>5.9820835637745574E-3</v>
      </c>
      <c r="I26" s="302">
        <v>5.3570897586040812E-3</v>
      </c>
      <c r="J26" s="302">
        <v>5.5555004904042334E-3</v>
      </c>
      <c r="K26" s="302">
        <v>4.643604767050738E-3</v>
      </c>
      <c r="L26" s="302">
        <v>5.2687969829530142E-3</v>
      </c>
      <c r="M26" s="302">
        <v>5.7235738203177877E-3</v>
      </c>
      <c r="N26" s="302">
        <v>6.3225923002553129E-3</v>
      </c>
      <c r="O26" s="302">
        <v>7.4365470820301352E-3</v>
      </c>
      <c r="P26" s="302">
        <v>6.4271952567766062E-3</v>
      </c>
      <c r="Q26" s="302">
        <v>3.7356215050282338E-3</v>
      </c>
      <c r="R26" s="302">
        <v>3.7539621108192405E-3</v>
      </c>
      <c r="S26" s="302">
        <v>3.7774635461123264E-3</v>
      </c>
      <c r="T26" s="302">
        <v>3.8031303853625809E-3</v>
      </c>
      <c r="U26" s="302">
        <v>3.8182456396857107E-3</v>
      </c>
      <c r="V26" s="302">
        <v>3.8422811072888097E-3</v>
      </c>
      <c r="W26" s="302">
        <v>3.8592165405442898E-3</v>
      </c>
      <c r="X26" s="302">
        <v>3.8675565949509894E-3</v>
      </c>
      <c r="Y26" s="302">
        <v>3.8949120432934673E-3</v>
      </c>
      <c r="Z26" s="302">
        <v>3.9307655932599864E-3</v>
      </c>
      <c r="AA26" s="302">
        <v>3.9502146920838335E-3</v>
      </c>
      <c r="AB26" s="302">
        <v>3.9820628584464847E-3</v>
      </c>
      <c r="AC26" s="302">
        <v>4.0055915696914374E-3</v>
      </c>
      <c r="AD26" s="302">
        <v>4.0290198864365969E-3</v>
      </c>
      <c r="AE26" s="302">
        <v>4.0611792027423817E-3</v>
      </c>
      <c r="AF26" s="302">
        <v>4.0947719139418706E-3</v>
      </c>
      <c r="AG26" s="302">
        <v>4.1224646560232541E-3</v>
      </c>
      <c r="AH26" s="302">
        <v>4.1532797737102922E-3</v>
      </c>
      <c r="AI26" s="302">
        <v>4.1853486424746726E-3</v>
      </c>
      <c r="AJ26" s="302">
        <v>4.2110410462775534E-3</v>
      </c>
      <c r="AK26" s="302">
        <v>4.2457586769534504E-3</v>
      </c>
      <c r="AL26" s="302">
        <v>4.2833835209325722E-3</v>
      </c>
      <c r="AM26" s="302">
        <v>4.3084037823857453E-3</v>
      </c>
      <c r="AN26" s="302">
        <v>4.3389967505311428E-3</v>
      </c>
      <c r="AO26" s="302">
        <v>4.3773423724071218E-3</v>
      </c>
      <c r="AP26" s="302">
        <v>4.4154967632190683E-3</v>
      </c>
      <c r="AQ26" s="302">
        <v>4.456795799470786E-3</v>
      </c>
      <c r="AR26" s="302">
        <v>4.4974250299228751E-3</v>
      </c>
      <c r="AS26" s="302">
        <v>4.5385208088177141E-3</v>
      </c>
      <c r="AT26" s="302">
        <v>4.5746364476832516E-3</v>
      </c>
      <c r="AU26" s="302">
        <v>4.610947460552922E-3</v>
      </c>
      <c r="AV26" s="472">
        <f>((AU26-O26)/O26)/32</f>
        <v>-1.1873788627592138E-2</v>
      </c>
      <c r="AW26"/>
    </row>
    <row r="27" spans="1:49" ht="12.9" customHeight="1">
      <c r="A27" s="40" t="s">
        <v>28</v>
      </c>
      <c r="B27" s="302">
        <v>5.7916291168298292E-3</v>
      </c>
      <c r="C27" s="302">
        <v>5.937280546527866E-3</v>
      </c>
      <c r="D27" s="302">
        <v>4.6383811532224864E-3</v>
      </c>
      <c r="E27" s="302">
        <v>4.5054708417700783E-3</v>
      </c>
      <c r="F27" s="302">
        <v>3.9347383278862062E-3</v>
      </c>
      <c r="G27" s="302">
        <v>4.7206076136545039E-3</v>
      </c>
      <c r="H27" s="302">
        <v>5.7059771640775303E-3</v>
      </c>
      <c r="I27" s="302">
        <v>4.8527091402502031E-3</v>
      </c>
      <c r="J27" s="302">
        <v>5.1223040924863253E-3</v>
      </c>
      <c r="K27" s="302">
        <v>5.9017030994009557E-3</v>
      </c>
      <c r="L27" s="302">
        <v>4.5262296530922588E-3</v>
      </c>
      <c r="M27" s="302">
        <v>5.7189246855607377E-3</v>
      </c>
      <c r="N27" s="302">
        <v>5.3797127967070927E-3</v>
      </c>
      <c r="O27" s="302">
        <v>5.3011956504467666E-3</v>
      </c>
      <c r="P27" s="302">
        <v>5.2256581520410241E-3</v>
      </c>
      <c r="Q27" s="302">
        <v>5.3481210229188725E-3</v>
      </c>
      <c r="R27" s="302">
        <v>5.4686471308758589E-3</v>
      </c>
      <c r="S27" s="302">
        <v>5.5695275164113133E-3</v>
      </c>
      <c r="T27" s="302">
        <v>5.6669699513739709E-3</v>
      </c>
      <c r="U27" s="302">
        <v>5.7507810224999801E-3</v>
      </c>
      <c r="V27" s="302">
        <v>5.8225214231976373E-3</v>
      </c>
      <c r="W27" s="302">
        <v>5.8805620062760983E-3</v>
      </c>
      <c r="X27" s="302">
        <v>5.9209219620439705E-3</v>
      </c>
      <c r="Y27" s="302">
        <v>5.9718784256640126E-3</v>
      </c>
      <c r="Z27" s="302">
        <v>6.0108054482523382E-3</v>
      </c>
      <c r="AA27" s="302">
        <v>6.0334535798734126E-3</v>
      </c>
      <c r="AB27" s="302">
        <v>6.0731355442261081E-3</v>
      </c>
      <c r="AC27" s="302">
        <v>6.108634115815457E-3</v>
      </c>
      <c r="AD27" s="302">
        <v>6.1471939479266959E-3</v>
      </c>
      <c r="AE27" s="302">
        <v>6.1869690380830346E-3</v>
      </c>
      <c r="AF27" s="302">
        <v>6.2270170370881837E-3</v>
      </c>
      <c r="AG27" s="302">
        <v>6.2696450127984506E-3</v>
      </c>
      <c r="AH27" s="302">
        <v>6.3133848047464526E-3</v>
      </c>
      <c r="AI27" s="302">
        <v>6.3579617376013624E-3</v>
      </c>
      <c r="AJ27" s="302">
        <v>6.3981734246094275E-3</v>
      </c>
      <c r="AK27" s="302">
        <v>6.4429342146870702E-3</v>
      </c>
      <c r="AL27" s="302">
        <v>6.4891233055140293E-3</v>
      </c>
      <c r="AM27" s="302">
        <v>6.5295030765006737E-3</v>
      </c>
      <c r="AN27" s="302">
        <v>6.5685612115931238E-3</v>
      </c>
      <c r="AO27" s="302">
        <v>6.6102523173465905E-3</v>
      </c>
      <c r="AP27" s="302">
        <v>6.6525563993969083E-3</v>
      </c>
      <c r="AQ27" s="302">
        <v>6.6953768446108416E-3</v>
      </c>
      <c r="AR27" s="302">
        <v>6.7371224178900671E-3</v>
      </c>
      <c r="AS27" s="302">
        <v>6.7801241835056657E-3</v>
      </c>
      <c r="AT27" s="302">
        <v>6.8185661552357165E-3</v>
      </c>
      <c r="AU27" s="302">
        <v>6.8538523228155041E-3</v>
      </c>
      <c r="AV27" s="472">
        <f t="shared" ref="AV27:AV29" si="2">((AU27-O27)/O27)/32</f>
        <v>9.1527504757221902E-3</v>
      </c>
      <c r="AW27"/>
    </row>
    <row r="28" spans="1:49" s="132" customFormat="1" ht="12.9" customHeight="1">
      <c r="A28" s="5" t="s">
        <v>23</v>
      </c>
      <c r="B28" s="302">
        <v>1.7955278939008688E-2</v>
      </c>
      <c r="C28" s="302">
        <v>1.855505988597872E-2</v>
      </c>
      <c r="D28" s="302">
        <v>1.6026866600000002E-2</v>
      </c>
      <c r="E28" s="302">
        <v>1.4883080470000001E-2</v>
      </c>
      <c r="F28" s="302">
        <v>1.5386824700000001E-2</v>
      </c>
      <c r="G28" s="302">
        <v>1.6241572800000003E-2</v>
      </c>
      <c r="H28" s="302">
        <v>1.7688801300000001E-2</v>
      </c>
      <c r="I28" s="302">
        <v>1.7801590000000003E-2</v>
      </c>
      <c r="J28" s="302">
        <v>1.8345150000000001E-2</v>
      </c>
      <c r="K28" s="302">
        <v>1.870077413E-2</v>
      </c>
      <c r="L28" s="302">
        <v>1.781205353E-2</v>
      </c>
      <c r="M28" s="302">
        <v>1.5444662204402574E-2</v>
      </c>
      <c r="N28" s="302">
        <v>1.6434783251468729E-2</v>
      </c>
      <c r="O28" s="302">
        <v>1.7213502231445299E-2</v>
      </c>
      <c r="P28" s="302">
        <v>1.7484846440481965E-2</v>
      </c>
      <c r="Q28" s="302">
        <v>1.7727345017618652E-2</v>
      </c>
      <c r="R28" s="302">
        <v>1.7957202935158279E-2</v>
      </c>
      <c r="S28" s="302">
        <v>1.8244838062165848E-2</v>
      </c>
      <c r="T28" s="302">
        <v>1.8446186204323593E-2</v>
      </c>
      <c r="U28" s="302">
        <v>1.8643700902810097E-2</v>
      </c>
      <c r="V28" s="302">
        <v>1.8800832657505831E-2</v>
      </c>
      <c r="W28" s="302">
        <v>1.8942060609294778E-2</v>
      </c>
      <c r="X28" s="302">
        <v>1.9097868591416368E-2</v>
      </c>
      <c r="Y28" s="302">
        <v>1.9269420097196358E-2</v>
      </c>
      <c r="Z28" s="302">
        <v>1.9455117457688811E-2</v>
      </c>
      <c r="AA28" s="302">
        <v>1.9597980037495352E-2</v>
      </c>
      <c r="AB28" s="302">
        <v>1.9807721597473169E-2</v>
      </c>
      <c r="AC28" s="302">
        <v>2.0006197232298271E-2</v>
      </c>
      <c r="AD28" s="302">
        <v>2.0210149479558955E-2</v>
      </c>
      <c r="AE28" s="302">
        <v>2.0397596443153112E-2</v>
      </c>
      <c r="AF28" s="302">
        <v>2.0645408091431831E-2</v>
      </c>
      <c r="AG28" s="302">
        <v>2.0915497512108899E-2</v>
      </c>
      <c r="AH28" s="302">
        <v>2.1117196500842369E-2</v>
      </c>
      <c r="AI28" s="302">
        <v>2.1417976225291634E-2</v>
      </c>
      <c r="AJ28" s="302">
        <v>2.1669401120287455E-2</v>
      </c>
      <c r="AK28" s="302">
        <v>2.1946238622643974E-2</v>
      </c>
      <c r="AL28" s="302">
        <v>2.2274977998277327E-2</v>
      </c>
      <c r="AM28" s="302">
        <v>2.256680132023239E-2</v>
      </c>
      <c r="AN28" s="302">
        <v>2.2788902984842822E-2</v>
      </c>
      <c r="AO28" s="302">
        <v>2.3086810766892941E-2</v>
      </c>
      <c r="AP28" s="302">
        <v>2.3358417538677494E-2</v>
      </c>
      <c r="AQ28" s="302">
        <v>2.3655701615496683E-2</v>
      </c>
      <c r="AR28" s="302">
        <v>2.3947168817649193E-2</v>
      </c>
      <c r="AS28" s="302">
        <v>2.4279310803989519E-2</v>
      </c>
      <c r="AT28" s="302">
        <v>2.4502929920770567E-2</v>
      </c>
      <c r="AU28" s="302">
        <v>2.4772048162951719E-2</v>
      </c>
      <c r="AV28" s="472">
        <f t="shared" si="2"/>
        <v>1.372205128181769E-2</v>
      </c>
      <c r="AW28"/>
    </row>
    <row r="29" spans="1:49" ht="12.9" customHeight="1">
      <c r="A29" s="40" t="s">
        <v>29</v>
      </c>
      <c r="B29" s="302">
        <v>8.2412061777782316E-4</v>
      </c>
      <c r="C29" s="302">
        <v>8.7316280655768319E-4</v>
      </c>
      <c r="D29" s="302">
        <v>8.6287806388219627E-4</v>
      </c>
      <c r="E29" s="302">
        <v>8.9692965689903504E-4</v>
      </c>
      <c r="F29" s="302">
        <v>1.0299269783155885E-3</v>
      </c>
      <c r="G29" s="302">
        <v>9.6984641890891495E-4</v>
      </c>
      <c r="H29" s="302">
        <v>9.9302289583137054E-4</v>
      </c>
      <c r="I29" s="302">
        <v>7.1312236684479039E-4</v>
      </c>
      <c r="J29" s="302">
        <v>7.1312236684479039E-4</v>
      </c>
      <c r="K29" s="302">
        <v>4.5372410590499785E-4</v>
      </c>
      <c r="L29" s="302">
        <v>3.7331955904324772E-4</v>
      </c>
      <c r="M29" s="302">
        <v>4.0743217948383914E-4</v>
      </c>
      <c r="N29" s="302">
        <v>4.8337337819376574E-4</v>
      </c>
      <c r="O29" s="302">
        <v>4.6940387330936907E-4</v>
      </c>
      <c r="P29" s="302">
        <v>4.940010196816994E-4</v>
      </c>
      <c r="Q29" s="302">
        <v>3.5082942010019642E-4</v>
      </c>
      <c r="R29" s="302">
        <v>3.6666408328710036E-4</v>
      </c>
      <c r="S29" s="302">
        <v>3.773642424066948E-4</v>
      </c>
      <c r="T29" s="302">
        <v>3.8663366869049094E-4</v>
      </c>
      <c r="U29" s="302">
        <v>3.954735907272459E-4</v>
      </c>
      <c r="V29" s="302">
        <v>4.0430290102016185E-4</v>
      </c>
      <c r="W29" s="302">
        <v>4.1227730600707413E-4</v>
      </c>
      <c r="X29" s="302">
        <v>4.1661992392982269E-4</v>
      </c>
      <c r="Y29" s="302">
        <v>4.1979674486212126E-4</v>
      </c>
      <c r="Z29" s="302">
        <v>4.2246819858257395E-4</v>
      </c>
      <c r="AA29" s="302">
        <v>4.2253755181088194E-4</v>
      </c>
      <c r="AB29" s="302">
        <v>4.2421353427970088E-4</v>
      </c>
      <c r="AC29" s="302">
        <v>4.2484805241361026E-4</v>
      </c>
      <c r="AD29" s="302">
        <v>4.2550158797479483E-4</v>
      </c>
      <c r="AE29" s="302">
        <v>4.2639196892422886E-4</v>
      </c>
      <c r="AF29" s="302">
        <v>4.2684219815469971E-4</v>
      </c>
      <c r="AG29" s="302">
        <v>4.2752578617716189E-4</v>
      </c>
      <c r="AH29" s="302">
        <v>4.2846907662704543E-4</v>
      </c>
      <c r="AI29" s="302">
        <v>4.2953652338419292E-4</v>
      </c>
      <c r="AJ29" s="302">
        <v>4.2991301697638365E-4</v>
      </c>
      <c r="AK29" s="302">
        <v>4.3045667384548789E-4</v>
      </c>
      <c r="AL29" s="302">
        <v>4.3028412613053561E-4</v>
      </c>
      <c r="AM29" s="302">
        <v>4.297781209211068E-4</v>
      </c>
      <c r="AN29" s="302">
        <v>4.2810437279838922E-4</v>
      </c>
      <c r="AO29" s="302">
        <v>4.2717472693188827E-4</v>
      </c>
      <c r="AP29" s="302">
        <v>4.2568810483144758E-4</v>
      </c>
      <c r="AQ29" s="302">
        <v>4.2453793662790865E-4</v>
      </c>
      <c r="AR29" s="302">
        <v>4.2270010423034861E-4</v>
      </c>
      <c r="AS29" s="302">
        <v>4.2106193451922315E-4</v>
      </c>
      <c r="AT29" s="302">
        <v>4.1888954474431008E-4</v>
      </c>
      <c r="AU29" s="302">
        <v>4.1778681033359137E-4</v>
      </c>
      <c r="AV29" s="472">
        <f t="shared" si="2"/>
        <v>-3.436344073219768E-3</v>
      </c>
      <c r="AW29"/>
    </row>
    <row r="30" spans="1:49" ht="12.9" customHeight="1">
      <c r="A30" s="40" t="s">
        <v>58</v>
      </c>
      <c r="B30" s="302">
        <v>6.7804572629369363E-3</v>
      </c>
      <c r="C30" s="302">
        <v>7.084609643170898E-3</v>
      </c>
      <c r="D30" s="302">
        <v>6.6965625211192169E-3</v>
      </c>
      <c r="E30" s="302">
        <v>5.7652291992522772E-3</v>
      </c>
      <c r="F30" s="302">
        <v>2.1334181483211668E-3</v>
      </c>
      <c r="G30" s="302">
        <v>0</v>
      </c>
      <c r="H30" s="302">
        <v>0</v>
      </c>
      <c r="I30" s="302">
        <v>0</v>
      </c>
      <c r="J30" s="302">
        <v>0</v>
      </c>
      <c r="K30" s="302">
        <v>0</v>
      </c>
      <c r="L30" s="302">
        <v>0</v>
      </c>
      <c r="M30" s="302"/>
      <c r="N30" s="302">
        <v>0</v>
      </c>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472"/>
      <c r="AW30"/>
    </row>
    <row r="31" spans="1:49" s="143" customFormat="1" ht="12.9" customHeight="1">
      <c r="A31" s="473" t="s">
        <v>31</v>
      </c>
      <c r="B31" s="302">
        <v>0.1068870445352794</v>
      </c>
      <c r="C31" s="302">
        <v>0.10739627155380832</v>
      </c>
      <c r="D31" s="302">
        <v>9.611717890950533E-2</v>
      </c>
      <c r="E31" s="302">
        <v>9.0873015177546229E-2</v>
      </c>
      <c r="F31" s="302">
        <v>7.5575866736152603E-2</v>
      </c>
      <c r="G31" s="302">
        <v>7.8573746918458962E-2</v>
      </c>
      <c r="H31" s="302">
        <v>7.3637634514515535E-2</v>
      </c>
      <c r="I31" s="302">
        <v>7.3671052311440319E-2</v>
      </c>
      <c r="J31" s="302">
        <v>7.9595116311741695E-2</v>
      </c>
      <c r="K31" s="302">
        <v>7.5019764215508933E-2</v>
      </c>
      <c r="L31" s="302">
        <v>7.2497480043072909E-2</v>
      </c>
      <c r="M31" s="302">
        <v>9.1572079810057286E-2</v>
      </c>
      <c r="N31" s="302">
        <v>8.8145152495871612E-2</v>
      </c>
      <c r="O31" s="302">
        <v>8.6484463651335747E-2</v>
      </c>
      <c r="P31" s="302">
        <v>8.7584814376678893E-2</v>
      </c>
      <c r="Q31" s="302">
        <v>7.8688253967929875E-2</v>
      </c>
      <c r="R31" s="302">
        <v>7.6275466958920651E-2</v>
      </c>
      <c r="S31" s="302">
        <v>7.357517522672806E-2</v>
      </c>
      <c r="T31" s="302">
        <v>7.1466418642320992E-2</v>
      </c>
      <c r="U31" s="302">
        <v>7.1276496388059413E-2</v>
      </c>
      <c r="V31" s="302">
        <v>7.2014999621664716E-2</v>
      </c>
      <c r="W31" s="302">
        <v>6.9946192621943931E-2</v>
      </c>
      <c r="X31" s="302">
        <v>6.7811227633505861E-2</v>
      </c>
      <c r="Y31" s="302">
        <v>6.8594579627139912E-2</v>
      </c>
      <c r="Z31" s="302">
        <v>6.844112264397835E-2</v>
      </c>
      <c r="AA31" s="302">
        <v>6.8415973460972654E-2</v>
      </c>
      <c r="AB31" s="302">
        <v>6.8722398489604666E-2</v>
      </c>
      <c r="AC31" s="302">
        <v>6.9595959197534613E-2</v>
      </c>
      <c r="AD31" s="302">
        <v>7.1306049261024462E-2</v>
      </c>
      <c r="AE31" s="302">
        <v>7.3618007468666147E-2</v>
      </c>
      <c r="AF31" s="302">
        <v>7.3969431440510353E-2</v>
      </c>
      <c r="AG31" s="302">
        <v>7.2926997474056413E-2</v>
      </c>
      <c r="AH31" s="302">
        <v>7.2933272495751142E-2</v>
      </c>
      <c r="AI31" s="302">
        <v>7.3285435761587414E-2</v>
      </c>
      <c r="AJ31" s="302">
        <v>7.5705262185060518E-2</v>
      </c>
      <c r="AK31" s="302">
        <v>7.5475120823800507E-2</v>
      </c>
      <c r="AL31" s="302">
        <v>7.6430478740394131E-2</v>
      </c>
      <c r="AM31" s="302">
        <v>7.6949624245245207E-2</v>
      </c>
      <c r="AN31" s="302">
        <v>7.8225722548622756E-2</v>
      </c>
      <c r="AO31" s="302">
        <v>7.8009545746405132E-2</v>
      </c>
      <c r="AP31" s="302">
        <v>8.0135368689597586E-2</v>
      </c>
      <c r="AQ31" s="302">
        <v>8.0806155684230635E-2</v>
      </c>
      <c r="AR31" s="302">
        <v>8.1346339419793093E-2</v>
      </c>
      <c r="AS31" s="302">
        <v>8.2023710451915505E-2</v>
      </c>
      <c r="AT31" s="302">
        <v>8.2769642004594093E-2</v>
      </c>
      <c r="AU31" s="302">
        <v>8.4806781420945929E-2</v>
      </c>
      <c r="AV31" s="472">
        <f>((AU31-O31)/O31)/32</f>
        <v>-6.0620795326944341E-4</v>
      </c>
      <c r="AW31"/>
    </row>
    <row r="32" spans="1:49" s="44" customFormat="1" ht="12.9" customHeight="1">
      <c r="A32" s="473" t="s">
        <v>24</v>
      </c>
      <c r="B32" s="302">
        <v>6.8849999999999995E-2</v>
      </c>
      <c r="C32" s="302">
        <v>7.2876999999999997E-2</v>
      </c>
      <c r="D32" s="302">
        <v>7.5440999999999994E-2</v>
      </c>
      <c r="E32" s="302">
        <v>7.8029000000000001E-2</v>
      </c>
      <c r="F32" s="302">
        <v>7.3422000000000001E-2</v>
      </c>
      <c r="G32" s="302">
        <v>7.3613999999999999E-2</v>
      </c>
      <c r="H32" s="302">
        <v>7.8514E-2</v>
      </c>
      <c r="I32" s="302">
        <v>8.0490999999999993E-2</v>
      </c>
      <c r="J32" s="302">
        <v>8.3570000000000005E-2</v>
      </c>
      <c r="K32" s="302">
        <v>8.2968E-2</v>
      </c>
      <c r="L32" s="302">
        <v>8.1389000000000003E-2</v>
      </c>
      <c r="M32" s="302">
        <v>8.5515999999999995E-2</v>
      </c>
      <c r="N32" s="302">
        <v>8.0656000000000005E-2</v>
      </c>
      <c r="O32" s="302">
        <v>7.8219999999999998E-2</v>
      </c>
      <c r="P32" s="302">
        <v>7.2841335256597389E-2</v>
      </c>
      <c r="Q32" s="302">
        <v>7.9283537897784237E-2</v>
      </c>
      <c r="R32" s="302">
        <v>7.9882417059258373E-2</v>
      </c>
      <c r="S32" s="302">
        <v>8.1641653017412608E-2</v>
      </c>
      <c r="T32" s="302">
        <v>8.2627917459559358E-2</v>
      </c>
      <c r="U32" s="302">
        <v>9.054201549634755E-2</v>
      </c>
      <c r="V32" s="302">
        <v>9.1161377297812443E-2</v>
      </c>
      <c r="W32" s="302">
        <v>9.4939492476648984E-2</v>
      </c>
      <c r="X32" s="302">
        <v>9.3913528417643916E-2</v>
      </c>
      <c r="Y32" s="302">
        <v>9.5341929889442734E-2</v>
      </c>
      <c r="Z32" s="302">
        <v>9.1074016907184904E-2</v>
      </c>
      <c r="AA32" s="302">
        <v>9.223635235245406E-2</v>
      </c>
      <c r="AB32" s="302">
        <v>9.1872937142121691E-2</v>
      </c>
      <c r="AC32" s="302">
        <v>9.1398835150428043E-2</v>
      </c>
      <c r="AD32" s="302">
        <v>9.1250397442970935E-2</v>
      </c>
      <c r="AE32" s="302">
        <v>9.1997183953064804E-2</v>
      </c>
      <c r="AF32" s="302">
        <v>9.1847259177747498E-2</v>
      </c>
      <c r="AG32" s="302">
        <v>9.2619957493931038E-2</v>
      </c>
      <c r="AH32" s="302">
        <v>9.2970056465774525E-2</v>
      </c>
      <c r="AI32" s="302">
        <v>9.4054224126485314E-2</v>
      </c>
      <c r="AJ32" s="302">
        <v>9.4627723594938956E-2</v>
      </c>
      <c r="AK32" s="302">
        <v>9.5272163685851632E-2</v>
      </c>
      <c r="AL32" s="302">
        <v>9.6428071731777198E-2</v>
      </c>
      <c r="AM32" s="302">
        <v>9.6670151153250825E-2</v>
      </c>
      <c r="AN32" s="302">
        <v>9.7732997135563729E-2</v>
      </c>
      <c r="AO32" s="302">
        <v>9.9403181869932841E-2</v>
      </c>
      <c r="AP32" s="302">
        <v>0.102089075921454</v>
      </c>
      <c r="AQ32" s="302">
        <v>0.10256784628680075</v>
      </c>
      <c r="AR32" s="302">
        <v>0.10375329513905447</v>
      </c>
      <c r="AS32" s="302">
        <v>0.1051299358134917</v>
      </c>
      <c r="AT32" s="302">
        <v>0.1061431547026508</v>
      </c>
      <c r="AU32" s="302">
        <v>0.10700246554793967</v>
      </c>
      <c r="AV32" s="472">
        <f>((AU32-O32)/O32)/32</f>
        <v>1.1499003431003768E-2</v>
      </c>
      <c r="AW32"/>
    </row>
    <row r="33" spans="1:49" ht="12.9" customHeight="1">
      <c r="A33" s="5" t="s">
        <v>59</v>
      </c>
      <c r="B33" s="302">
        <v>0</v>
      </c>
      <c r="C33" s="302">
        <v>0</v>
      </c>
      <c r="D33" s="302">
        <v>0</v>
      </c>
      <c r="E33" s="302">
        <v>0</v>
      </c>
      <c r="F33" s="302">
        <v>0</v>
      </c>
      <c r="G33" s="302">
        <v>0</v>
      </c>
      <c r="H33" s="302">
        <v>0</v>
      </c>
      <c r="I33" s="302">
        <v>0</v>
      </c>
      <c r="J33" s="302">
        <v>0</v>
      </c>
      <c r="K33" s="302">
        <v>0</v>
      </c>
      <c r="L33" s="302">
        <v>0</v>
      </c>
      <c r="M33" s="302"/>
      <c r="N33" s="302">
        <v>0</v>
      </c>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472"/>
      <c r="AW33"/>
    </row>
    <row r="34" spans="1:49" ht="12.9" customHeight="1">
      <c r="A34" s="5" t="s">
        <v>33</v>
      </c>
      <c r="B34" s="302">
        <v>0</v>
      </c>
      <c r="C34" s="302">
        <v>0</v>
      </c>
      <c r="D34" s="302">
        <v>0</v>
      </c>
      <c r="E34" s="302">
        <v>0</v>
      </c>
      <c r="F34" s="302">
        <v>0</v>
      </c>
      <c r="G34" s="302">
        <v>0</v>
      </c>
      <c r="H34" s="302">
        <v>0</v>
      </c>
      <c r="I34" s="302">
        <v>0</v>
      </c>
      <c r="J34" s="302">
        <v>0</v>
      </c>
      <c r="K34" s="302">
        <v>0</v>
      </c>
      <c r="L34" s="302">
        <v>0</v>
      </c>
      <c r="M34" s="302"/>
      <c r="N34" s="302">
        <v>0</v>
      </c>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472"/>
      <c r="AW34"/>
    </row>
    <row r="35" spans="1:49" ht="12.9" customHeight="1">
      <c r="A35" s="5" t="s">
        <v>60</v>
      </c>
      <c r="B35" s="302">
        <v>6.8849999999999995E-2</v>
      </c>
      <c r="C35" s="302">
        <v>7.2876999999999997E-2</v>
      </c>
      <c r="D35" s="302">
        <v>7.5440999999999994E-2</v>
      </c>
      <c r="E35" s="302">
        <v>7.8029000000000001E-2</v>
      </c>
      <c r="F35" s="302">
        <v>7.3422000000000001E-2</v>
      </c>
      <c r="G35" s="302">
        <v>7.3613999999999999E-2</v>
      </c>
      <c r="H35" s="302">
        <v>7.8514E-2</v>
      </c>
      <c r="I35" s="302">
        <v>8.0490999999999993E-2</v>
      </c>
      <c r="J35" s="302">
        <v>8.3570000000000005E-2</v>
      </c>
      <c r="K35" s="302">
        <v>8.2968E-2</v>
      </c>
      <c r="L35" s="302">
        <v>8.1389000000000003E-2</v>
      </c>
      <c r="M35" s="302">
        <v>8.5515999999999995E-2</v>
      </c>
      <c r="N35" s="302">
        <v>8.0656000000000005E-2</v>
      </c>
      <c r="O35" s="302">
        <v>7.8219999999999998E-2</v>
      </c>
      <c r="P35" s="302">
        <v>7.2841335256597389E-2</v>
      </c>
      <c r="Q35" s="302">
        <v>7.9283537897784237E-2</v>
      </c>
      <c r="R35" s="302">
        <v>7.9882417059258373E-2</v>
      </c>
      <c r="S35" s="302">
        <v>8.1641653017412608E-2</v>
      </c>
      <c r="T35" s="302">
        <v>8.2627917459559358E-2</v>
      </c>
      <c r="U35" s="302">
        <v>9.054201549634755E-2</v>
      </c>
      <c r="V35" s="302">
        <v>9.1161377297812443E-2</v>
      </c>
      <c r="W35" s="302">
        <v>9.4939492476648984E-2</v>
      </c>
      <c r="X35" s="302">
        <v>9.3913528417643916E-2</v>
      </c>
      <c r="Y35" s="302">
        <v>9.5341929889442734E-2</v>
      </c>
      <c r="Z35" s="302">
        <v>9.1074016907184904E-2</v>
      </c>
      <c r="AA35" s="302">
        <v>9.223635235245406E-2</v>
      </c>
      <c r="AB35" s="302">
        <v>9.1872937142121691E-2</v>
      </c>
      <c r="AC35" s="302">
        <v>9.1398835150428043E-2</v>
      </c>
      <c r="AD35" s="302">
        <v>9.1250397442970935E-2</v>
      </c>
      <c r="AE35" s="302">
        <v>9.1997183953064804E-2</v>
      </c>
      <c r="AF35" s="302">
        <v>9.1847259177747498E-2</v>
      </c>
      <c r="AG35" s="302">
        <v>9.2619957493931038E-2</v>
      </c>
      <c r="AH35" s="302">
        <v>9.2970056465774525E-2</v>
      </c>
      <c r="AI35" s="302">
        <v>9.4054224126485314E-2</v>
      </c>
      <c r="AJ35" s="302">
        <v>9.4627723594938956E-2</v>
      </c>
      <c r="AK35" s="302">
        <v>9.5272163685851632E-2</v>
      </c>
      <c r="AL35" s="302">
        <v>9.6428071731777198E-2</v>
      </c>
      <c r="AM35" s="302">
        <v>9.6670151153250825E-2</v>
      </c>
      <c r="AN35" s="302">
        <v>9.7732997135563729E-2</v>
      </c>
      <c r="AO35" s="302">
        <v>9.9403181869932841E-2</v>
      </c>
      <c r="AP35" s="302">
        <v>0.102089075921454</v>
      </c>
      <c r="AQ35" s="302">
        <v>0.10256784628680075</v>
      </c>
      <c r="AR35" s="302">
        <v>0.10375329513905447</v>
      </c>
      <c r="AS35" s="302">
        <v>0.1051299358134917</v>
      </c>
      <c r="AT35" s="302">
        <v>0.1061431547026508</v>
      </c>
      <c r="AU35" s="302">
        <v>0.10700246554793967</v>
      </c>
      <c r="AV35" s="472">
        <f>((AU35-O35)/O35)/32</f>
        <v>1.1499003431003768E-2</v>
      </c>
      <c r="AW35"/>
    </row>
    <row r="36" spans="1:49" ht="12.9" customHeight="1">
      <c r="A36" s="5" t="s">
        <v>34</v>
      </c>
      <c r="B36" s="302">
        <v>0</v>
      </c>
      <c r="C36" s="302">
        <v>0</v>
      </c>
      <c r="D36" s="302">
        <v>0</v>
      </c>
      <c r="E36" s="302">
        <v>0</v>
      </c>
      <c r="F36" s="302">
        <v>9.0112102968652682E-6</v>
      </c>
      <c r="G36" s="302">
        <v>0</v>
      </c>
      <c r="H36" s="302">
        <v>0</v>
      </c>
      <c r="I36" s="302">
        <v>0</v>
      </c>
      <c r="J36" s="302">
        <v>0</v>
      </c>
      <c r="K36" s="302">
        <v>0</v>
      </c>
      <c r="L36" s="302">
        <v>0</v>
      </c>
      <c r="M36" s="302"/>
      <c r="N36" s="302">
        <v>0</v>
      </c>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472"/>
      <c r="AW36"/>
    </row>
    <row r="37" spans="1:49" ht="12.9" customHeight="1">
      <c r="A37" s="5" t="s">
        <v>35</v>
      </c>
      <c r="B37" s="302">
        <v>3.578721760051585E-3</v>
      </c>
      <c r="C37" s="302">
        <v>3.5378419884432365E-3</v>
      </c>
      <c r="D37" s="302">
        <v>3.601623417064563E-3</v>
      </c>
      <c r="E37" s="302">
        <v>3.4036628607016814E-3</v>
      </c>
      <c r="F37" s="302">
        <v>2.7784565082001247E-3</v>
      </c>
      <c r="G37" s="302">
        <v>2.8077787004359561E-3</v>
      </c>
      <c r="H37" s="302">
        <v>2.9050425576084703E-3</v>
      </c>
      <c r="I37" s="302">
        <v>2.5746315133900765E-3</v>
      </c>
      <c r="J37" s="302">
        <v>2.360078887274237E-3</v>
      </c>
      <c r="K37" s="302">
        <v>2.549671891218601E-3</v>
      </c>
      <c r="L37" s="302">
        <v>2.522852812954121E-3</v>
      </c>
      <c r="M37" s="302">
        <v>1.0173769018919877E-3</v>
      </c>
      <c r="N37" s="302">
        <v>1.7967467372497011E-3</v>
      </c>
      <c r="O37" s="302">
        <v>1.6403479487919937E-3</v>
      </c>
      <c r="P37" s="302">
        <v>1.6152708193366155E-3</v>
      </c>
      <c r="Q37" s="302">
        <v>1.6944321503588621E-3</v>
      </c>
      <c r="R37" s="302">
        <v>1.735774444065298E-3</v>
      </c>
      <c r="S37" s="302">
        <v>1.7522059212097792E-3</v>
      </c>
      <c r="T37" s="302">
        <v>1.7682552562847337E-3</v>
      </c>
      <c r="U37" s="302">
        <v>1.7834626803811362E-3</v>
      </c>
      <c r="V37" s="302">
        <v>1.7985632230048743E-3</v>
      </c>
      <c r="W37" s="302">
        <v>1.8008923540713661E-3</v>
      </c>
      <c r="X37" s="302">
        <v>1.793976444523604E-3</v>
      </c>
      <c r="Y37" s="302">
        <v>1.7907126334601692E-3</v>
      </c>
      <c r="Z37" s="302">
        <v>1.7835347759603114E-3</v>
      </c>
      <c r="AA37" s="302">
        <v>1.7627931514552797E-3</v>
      </c>
      <c r="AB37" s="302">
        <v>1.7455574261136843E-3</v>
      </c>
      <c r="AC37" s="302">
        <v>1.7263839847060805E-3</v>
      </c>
      <c r="AD37" s="302">
        <v>1.7075212614549556E-3</v>
      </c>
      <c r="AE37" s="302">
        <v>1.6946352787477802E-3</v>
      </c>
      <c r="AF37" s="302">
        <v>1.67886479196304E-3</v>
      </c>
      <c r="AG37" s="302">
        <v>1.6780106214105415E-3</v>
      </c>
      <c r="AH37" s="302">
        <v>1.6794781141164195E-3</v>
      </c>
      <c r="AI37" s="302">
        <v>1.6834838158539566E-3</v>
      </c>
      <c r="AJ37" s="302">
        <v>1.6852452951103861E-3</v>
      </c>
      <c r="AK37" s="302">
        <v>1.6888629571693266E-3</v>
      </c>
      <c r="AL37" s="302">
        <v>1.6942087131861583E-3</v>
      </c>
      <c r="AM37" s="302">
        <v>1.6975035720774103E-3</v>
      </c>
      <c r="AN37" s="302">
        <v>1.7020703298602613E-3</v>
      </c>
      <c r="AO37" s="302">
        <v>1.7074695834737523E-3</v>
      </c>
      <c r="AP37" s="302">
        <v>1.7142745673788366E-3</v>
      </c>
      <c r="AQ37" s="302">
        <v>1.7197888286412273E-3</v>
      </c>
      <c r="AR37" s="302">
        <v>1.726345150630839E-3</v>
      </c>
      <c r="AS37" s="302">
        <v>1.7330012243357482E-3</v>
      </c>
      <c r="AT37" s="302">
        <v>1.7390426169578931E-3</v>
      </c>
      <c r="AU37" s="302">
        <v>1.7460085171351692E-3</v>
      </c>
      <c r="AV37" s="472">
        <f>((AU37-O37)/O37)/32</f>
        <v>2.0129221749299333E-3</v>
      </c>
      <c r="AW37"/>
    </row>
    <row r="38" spans="1:49" ht="12.9" customHeight="1">
      <c r="A38" s="5" t="s">
        <v>61</v>
      </c>
      <c r="B38" s="302">
        <v>0</v>
      </c>
      <c r="C38" s="302">
        <v>0</v>
      </c>
      <c r="D38" s="302">
        <v>0</v>
      </c>
      <c r="E38" s="302">
        <v>0</v>
      </c>
      <c r="F38" s="302">
        <v>0</v>
      </c>
      <c r="G38" s="302">
        <v>0</v>
      </c>
      <c r="H38" s="302">
        <v>0</v>
      </c>
      <c r="I38" s="302">
        <v>0</v>
      </c>
      <c r="J38" s="302">
        <v>0</v>
      </c>
      <c r="K38" s="302">
        <v>0</v>
      </c>
      <c r="L38" s="302">
        <v>0</v>
      </c>
      <c r="M38" s="302"/>
      <c r="N38" s="302">
        <v>0</v>
      </c>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472"/>
      <c r="AW38"/>
    </row>
    <row r="39" spans="1:49" ht="12.9" customHeight="1">
      <c r="A39" s="5" t="s">
        <v>62</v>
      </c>
      <c r="B39" s="302">
        <v>0</v>
      </c>
      <c r="C39" s="302">
        <v>0</v>
      </c>
      <c r="D39" s="302">
        <v>0</v>
      </c>
      <c r="E39" s="302">
        <v>0</v>
      </c>
      <c r="F39" s="302">
        <v>0</v>
      </c>
      <c r="G39" s="302">
        <v>0</v>
      </c>
      <c r="H39" s="302">
        <v>0</v>
      </c>
      <c r="I39" s="302">
        <v>0</v>
      </c>
      <c r="J39" s="302">
        <v>0</v>
      </c>
      <c r="K39" s="302">
        <v>0</v>
      </c>
      <c r="L39" s="302">
        <v>0</v>
      </c>
      <c r="M39" s="302"/>
      <c r="N39" s="302">
        <v>0</v>
      </c>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472"/>
      <c r="AW39"/>
    </row>
    <row r="40" spans="1:49" ht="12.9" customHeight="1">
      <c r="A40" s="5" t="s">
        <v>63</v>
      </c>
      <c r="B40" s="302">
        <v>3.578721760051585E-3</v>
      </c>
      <c r="C40" s="302">
        <v>3.5378419884432365E-3</v>
      </c>
      <c r="D40" s="302">
        <v>3.601623417064563E-3</v>
      </c>
      <c r="E40" s="302">
        <v>3.4036628607016814E-3</v>
      </c>
      <c r="F40" s="302">
        <v>2.7874677184969894E-3</v>
      </c>
      <c r="G40" s="302">
        <v>2.8077787004359561E-3</v>
      </c>
      <c r="H40" s="302">
        <v>2.9050425576084703E-3</v>
      </c>
      <c r="I40" s="302">
        <v>2.5746315133900765E-3</v>
      </c>
      <c r="J40" s="302">
        <v>2.360078887274237E-3</v>
      </c>
      <c r="K40" s="302">
        <v>2.549671891218601E-3</v>
      </c>
      <c r="L40" s="302">
        <v>2.522852812954121E-3</v>
      </c>
      <c r="M40" s="302">
        <v>1.6812374124580017E-3</v>
      </c>
      <c r="N40" s="302">
        <v>1.7967467372497011E-3</v>
      </c>
      <c r="O40" s="302">
        <v>1.6403479487919937E-3</v>
      </c>
      <c r="P40" s="302">
        <v>1.6152708193366155E-3</v>
      </c>
      <c r="Q40" s="302">
        <v>1.6944321503588621E-3</v>
      </c>
      <c r="R40" s="302">
        <v>1.735774444065298E-3</v>
      </c>
      <c r="S40" s="302">
        <v>1.7522059212097792E-3</v>
      </c>
      <c r="T40" s="302">
        <v>1.7682552562847337E-3</v>
      </c>
      <c r="U40" s="302">
        <v>1.7834626803811362E-3</v>
      </c>
      <c r="V40" s="302">
        <v>1.7985632230048743E-3</v>
      </c>
      <c r="W40" s="302">
        <v>1.8008923540713661E-3</v>
      </c>
      <c r="X40" s="302">
        <v>1.793976444523604E-3</v>
      </c>
      <c r="Y40" s="302">
        <v>1.7907126334601692E-3</v>
      </c>
      <c r="Z40" s="302">
        <v>1.7835347759603114E-3</v>
      </c>
      <c r="AA40" s="302">
        <v>1.7627931514552797E-3</v>
      </c>
      <c r="AB40" s="302">
        <v>1.7455574261136843E-3</v>
      </c>
      <c r="AC40" s="302">
        <v>1.7263839847060805E-3</v>
      </c>
      <c r="AD40" s="302">
        <v>1.7075212614549556E-3</v>
      </c>
      <c r="AE40" s="302">
        <v>1.6946352787477802E-3</v>
      </c>
      <c r="AF40" s="302">
        <v>1.67886479196304E-3</v>
      </c>
      <c r="AG40" s="302">
        <v>1.6780106214105415E-3</v>
      </c>
      <c r="AH40" s="302">
        <v>1.6794781141164195E-3</v>
      </c>
      <c r="AI40" s="302">
        <v>1.6834838158539566E-3</v>
      </c>
      <c r="AJ40" s="302">
        <v>1.6852452951103861E-3</v>
      </c>
      <c r="AK40" s="302">
        <v>1.6888629571693266E-3</v>
      </c>
      <c r="AL40" s="302">
        <v>1.6942087131861583E-3</v>
      </c>
      <c r="AM40" s="302">
        <v>1.6975035720774103E-3</v>
      </c>
      <c r="AN40" s="302">
        <v>1.7020703298602613E-3</v>
      </c>
      <c r="AO40" s="302">
        <v>1.7074695834737523E-3</v>
      </c>
      <c r="AP40" s="302">
        <v>1.7142745673788366E-3</v>
      </c>
      <c r="AQ40" s="302">
        <v>1.7197888286412273E-3</v>
      </c>
      <c r="AR40" s="302">
        <v>1.726345150630839E-3</v>
      </c>
      <c r="AS40" s="302">
        <v>1.7330012243357482E-3</v>
      </c>
      <c r="AT40" s="302">
        <v>1.7390426169578931E-3</v>
      </c>
      <c r="AU40" s="302">
        <v>1.7460085171351692E-3</v>
      </c>
      <c r="AV40" s="472">
        <f>((AU40-O40)/O40)/32</f>
        <v>2.0129221749299333E-3</v>
      </c>
      <c r="AW40"/>
    </row>
    <row r="41" spans="1:49" ht="12.9" customHeight="1">
      <c r="A41" s="5" t="s">
        <v>64</v>
      </c>
      <c r="B41" s="302">
        <v>1.5117250181316221E-4</v>
      </c>
      <c r="C41" s="302">
        <v>3.3037776342387145E-4</v>
      </c>
      <c r="D41" s="302">
        <v>4.8742678527615536E-4</v>
      </c>
      <c r="E41" s="302">
        <v>6.5784096757521247E-3</v>
      </c>
      <c r="F41" s="302">
        <v>4.1496094140132276E-3</v>
      </c>
      <c r="G41" s="302">
        <v>2.2961283206401749E-2</v>
      </c>
      <c r="H41" s="302">
        <v>1.2303822477270977E-2</v>
      </c>
      <c r="I41" s="302">
        <v>1.9445217497718964E-2</v>
      </c>
      <c r="J41" s="302">
        <v>1.9260024950121642E-2</v>
      </c>
      <c r="K41" s="302">
        <v>1.993060716497155E-2</v>
      </c>
      <c r="L41" s="302">
        <v>2.2542748048831798E-2</v>
      </c>
      <c r="M41" s="302">
        <v>1.6021667371164956E-2</v>
      </c>
      <c r="N41" s="302">
        <v>1.8509990455494323E-2</v>
      </c>
      <c r="O41" s="302">
        <v>1.8464276103544501E-2</v>
      </c>
      <c r="P41" s="302">
        <v>1.9033953743562551E-2</v>
      </c>
      <c r="Q41" s="302">
        <v>1.9889454293571491E-2</v>
      </c>
      <c r="R41" s="302">
        <v>1.9853302468950874E-2</v>
      </c>
      <c r="S41" s="302">
        <v>1.9695490405470667E-2</v>
      </c>
      <c r="T41" s="302">
        <v>1.9418061172551675E-2</v>
      </c>
      <c r="U41" s="302">
        <v>1.9139581039458488E-2</v>
      </c>
      <c r="V41" s="302">
        <v>1.8656396926684242E-2</v>
      </c>
      <c r="W41" s="302">
        <v>1.8423834527361963E-2</v>
      </c>
      <c r="X41" s="302">
        <v>1.8214092577693995E-2</v>
      </c>
      <c r="Y41" s="302">
        <v>1.881766411231622E-2</v>
      </c>
      <c r="Z41" s="302">
        <v>1.870247742115401E-2</v>
      </c>
      <c r="AA41" s="302">
        <v>1.8862444162716083E-2</v>
      </c>
      <c r="AB41" s="302">
        <v>1.8399634577748639E-2</v>
      </c>
      <c r="AC41" s="302">
        <v>1.8050712362744203E-2</v>
      </c>
      <c r="AD41" s="302">
        <v>1.7685906302609591E-2</v>
      </c>
      <c r="AE41" s="302">
        <v>1.7426642776983775E-2</v>
      </c>
      <c r="AF41" s="302">
        <v>1.721356831409759E-2</v>
      </c>
      <c r="AG41" s="302">
        <v>1.7197561954022597E-2</v>
      </c>
      <c r="AH41" s="302">
        <v>1.7191757693403042E-2</v>
      </c>
      <c r="AI41" s="302">
        <v>1.7185853787057913E-2</v>
      </c>
      <c r="AJ41" s="302">
        <v>1.7196483627591058E-2</v>
      </c>
      <c r="AK41" s="302">
        <v>1.7203328917754526E-2</v>
      </c>
      <c r="AL41" s="302">
        <v>1.7209260670440471E-2</v>
      </c>
      <c r="AM41" s="302">
        <v>1.6516290535705618E-2</v>
      </c>
      <c r="AN41" s="302">
        <v>1.5830472355375626E-2</v>
      </c>
      <c r="AO41" s="302">
        <v>1.5980459085688799E-2</v>
      </c>
      <c r="AP41" s="302">
        <v>1.6178713021897214E-2</v>
      </c>
      <c r="AQ41" s="302">
        <v>1.6186477688119063E-2</v>
      </c>
      <c r="AR41" s="302">
        <v>1.6220315582347995E-2</v>
      </c>
      <c r="AS41" s="302">
        <v>1.6222460583672303E-2</v>
      </c>
      <c r="AT41" s="302">
        <v>1.6189238884806494E-2</v>
      </c>
      <c r="AU41" s="302">
        <v>1.6147345722336597E-2</v>
      </c>
      <c r="AV41" s="472">
        <f t="shared" ref="AV41:AV43" si="3">((AU41-O41)/O41)/32</f>
        <v>-3.9213058777239533E-3</v>
      </c>
      <c r="AW41"/>
    </row>
    <row r="42" spans="1:49" ht="12.9" customHeight="1">
      <c r="A42" s="5" t="s">
        <v>65</v>
      </c>
      <c r="B42" s="531">
        <v>5.7077000000000003E-2</v>
      </c>
      <c r="C42" s="531">
        <v>8.1279000000000004E-2</v>
      </c>
      <c r="D42" s="531">
        <v>5.5065999999999997E-2</v>
      </c>
      <c r="E42" s="531">
        <v>5.5499E-2</v>
      </c>
      <c r="F42" s="531">
        <v>5.6826000000000002E-2</v>
      </c>
      <c r="G42" s="531">
        <v>7.6332999999999998E-2</v>
      </c>
      <c r="H42" s="531">
        <v>7.4995999999999993E-2</v>
      </c>
      <c r="I42" s="531">
        <v>7.8010999999999997E-2</v>
      </c>
      <c r="J42" s="531">
        <v>7.8285999999999994E-2</v>
      </c>
      <c r="K42" s="531">
        <v>7.8298000000000006E-2</v>
      </c>
      <c r="L42" s="531">
        <v>7.8807000000000002E-2</v>
      </c>
      <c r="M42" s="531">
        <v>8.4869E-2</v>
      </c>
      <c r="N42" s="302">
        <v>8.540103855387475E-2</v>
      </c>
      <c r="O42" s="302">
        <v>8.5583858738779425E-2</v>
      </c>
      <c r="P42" s="302">
        <v>8.2869175177946175E-2</v>
      </c>
      <c r="Q42" s="302">
        <v>8.49020907744166E-2</v>
      </c>
      <c r="R42" s="302">
        <v>8.7157366640221015E-2</v>
      </c>
      <c r="S42" s="302">
        <v>8.9050990089436968E-2</v>
      </c>
      <c r="T42" s="302">
        <v>9.1102807230961966E-2</v>
      </c>
      <c r="U42" s="302">
        <v>9.342491622841631E-2</v>
      </c>
      <c r="V42" s="302">
        <v>9.594733302024494E-2</v>
      </c>
      <c r="W42" s="302">
        <v>9.798454757154175E-2</v>
      </c>
      <c r="X42" s="302">
        <v>9.9191579653287343E-2</v>
      </c>
      <c r="Y42" s="302">
        <v>0.10062618815910819</v>
      </c>
      <c r="Z42" s="302">
        <v>0.10207682048368064</v>
      </c>
      <c r="AA42" s="302">
        <v>0.10327909105533514</v>
      </c>
      <c r="AB42" s="302">
        <v>0.10485450572927298</v>
      </c>
      <c r="AC42" s="302">
        <v>0.10629087946990952</v>
      </c>
      <c r="AD42" s="302">
        <v>0.10781484410728255</v>
      </c>
      <c r="AE42" s="302">
        <v>0.11003931655214362</v>
      </c>
      <c r="AF42" s="302">
        <v>0.11237022434411294</v>
      </c>
      <c r="AG42" s="302">
        <v>0.11466523408494736</v>
      </c>
      <c r="AH42" s="302">
        <v>0.11690723844664606</v>
      </c>
      <c r="AI42" s="302">
        <v>0.11928743949216483</v>
      </c>
      <c r="AJ42" s="302">
        <v>0.12126463407293758</v>
      </c>
      <c r="AK42" s="302">
        <v>0.12327964375939604</v>
      </c>
      <c r="AL42" s="302">
        <v>0.12546212485811559</v>
      </c>
      <c r="AM42" s="302">
        <v>0.12736088307329846</v>
      </c>
      <c r="AN42" s="302">
        <v>0.12907512505654559</v>
      </c>
      <c r="AO42" s="302">
        <v>0.13114663810251159</v>
      </c>
      <c r="AP42" s="302">
        <v>0.13329003042403997</v>
      </c>
      <c r="AQ42" s="302">
        <v>0.1354719488282588</v>
      </c>
      <c r="AR42" s="302">
        <v>0.13761067720570705</v>
      </c>
      <c r="AS42" s="302">
        <v>0.13959879625980559</v>
      </c>
      <c r="AT42" s="302">
        <v>0.14134206133713487</v>
      </c>
      <c r="AU42" s="302">
        <v>0.14313743379132579</v>
      </c>
      <c r="AV42" s="472">
        <f t="shared" si="3"/>
        <v>2.1015051750373138E-2</v>
      </c>
      <c r="AW42"/>
    </row>
    <row r="43" spans="1:49" ht="12.9" customHeight="1">
      <c r="A43" s="11" t="s">
        <v>25</v>
      </c>
      <c r="B43" s="302">
        <v>7.5468999999999994E-2</v>
      </c>
      <c r="C43" s="302">
        <v>7.5128E-2</v>
      </c>
      <c r="D43" s="302">
        <v>7.0833999999999994E-2</v>
      </c>
      <c r="E43" s="302">
        <v>7.2075E-2</v>
      </c>
      <c r="F43" s="302">
        <v>7.9757999999999996E-2</v>
      </c>
      <c r="G43" s="302">
        <v>9.0898999999999994E-2</v>
      </c>
      <c r="H43" s="302">
        <v>9.5336000000000004E-2</v>
      </c>
      <c r="I43" s="302">
        <v>9.4113000000000002E-2</v>
      </c>
      <c r="J43" s="302">
        <v>9.2924999999999994E-2</v>
      </c>
      <c r="K43" s="302">
        <v>9.5579999999999998E-2</v>
      </c>
      <c r="L43" s="302">
        <v>9.1346999999999998E-2</v>
      </c>
      <c r="M43" s="302">
        <v>8.7614999999999998E-2</v>
      </c>
      <c r="N43" s="302">
        <v>7.9113691602328631E-2</v>
      </c>
      <c r="O43" s="302">
        <v>7.7954661432515573E-2</v>
      </c>
      <c r="P43" s="302">
        <v>7.6752025458178413E-2</v>
      </c>
      <c r="Q43" s="302">
        <v>7.7126403264409726E-2</v>
      </c>
      <c r="R43" s="302">
        <v>7.7667531049300881E-2</v>
      </c>
      <c r="S43" s="302">
        <v>7.8198788753099435E-2</v>
      </c>
      <c r="T43" s="302">
        <v>7.8785154950282557E-2</v>
      </c>
      <c r="U43" s="302">
        <v>7.9442426141063602E-2</v>
      </c>
      <c r="V43" s="302">
        <v>8.0167909367696119E-2</v>
      </c>
      <c r="W43" s="302">
        <v>8.0897593021131878E-2</v>
      </c>
      <c r="X43" s="302">
        <v>8.1679270870043535E-2</v>
      </c>
      <c r="Y43" s="302">
        <v>8.2424902624204877E-2</v>
      </c>
      <c r="Z43" s="302">
        <v>8.3391899465860855E-2</v>
      </c>
      <c r="AA43" s="302">
        <v>8.4586700660909939E-2</v>
      </c>
      <c r="AB43" s="302">
        <v>8.4860235445374327E-2</v>
      </c>
      <c r="AC43" s="302">
        <v>8.612515460883996E-2</v>
      </c>
      <c r="AD43" s="302">
        <v>8.740133693918567E-2</v>
      </c>
      <c r="AE43" s="302">
        <v>8.8691843127832695E-2</v>
      </c>
      <c r="AF43" s="302">
        <v>9.0064827165391381E-2</v>
      </c>
      <c r="AG43" s="302">
        <v>9.0971180114601757E-2</v>
      </c>
      <c r="AH43" s="302">
        <v>9.2118655483176798E-2</v>
      </c>
      <c r="AI43" s="302">
        <v>9.3266130851752227E-2</v>
      </c>
      <c r="AJ43" s="302">
        <v>9.4413606220327254E-2</v>
      </c>
      <c r="AK43" s="302">
        <v>9.556108158890228E-2</v>
      </c>
      <c r="AL43" s="302">
        <v>9.6708556957477321E-2</v>
      </c>
      <c r="AM43" s="302">
        <v>9.7856032326052347E-2</v>
      </c>
      <c r="AN43" s="302">
        <v>9.9003507694627374E-2</v>
      </c>
      <c r="AO43" s="302">
        <v>0.10015098306320241</v>
      </c>
      <c r="AP43" s="302">
        <v>0.10129845843177783</v>
      </c>
      <c r="AQ43" s="302">
        <v>0.10244593380035287</v>
      </c>
      <c r="AR43" s="302">
        <v>0.1035934091689279</v>
      </c>
      <c r="AS43" s="302">
        <v>0.10474088453750292</v>
      </c>
      <c r="AT43" s="302">
        <v>0.10588835990607796</v>
      </c>
      <c r="AU43" s="302">
        <v>0.10703583527465299</v>
      </c>
      <c r="AV43" s="472">
        <f t="shared" si="3"/>
        <v>1.1657887621685332E-2</v>
      </c>
      <c r="AW43"/>
    </row>
    <row r="44" spans="1:49" customFormat="1" ht="12.9" customHeight="1">
      <c r="A44" s="11"/>
      <c r="B44" s="165"/>
      <c r="C44" s="532"/>
      <c r="D44" s="532"/>
      <c r="E44" s="532"/>
      <c r="F44" s="532"/>
      <c r="G44" s="532"/>
      <c r="H44" s="532"/>
      <c r="I44" s="532"/>
      <c r="J44" s="532"/>
      <c r="K44" s="532"/>
      <c r="L44" s="532"/>
      <c r="M44" s="165"/>
      <c r="N44" s="165"/>
      <c r="O44" s="165"/>
      <c r="P44" s="165"/>
      <c r="Q44" s="165"/>
      <c r="R44" s="165"/>
      <c r="S44" s="165"/>
      <c r="T44" s="165"/>
      <c r="U44" s="165"/>
      <c r="V44" s="165"/>
      <c r="W44" s="165"/>
      <c r="X44" s="165"/>
      <c r="Y44" s="165"/>
      <c r="Z44" s="165"/>
      <c r="AA44" s="165"/>
      <c r="AB44" s="165"/>
      <c r="AC44" s="165"/>
      <c r="AD44" s="165"/>
      <c r="AE44" s="165"/>
      <c r="AF44" s="165"/>
      <c r="AG44" s="532"/>
      <c r="AH44" s="532"/>
      <c r="AI44" s="532"/>
      <c r="AJ44" s="532"/>
      <c r="AK44" s="532"/>
      <c r="AL44" s="532"/>
      <c r="AM44" s="532"/>
      <c r="AN44" s="532"/>
      <c r="AO44" s="532"/>
      <c r="AP44" s="532"/>
      <c r="AQ44" s="532"/>
      <c r="AR44" s="532"/>
      <c r="AS44" s="532"/>
      <c r="AT44" s="532"/>
      <c r="AU44" s="532"/>
      <c r="AV44" s="470"/>
    </row>
    <row r="45" spans="1:49" ht="12.9" customHeight="1">
      <c r="A45" s="11" t="s">
        <v>79</v>
      </c>
      <c r="B45" s="532"/>
      <c r="C45" s="532"/>
      <c r="D45" s="532"/>
      <c r="E45" s="532"/>
      <c r="F45" s="532"/>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c r="AM45" s="532"/>
      <c r="AN45" s="532"/>
      <c r="AO45" s="532"/>
      <c r="AP45" s="532"/>
      <c r="AQ45" s="532"/>
      <c r="AR45" s="532"/>
      <c r="AS45" s="532"/>
      <c r="AT45" s="532"/>
      <c r="AU45" s="532"/>
      <c r="AV45" s="470"/>
      <c r="AW45"/>
    </row>
    <row r="46" spans="1:49" ht="12.9" customHeight="1">
      <c r="A46" s="11" t="s">
        <v>22</v>
      </c>
      <c r="B46" s="302">
        <v>3.9767054782674326E-4</v>
      </c>
      <c r="C46" s="302">
        <v>5.9540838986149309E-4</v>
      </c>
      <c r="D46" s="302">
        <v>1.1367442205235116E-3</v>
      </c>
      <c r="E46" s="302">
        <v>8.0940949733611302E-4</v>
      </c>
      <c r="F46" s="302">
        <v>1.5862715079916609E-3</v>
      </c>
      <c r="G46" s="302">
        <v>1.3366787815612693E-3</v>
      </c>
      <c r="H46" s="302">
        <v>1.6277463053046095E-3</v>
      </c>
      <c r="I46" s="302">
        <v>1.4878851053972666E-3</v>
      </c>
      <c r="J46" s="302">
        <v>1.3036064485246847E-3</v>
      </c>
      <c r="K46" s="302">
        <v>2.9069919887460169E-4</v>
      </c>
      <c r="L46" s="302">
        <v>3.1487368542969658E-4</v>
      </c>
      <c r="M46" s="302">
        <v>2.8715198149924557E-4</v>
      </c>
      <c r="N46" s="302">
        <v>1.9733397214914304E-4</v>
      </c>
      <c r="O46" s="302">
        <v>2.1323096106095376E-4</v>
      </c>
      <c r="P46" s="302">
        <v>2.1154312372699357E-4</v>
      </c>
      <c r="Q46" s="302">
        <v>2.1402960000602416E-4</v>
      </c>
      <c r="R46" s="302">
        <v>2.1240613007167739E-4</v>
      </c>
      <c r="S46" s="302">
        <v>2.0942963144093179E-4</v>
      </c>
      <c r="T46" s="302">
        <v>2.0767303479104967E-4</v>
      </c>
      <c r="U46" s="302">
        <v>2.0466137249452248E-4</v>
      </c>
      <c r="V46" s="302">
        <v>2.0117474081682985E-4</v>
      </c>
      <c r="W46" s="302">
        <v>1.9914450560154962E-4</v>
      </c>
      <c r="X46" s="302">
        <v>1.9833780158323681E-4</v>
      </c>
      <c r="Y46" s="302">
        <v>1.9706884944084384E-4</v>
      </c>
      <c r="Z46" s="302">
        <v>1.9707539967565673E-4</v>
      </c>
      <c r="AA46" s="302">
        <v>1.9606280107120104E-4</v>
      </c>
      <c r="AB46" s="302">
        <v>1.951650033481064E-4</v>
      </c>
      <c r="AC46" s="302">
        <v>1.9532309297015408E-4</v>
      </c>
      <c r="AD46" s="302">
        <v>1.9553659675537388E-4</v>
      </c>
      <c r="AE46" s="302">
        <v>1.9647490783842645E-4</v>
      </c>
      <c r="AF46" s="302">
        <v>1.9764044077516033E-4</v>
      </c>
      <c r="AG46" s="302">
        <v>2.0010225148704564E-4</v>
      </c>
      <c r="AH46" s="302">
        <v>2.0266684094117664E-4</v>
      </c>
      <c r="AI46" s="302">
        <v>2.0579551819264867E-4</v>
      </c>
      <c r="AJ46" s="302">
        <v>2.090621096608192E-4</v>
      </c>
      <c r="AK46" s="302">
        <v>2.1245878002033996E-4</v>
      </c>
      <c r="AL46" s="302">
        <v>2.1632748164745376E-4</v>
      </c>
      <c r="AM46" s="302">
        <v>2.2014761337864745E-4</v>
      </c>
      <c r="AN46" s="302">
        <v>2.237805671687122E-4</v>
      </c>
      <c r="AO46" s="302">
        <v>2.2756939764937258E-4</v>
      </c>
      <c r="AP46" s="302">
        <v>2.3151901185385654E-4</v>
      </c>
      <c r="AQ46" s="302">
        <v>2.3586198231530654E-4</v>
      </c>
      <c r="AR46" s="302">
        <v>2.407070027589314E-4</v>
      </c>
      <c r="AS46" s="302">
        <v>2.4491397474833069E-4</v>
      </c>
      <c r="AT46" s="302">
        <v>2.4950297097188582E-4</v>
      </c>
      <c r="AU46" s="302">
        <v>2.5481034418359944E-4</v>
      </c>
      <c r="AV46" s="472">
        <f>((AU46-O46)/O46)/32</f>
        <v>6.0936541115680009E-3</v>
      </c>
      <c r="AW46"/>
    </row>
    <row r="47" spans="1:49" ht="12.9" customHeight="1">
      <c r="A47" s="11" t="s">
        <v>66</v>
      </c>
      <c r="B47" s="302">
        <v>3.23656049637422E-5</v>
      </c>
      <c r="C47" s="302">
        <v>2.7250798186578767E-5</v>
      </c>
      <c r="D47" s="302">
        <v>3.5721331171286214E-5</v>
      </c>
      <c r="E47" s="302">
        <v>5.688453492182183E-5</v>
      </c>
      <c r="F47" s="302">
        <v>4.9605471211446521E-5</v>
      </c>
      <c r="G47" s="302">
        <v>1.4719884392092283E-4</v>
      </c>
      <c r="H47" s="302">
        <v>3.531693874293204E-5</v>
      </c>
      <c r="I47" s="302">
        <v>1.3479747611806121E-4</v>
      </c>
      <c r="J47" s="302">
        <v>4.0492264618688194E-4</v>
      </c>
      <c r="K47" s="302">
        <v>6.3986174756778451E-4</v>
      </c>
      <c r="L47" s="302">
        <v>7.8088177915192861E-4</v>
      </c>
      <c r="M47" s="302">
        <v>2.1994353062118193E-4</v>
      </c>
      <c r="N47" s="302">
        <v>1.8886441894149574E-4</v>
      </c>
      <c r="O47" s="302">
        <v>1.2232542987673587E-3</v>
      </c>
      <c r="P47" s="302">
        <v>1.1756263132094041E-3</v>
      </c>
      <c r="Q47" s="302">
        <v>1.4727054419647436E-3</v>
      </c>
      <c r="R47" s="302">
        <v>1.7955866745454747E-3</v>
      </c>
      <c r="S47" s="302">
        <v>2.0567970204519595E-3</v>
      </c>
      <c r="T47" s="302">
        <v>2.2890333041748452E-3</v>
      </c>
      <c r="U47" s="302">
        <v>3.1792375889875524E-3</v>
      </c>
      <c r="V47" s="302">
        <v>4.2090640054055894E-3</v>
      </c>
      <c r="W47" s="302">
        <v>4.3265941055825171E-3</v>
      </c>
      <c r="X47" s="302">
        <v>4.8636746375276306E-3</v>
      </c>
      <c r="Y47" s="302">
        <v>5.2463058972764881E-3</v>
      </c>
      <c r="Z47" s="302">
        <v>6.4954432536381062E-3</v>
      </c>
      <c r="AA47" s="302">
        <v>7.0293237775806454E-3</v>
      </c>
      <c r="AB47" s="302">
        <v>7.3539754674057326E-3</v>
      </c>
      <c r="AC47" s="302">
        <v>7.4428444889315703E-3</v>
      </c>
      <c r="AD47" s="302">
        <v>7.5921697659389392E-3</v>
      </c>
      <c r="AE47" s="302">
        <v>7.9081882152161002E-3</v>
      </c>
      <c r="AF47" s="302">
        <v>7.9767789277589689E-3</v>
      </c>
      <c r="AG47" s="302">
        <v>8.2920123648783303E-3</v>
      </c>
      <c r="AH47" s="302">
        <v>8.5166886300963134E-3</v>
      </c>
      <c r="AI47" s="302">
        <v>8.6964944481255912E-3</v>
      </c>
      <c r="AJ47" s="302">
        <v>8.6940172944365793E-3</v>
      </c>
      <c r="AK47" s="302">
        <v>8.6916578175066407E-3</v>
      </c>
      <c r="AL47" s="302">
        <v>8.4773935093115458E-3</v>
      </c>
      <c r="AM47" s="302">
        <v>8.2528965578453593E-3</v>
      </c>
      <c r="AN47" s="302">
        <v>7.823419317206334E-3</v>
      </c>
      <c r="AO47" s="302">
        <v>7.4304733161249109E-3</v>
      </c>
      <c r="AP47" s="302">
        <v>7.134578022371771E-3</v>
      </c>
      <c r="AQ47" s="302">
        <v>6.3251886068438935E-3</v>
      </c>
      <c r="AR47" s="302">
        <v>5.1548115169978165E-3</v>
      </c>
      <c r="AS47" s="302">
        <v>4.4501875188791007E-3</v>
      </c>
      <c r="AT47" s="302">
        <v>4.3587904446692558E-3</v>
      </c>
      <c r="AU47" s="302">
        <v>4.290704680028368E-3</v>
      </c>
      <c r="AV47" s="472">
        <f t="shared" ref="AV47:AV56" si="4">((AU47-O47)/O47)/32</f>
        <v>7.8362957327025085E-2</v>
      </c>
      <c r="AW47"/>
    </row>
    <row r="48" spans="1:49" ht="12.9" customHeight="1">
      <c r="A48" s="474" t="s">
        <v>28</v>
      </c>
      <c r="B48" s="302">
        <v>0.33172400000000002</v>
      </c>
      <c r="C48" s="302">
        <v>0.33359499999999997</v>
      </c>
      <c r="D48" s="302">
        <v>0.33381499999999997</v>
      </c>
      <c r="E48" s="302">
        <v>0.32218200000000002</v>
      </c>
      <c r="F48" s="302">
        <v>0.32433600000000001</v>
      </c>
      <c r="G48" s="302">
        <v>0.317909</v>
      </c>
      <c r="H48" s="302">
        <v>0.31439299999999998</v>
      </c>
      <c r="I48" s="302">
        <v>0.31125399999999998</v>
      </c>
      <c r="J48" s="302">
        <v>0.32394099999999998</v>
      </c>
      <c r="K48" s="302">
        <v>0.32282100000000002</v>
      </c>
      <c r="L48" s="302">
        <v>0.32627099999999998</v>
      </c>
      <c r="M48" s="302">
        <v>0.31780999999999998</v>
      </c>
      <c r="N48" s="302">
        <v>0.30665513211455053</v>
      </c>
      <c r="O48" s="302">
        <v>0.30715811994553244</v>
      </c>
      <c r="P48" s="302">
        <v>0.30676729106830447</v>
      </c>
      <c r="Q48" s="302">
        <v>0.30429415397526366</v>
      </c>
      <c r="R48" s="302">
        <v>0.29972751256708213</v>
      </c>
      <c r="S48" s="302">
        <v>0.29462718153359002</v>
      </c>
      <c r="T48" s="302">
        <v>0.28972544870941425</v>
      </c>
      <c r="U48" s="302">
        <v>0.28555396353500201</v>
      </c>
      <c r="V48" s="302">
        <v>0.27960646769334674</v>
      </c>
      <c r="W48" s="302">
        <v>0.27438168042562372</v>
      </c>
      <c r="X48" s="302">
        <v>0.2693585272690997</v>
      </c>
      <c r="Y48" s="302">
        <v>0.26460322261668573</v>
      </c>
      <c r="Z48" s="302">
        <v>0.25977970502332948</v>
      </c>
      <c r="AA48" s="302">
        <v>0.25542307412996179</v>
      </c>
      <c r="AB48" s="302">
        <v>0.2512012317130552</v>
      </c>
      <c r="AC48" s="302">
        <v>0.24766161793214542</v>
      </c>
      <c r="AD48" s="302">
        <v>0.24422430234918172</v>
      </c>
      <c r="AE48" s="302">
        <v>0.24098725201878324</v>
      </c>
      <c r="AF48" s="302">
        <v>0.23823350270728708</v>
      </c>
      <c r="AG48" s="302">
        <v>0.23594727793548814</v>
      </c>
      <c r="AH48" s="302">
        <v>0.23421518579375997</v>
      </c>
      <c r="AI48" s="302">
        <v>0.23288205147961816</v>
      </c>
      <c r="AJ48" s="302">
        <v>0.23202922320907299</v>
      </c>
      <c r="AK48" s="302">
        <v>0.23139196367828113</v>
      </c>
      <c r="AL48" s="302">
        <v>0.23117245683828405</v>
      </c>
      <c r="AM48" s="302">
        <v>0.23099783676964694</v>
      </c>
      <c r="AN48" s="302">
        <v>0.23105776032058295</v>
      </c>
      <c r="AO48" s="302">
        <v>0.23122922046501307</v>
      </c>
      <c r="AP48" s="302">
        <v>0.2313738202262296</v>
      </c>
      <c r="AQ48" s="302">
        <v>0.23186664840007254</v>
      </c>
      <c r="AR48" s="302">
        <v>0.23259532526529841</v>
      </c>
      <c r="AS48" s="302">
        <v>0.23305698378543147</v>
      </c>
      <c r="AT48" s="302">
        <v>0.23314105088615791</v>
      </c>
      <c r="AU48" s="302">
        <v>0.23316246457462428</v>
      </c>
      <c r="AV48" s="472">
        <f t="shared" si="4"/>
        <v>-7.5282536263437394E-3</v>
      </c>
      <c r="AW48"/>
    </row>
    <row r="49" spans="1:49" ht="12.9" customHeight="1">
      <c r="A49" s="11" t="s">
        <v>37</v>
      </c>
      <c r="B49" s="302">
        <v>0.104784</v>
      </c>
      <c r="C49" s="537">
        <v>0.105393</v>
      </c>
      <c r="D49" s="537">
        <v>0.115957</v>
      </c>
      <c r="E49" s="537">
        <v>0.114024</v>
      </c>
      <c r="F49" s="537">
        <v>0.10371900000000001</v>
      </c>
      <c r="G49" s="537">
        <v>0.109197</v>
      </c>
      <c r="H49" s="537">
        <v>9.2909000000000005E-2</v>
      </c>
      <c r="I49" s="537">
        <v>0.109749</v>
      </c>
      <c r="J49" s="537">
        <v>8.9675000000000005E-2</v>
      </c>
      <c r="K49" s="537">
        <v>9.5005000000000006E-2</v>
      </c>
      <c r="L49" s="537">
        <v>0.106268</v>
      </c>
      <c r="M49" s="537">
        <v>0.11816</v>
      </c>
      <c r="N49" s="302">
        <v>9.9726189097694637E-2</v>
      </c>
      <c r="O49" s="302">
        <v>0.10125785874827478</v>
      </c>
      <c r="P49" s="302">
        <v>0.10337658549594238</v>
      </c>
      <c r="Q49" s="302">
        <v>0.10481966340285158</v>
      </c>
      <c r="R49" s="302">
        <v>0.10573038539174713</v>
      </c>
      <c r="S49" s="302">
        <v>0.10656430973700028</v>
      </c>
      <c r="T49" s="302">
        <v>0.10722258566561468</v>
      </c>
      <c r="U49" s="302">
        <v>0.10810606047911359</v>
      </c>
      <c r="V49" s="302">
        <v>0.10931312988364453</v>
      </c>
      <c r="W49" s="302">
        <v>0.11052437979055917</v>
      </c>
      <c r="X49" s="302">
        <v>0.11167716051224516</v>
      </c>
      <c r="Y49" s="302">
        <v>0.11321763194433435</v>
      </c>
      <c r="Z49" s="302">
        <v>0.11444038654139431</v>
      </c>
      <c r="AA49" s="302">
        <v>0.1157124690809738</v>
      </c>
      <c r="AB49" s="302">
        <v>0.11702653515537022</v>
      </c>
      <c r="AC49" s="302">
        <v>0.11827045171102162</v>
      </c>
      <c r="AD49" s="302">
        <v>0.11948853472841098</v>
      </c>
      <c r="AE49" s="302">
        <v>0.12077762737008697</v>
      </c>
      <c r="AF49" s="302">
        <v>0.12204741169036844</v>
      </c>
      <c r="AG49" s="302">
        <v>0.12331810446246433</v>
      </c>
      <c r="AH49" s="302">
        <v>0.12459878570110666</v>
      </c>
      <c r="AI49" s="302">
        <v>0.1258997962975778</v>
      </c>
      <c r="AJ49" s="302">
        <v>0.12718937186492094</v>
      </c>
      <c r="AK49" s="302">
        <v>0.12853050183560941</v>
      </c>
      <c r="AL49" s="302">
        <v>0.12987152674060531</v>
      </c>
      <c r="AM49" s="302">
        <v>0.13110901654105531</v>
      </c>
      <c r="AN49" s="302">
        <v>0.13238547047102234</v>
      </c>
      <c r="AO49" s="302">
        <v>0.13362607130925952</v>
      </c>
      <c r="AP49" s="302">
        <v>0.1349327451811512</v>
      </c>
      <c r="AQ49" s="302">
        <v>0.13621011035623118</v>
      </c>
      <c r="AR49" s="302">
        <v>0.13748469413578523</v>
      </c>
      <c r="AS49" s="302">
        <v>0.13868827202629036</v>
      </c>
      <c r="AT49" s="302">
        <v>0.13983344448507523</v>
      </c>
      <c r="AU49" s="302">
        <v>0.14091472413499925</v>
      </c>
      <c r="AV49" s="472">
        <f t="shared" si="4"/>
        <v>1.2238823323490971E-2</v>
      </c>
      <c r="AW49"/>
    </row>
    <row r="50" spans="1:49" s="1" customFormat="1" ht="12.9" customHeight="1">
      <c r="A50" s="11" t="s">
        <v>38</v>
      </c>
      <c r="B50" s="302">
        <v>0.113703</v>
      </c>
      <c r="C50" s="302">
        <v>0.13883400000000001</v>
      </c>
      <c r="D50" s="302">
        <v>0.14222000000000001</v>
      </c>
      <c r="E50" s="302">
        <v>0.130879</v>
      </c>
      <c r="F50" s="302">
        <v>0.114241</v>
      </c>
      <c r="G50" s="302">
        <v>0.11047999999999999</v>
      </c>
      <c r="H50" s="302">
        <v>0.120783</v>
      </c>
      <c r="I50" s="302">
        <v>0.11111</v>
      </c>
      <c r="J50" s="302">
        <v>0.10649</v>
      </c>
      <c r="K50" s="302">
        <v>0.113272</v>
      </c>
      <c r="L50" s="302">
        <v>0.121181</v>
      </c>
      <c r="M50" s="302">
        <v>0.12658900000000001</v>
      </c>
      <c r="N50" s="302">
        <v>0.12295630989169379</v>
      </c>
      <c r="O50" s="302">
        <v>0.12475242051944578</v>
      </c>
      <c r="P50" s="302">
        <v>0.1286177428876169</v>
      </c>
      <c r="Q50" s="302">
        <v>0.14250647853512005</v>
      </c>
      <c r="R50" s="302">
        <v>0.14188380917316401</v>
      </c>
      <c r="S50" s="302">
        <v>0.13804367294463482</v>
      </c>
      <c r="T50" s="302">
        <v>0.13700910331172225</v>
      </c>
      <c r="U50" s="302">
        <v>0.13646625083573524</v>
      </c>
      <c r="V50" s="302">
        <v>0.13631853473310601</v>
      </c>
      <c r="W50" s="302">
        <v>0.13641741976902155</v>
      </c>
      <c r="X50" s="302">
        <v>0.13598768489047883</v>
      </c>
      <c r="Y50" s="302">
        <v>0.13572296543651027</v>
      </c>
      <c r="Z50" s="302">
        <v>0.13511892639704928</v>
      </c>
      <c r="AA50" s="302">
        <v>0.13497165838250177</v>
      </c>
      <c r="AB50" s="302">
        <v>0.1344872542606689</v>
      </c>
      <c r="AC50" s="302">
        <v>0.13393991509302039</v>
      </c>
      <c r="AD50" s="302">
        <v>0.13332941496459336</v>
      </c>
      <c r="AE50" s="302">
        <v>0.13312319575874465</v>
      </c>
      <c r="AF50" s="302">
        <v>0.13402728164682323</v>
      </c>
      <c r="AG50" s="302">
        <v>0.13420665019328115</v>
      </c>
      <c r="AH50" s="302">
        <v>0.13466566674565081</v>
      </c>
      <c r="AI50" s="302">
        <v>0.135132770723846</v>
      </c>
      <c r="AJ50" s="302">
        <v>0.13558140999656962</v>
      </c>
      <c r="AK50" s="302">
        <v>0.13594333339031245</v>
      </c>
      <c r="AL50" s="302">
        <v>0.13644018206053796</v>
      </c>
      <c r="AM50" s="302">
        <v>0.13671013935836876</v>
      </c>
      <c r="AN50" s="302">
        <v>0.13694686217806279</v>
      </c>
      <c r="AO50" s="302">
        <v>0.13788997644174039</v>
      </c>
      <c r="AP50" s="302">
        <v>0.13849405910164558</v>
      </c>
      <c r="AQ50" s="302">
        <v>0.13926051678958729</v>
      </c>
      <c r="AR50" s="302">
        <v>0.13992722885132647</v>
      </c>
      <c r="AS50" s="302">
        <v>0.14060554947835185</v>
      </c>
      <c r="AT50" s="302">
        <v>0.1411188451079772</v>
      </c>
      <c r="AU50" s="302">
        <v>0.14169587435736347</v>
      </c>
      <c r="AV50" s="472">
        <f t="shared" si="4"/>
        <v>4.2442698124033167E-3</v>
      </c>
      <c r="AW50"/>
    </row>
    <row r="51" spans="1:49" s="143" customFormat="1" ht="12.9" customHeight="1">
      <c r="A51" s="475" t="s">
        <v>29</v>
      </c>
      <c r="B51" s="302">
        <v>4.7050949345592286E-2</v>
      </c>
      <c r="C51" s="302">
        <v>4.7278247000739647E-2</v>
      </c>
      <c r="D51" s="302">
        <v>6.3369836323745182E-2</v>
      </c>
      <c r="E51" s="302">
        <v>5.9616316745857635E-2</v>
      </c>
      <c r="F51" s="302">
        <v>5.3657109687319141E-2</v>
      </c>
      <c r="G51" s="302">
        <v>4.0648999999999998E-2</v>
      </c>
      <c r="H51" s="302">
        <v>4.8829999999999998E-2</v>
      </c>
      <c r="I51" s="302">
        <v>6.2197000000000002E-2</v>
      </c>
      <c r="J51" s="302">
        <v>6.0212000000000002E-2</v>
      </c>
      <c r="K51" s="302">
        <v>4.0807000000000003E-2</v>
      </c>
      <c r="L51" s="302">
        <v>5.4953000000000002E-2</v>
      </c>
      <c r="M51" s="302">
        <v>0.112543</v>
      </c>
      <c r="N51" s="302">
        <v>6.6456064410435889E-2</v>
      </c>
      <c r="O51" s="302">
        <v>6.1852891439622269E-2</v>
      </c>
      <c r="P51" s="302">
        <v>6.5126729001350928E-2</v>
      </c>
      <c r="Q51" s="302">
        <v>3.5104021157369186E-2</v>
      </c>
      <c r="R51" s="302">
        <v>4.1887007620191839E-2</v>
      </c>
      <c r="S51" s="302">
        <v>5.577501044073184E-2</v>
      </c>
      <c r="T51" s="302">
        <v>5.8393412437976945E-2</v>
      </c>
      <c r="U51" s="302">
        <v>5.9718089365162201E-2</v>
      </c>
      <c r="V51" s="302">
        <v>6.0902191969638704E-2</v>
      </c>
      <c r="W51" s="302">
        <v>5.9810593732811924E-2</v>
      </c>
      <c r="X51" s="302">
        <v>5.8895739156510217E-2</v>
      </c>
      <c r="Y51" s="302">
        <v>5.8348769302971427E-2</v>
      </c>
      <c r="Z51" s="302">
        <v>5.8672254889090752E-2</v>
      </c>
      <c r="AA51" s="302">
        <v>5.6713435022579146E-2</v>
      </c>
      <c r="AB51" s="302">
        <v>5.6418837933535339E-2</v>
      </c>
      <c r="AC51" s="302">
        <v>5.6234043074776113E-2</v>
      </c>
      <c r="AD51" s="302">
        <v>5.6078456783324911E-2</v>
      </c>
      <c r="AE51" s="302">
        <v>5.5711460160968736E-2</v>
      </c>
      <c r="AF51" s="302">
        <v>5.2124524174877389E-2</v>
      </c>
      <c r="AG51" s="302">
        <v>5.1862774747502373E-2</v>
      </c>
      <c r="AH51" s="302">
        <v>5.0988161247541228E-2</v>
      </c>
      <c r="AI51" s="302">
        <v>5.0706993349437901E-2</v>
      </c>
      <c r="AJ51" s="302">
        <v>5.0458510739123837E-2</v>
      </c>
      <c r="AK51" s="302">
        <v>5.0268765316248264E-2</v>
      </c>
      <c r="AL51" s="302">
        <v>4.9998861070399289E-2</v>
      </c>
      <c r="AM51" s="302">
        <v>4.9458638615243807E-2</v>
      </c>
      <c r="AN51" s="302">
        <v>5.0930606524188932E-2</v>
      </c>
      <c r="AO51" s="302">
        <v>4.9184956699710236E-2</v>
      </c>
      <c r="AP51" s="302">
        <v>4.9076399901367314E-2</v>
      </c>
      <c r="AQ51" s="302">
        <v>4.8132535361124822E-2</v>
      </c>
      <c r="AR51" s="302">
        <v>4.7950955796398811E-2</v>
      </c>
      <c r="AS51" s="302">
        <v>4.7844475716781673E-2</v>
      </c>
      <c r="AT51" s="302">
        <v>4.7895019001948522E-2</v>
      </c>
      <c r="AU51" s="302">
        <v>4.7693288454933438E-2</v>
      </c>
      <c r="AV51" s="472">
        <f t="shared" si="4"/>
        <v>-7.1538707887805119E-3</v>
      </c>
      <c r="AW51"/>
    </row>
    <row r="52" spans="1:49" ht="12.9" customHeight="1">
      <c r="A52" s="178" t="s">
        <v>67</v>
      </c>
      <c r="B52" s="302">
        <v>5.4660960326839078E-3</v>
      </c>
      <c r="C52" s="302">
        <v>5.3572287190000178E-3</v>
      </c>
      <c r="D52" s="302">
        <v>5.4529945640031897E-3</v>
      </c>
      <c r="E52" s="302">
        <v>5.3444717311111585E-3</v>
      </c>
      <c r="F52" s="302">
        <v>4.7609300136319923E-3</v>
      </c>
      <c r="G52" s="302">
        <v>5.2840989605944305E-3</v>
      </c>
      <c r="H52" s="302">
        <v>5.0794611954993888E-3</v>
      </c>
      <c r="I52" s="302">
        <v>4.6298136899330872E-3</v>
      </c>
      <c r="J52" s="302">
        <v>4.6358840552721816E-3</v>
      </c>
      <c r="K52" s="302">
        <v>4.7071773447692755E-3</v>
      </c>
      <c r="L52" s="302">
        <v>4.7577817403228369E-3</v>
      </c>
      <c r="M52" s="302">
        <v>7.5896169222540422E-4</v>
      </c>
      <c r="N52" s="302">
        <v>7.5773318206592073E-4</v>
      </c>
      <c r="O52" s="302">
        <v>7.5578407475312113E-4</v>
      </c>
      <c r="P52" s="302">
        <v>7.5493581976065474E-4</v>
      </c>
      <c r="Q52" s="302">
        <v>7.5397585354500403E-4</v>
      </c>
      <c r="R52" s="302">
        <v>7.5309841860112122E-4</v>
      </c>
      <c r="S52" s="302">
        <v>7.514836890581293E-4</v>
      </c>
      <c r="T52" s="302">
        <v>7.5003356811979155E-4</v>
      </c>
      <c r="U52" s="302">
        <v>7.4907150030834339E-4</v>
      </c>
      <c r="V52" s="302">
        <v>7.4772192906430294E-4</v>
      </c>
      <c r="W52" s="302">
        <v>7.4653169479281252E-4</v>
      </c>
      <c r="X52" s="302">
        <v>7.4545707462144199E-4</v>
      </c>
      <c r="Y52" s="302">
        <v>7.4452876634826224E-4</v>
      </c>
      <c r="Z52" s="302">
        <v>7.4392593889379658E-4</v>
      </c>
      <c r="AA52" s="302">
        <v>7.4398289664378192E-4</v>
      </c>
      <c r="AB52" s="302">
        <v>7.4450004931154729E-4</v>
      </c>
      <c r="AC52" s="302">
        <v>7.4468629287446984E-4</v>
      </c>
      <c r="AD52" s="302">
        <v>7.4491767026377915E-4</v>
      </c>
      <c r="AE52" s="302">
        <v>7.4578457609241866E-4</v>
      </c>
      <c r="AF52" s="302">
        <v>7.4670496940114014E-4</v>
      </c>
      <c r="AG52" s="302">
        <v>7.4771892404620552E-4</v>
      </c>
      <c r="AH52" s="302">
        <v>7.488853071352824E-4</v>
      </c>
      <c r="AI52" s="302">
        <v>7.4998264298143562E-4</v>
      </c>
      <c r="AJ52" s="302">
        <v>7.5108901228373591E-4</v>
      </c>
      <c r="AK52" s="302">
        <v>7.5259206028735059E-4</v>
      </c>
      <c r="AL52" s="302">
        <v>7.5403471136325628E-4</v>
      </c>
      <c r="AM52" s="302">
        <v>7.549849955091006E-4</v>
      </c>
      <c r="AN52" s="302">
        <v>7.555656477835071E-4</v>
      </c>
      <c r="AO52" s="302">
        <v>7.5599661044534064E-4</v>
      </c>
      <c r="AP52" s="302">
        <v>7.5633611961873227E-4</v>
      </c>
      <c r="AQ52" s="302">
        <v>7.5651897884350123E-4</v>
      </c>
      <c r="AR52" s="302">
        <v>7.5612368182809391E-4</v>
      </c>
      <c r="AS52" s="302">
        <v>7.5513831975401648E-4</v>
      </c>
      <c r="AT52" s="302">
        <v>7.5403138391517955E-4</v>
      </c>
      <c r="AU52" s="302">
        <v>7.5271804536849605E-4</v>
      </c>
      <c r="AV52" s="472">
        <f t="shared" si="4"/>
        <v>-1.2677353422779037E-4</v>
      </c>
      <c r="AW52"/>
    </row>
    <row r="53" spans="1:49" ht="12.9" customHeight="1">
      <c r="A53" s="178" t="s">
        <v>68</v>
      </c>
      <c r="B53" s="302">
        <v>8.6381205803119539E-3</v>
      </c>
      <c r="C53" s="302">
        <v>8.4491107344529335E-3</v>
      </c>
      <c r="D53" s="302">
        <v>8.3943832865140591E-3</v>
      </c>
      <c r="E53" s="302">
        <v>8.4112704645730174E-3</v>
      </c>
      <c r="F53" s="302">
        <v>7.0786391891273217E-3</v>
      </c>
      <c r="G53" s="302">
        <v>8.0444110791542765E-3</v>
      </c>
      <c r="H53" s="302">
        <v>7.4620945943626241E-3</v>
      </c>
      <c r="I53" s="302">
        <v>9.025905514270606E-3</v>
      </c>
      <c r="J53" s="302">
        <v>1.049543976922364E-2</v>
      </c>
      <c r="K53" s="302">
        <v>7.6250840911272601E-3</v>
      </c>
      <c r="L53" s="302">
        <v>1.0491304948248799E-2</v>
      </c>
      <c r="M53" s="302">
        <v>9.0483718974427117E-3</v>
      </c>
      <c r="N53" s="302">
        <v>9.041492065953137E-3</v>
      </c>
      <c r="O53" s="302">
        <v>9.2989373227039367E-3</v>
      </c>
      <c r="P53" s="302">
        <v>8.9805789239022736E-3</v>
      </c>
      <c r="Q53" s="302">
        <v>9.0219250684712791E-3</v>
      </c>
      <c r="R53" s="302">
        <v>9.2745879246983777E-3</v>
      </c>
      <c r="S53" s="302">
        <v>9.1672447902758566E-3</v>
      </c>
      <c r="T53" s="302">
        <v>9.1990565837751625E-3</v>
      </c>
      <c r="U53" s="302">
        <v>9.1675101399475226E-3</v>
      </c>
      <c r="V53" s="302">
        <v>9.2557527547815557E-3</v>
      </c>
      <c r="W53" s="302">
        <v>9.3435750121442993E-3</v>
      </c>
      <c r="X53" s="302">
        <v>9.4192624537530988E-3</v>
      </c>
      <c r="Y53" s="302">
        <v>9.5402450510297145E-3</v>
      </c>
      <c r="Z53" s="302">
        <v>9.4185732296299049E-3</v>
      </c>
      <c r="AA53" s="302">
        <v>9.455705933481608E-3</v>
      </c>
      <c r="AB53" s="302">
        <v>9.5058391898582666E-3</v>
      </c>
      <c r="AC53" s="302">
        <v>9.6251736443977512E-3</v>
      </c>
      <c r="AD53" s="302">
        <v>9.6841761261201205E-3</v>
      </c>
      <c r="AE53" s="302">
        <v>9.7708320002499495E-3</v>
      </c>
      <c r="AF53" s="302">
        <v>9.9319365366337051E-3</v>
      </c>
      <c r="AG53" s="302">
        <v>9.9928446187404277E-3</v>
      </c>
      <c r="AH53" s="302">
        <v>1.0098514627438408E-2</v>
      </c>
      <c r="AI53" s="302">
        <v>1.0203141003527431E-2</v>
      </c>
      <c r="AJ53" s="302">
        <v>1.0308191146682764E-2</v>
      </c>
      <c r="AK53" s="302">
        <v>1.0435142396497253E-2</v>
      </c>
      <c r="AL53" s="302">
        <v>1.0540125844939203E-2</v>
      </c>
      <c r="AM53" s="302">
        <v>1.0642379704173125E-2</v>
      </c>
      <c r="AN53" s="302">
        <v>1.070636417620625E-2</v>
      </c>
      <c r="AO53" s="302">
        <v>1.0797674484175552E-2</v>
      </c>
      <c r="AP53" s="302">
        <v>1.0900015127915963E-2</v>
      </c>
      <c r="AQ53" s="302">
        <v>1.0974539747261824E-2</v>
      </c>
      <c r="AR53" s="302">
        <v>1.1061376275553692E-2</v>
      </c>
      <c r="AS53" s="302">
        <v>1.1119230062480947E-2</v>
      </c>
      <c r="AT53" s="302">
        <v>1.116055322937482E-2</v>
      </c>
      <c r="AU53" s="302">
        <v>1.1206074987641861E-2</v>
      </c>
      <c r="AV53" s="472">
        <f t="shared" si="4"/>
        <v>6.4091250388146779E-3</v>
      </c>
      <c r="AW53"/>
    </row>
    <row r="54" spans="1:49" ht="12.9" customHeight="1">
      <c r="A54" s="178" t="s">
        <v>69</v>
      </c>
      <c r="B54" s="302">
        <v>6.4141530715026635E-5</v>
      </c>
      <c r="C54" s="302">
        <v>8.7799011018190325E-5</v>
      </c>
      <c r="D54" s="302">
        <v>1.9140456863198728E-4</v>
      </c>
      <c r="E54" s="302">
        <v>2.0314737129663481E-4</v>
      </c>
      <c r="F54" s="302">
        <v>2.5195631499823356E-4</v>
      </c>
      <c r="G54" s="302">
        <v>2.4329716608371889E-4</v>
      </c>
      <c r="H54" s="302">
        <v>2.7257630270114249E-4</v>
      </c>
      <c r="I54" s="302">
        <v>2.4918414142488174E-4</v>
      </c>
      <c r="J54" s="302">
        <v>3.1188857301377523E-4</v>
      </c>
      <c r="K54" s="302">
        <v>2.7873614816477388E-4</v>
      </c>
      <c r="L54" s="302">
        <v>3.1085721642753989E-4</v>
      </c>
      <c r="M54" s="302">
        <v>2.8109797684145719E-3</v>
      </c>
      <c r="N54" s="302">
        <v>2.7782797493708204E-3</v>
      </c>
      <c r="O54" s="302">
        <v>3.2613596405735596E-3</v>
      </c>
      <c r="P54" s="302">
        <v>3.7353758893549837E-3</v>
      </c>
      <c r="Q54" s="302">
        <v>3.9873767797913304E-3</v>
      </c>
      <c r="R54" s="302">
        <v>6.162609061529622E-3</v>
      </c>
      <c r="S54" s="302">
        <v>5.6111655539353936E-3</v>
      </c>
      <c r="T54" s="302">
        <v>5.8310165469494029E-3</v>
      </c>
      <c r="U54" s="302">
        <v>6.0697819358708494E-3</v>
      </c>
      <c r="V54" s="302">
        <v>6.1356481459301912E-3</v>
      </c>
      <c r="W54" s="302">
        <v>6.4374997327654717E-3</v>
      </c>
      <c r="X54" s="302">
        <v>6.9922724304224085E-3</v>
      </c>
      <c r="Y54" s="302">
        <v>7.292417865845985E-3</v>
      </c>
      <c r="Z54" s="302">
        <v>7.4350799292542697E-3</v>
      </c>
      <c r="AA54" s="302">
        <v>7.9156574971497272E-3</v>
      </c>
      <c r="AB54" s="302">
        <v>8.3014393023021962E-3</v>
      </c>
      <c r="AC54" s="302">
        <v>8.6149108877910836E-3</v>
      </c>
      <c r="AD54" s="302">
        <v>8.8661104939151882E-3</v>
      </c>
      <c r="AE54" s="302">
        <v>9.1907149834065879E-3</v>
      </c>
      <c r="AF54" s="302">
        <v>9.9382750439225148E-3</v>
      </c>
      <c r="AG54" s="302">
        <v>1.0358661216563803E-2</v>
      </c>
      <c r="AH54" s="302">
        <v>1.0724771808746416E-2</v>
      </c>
      <c r="AI54" s="302">
        <v>1.1128409960827371E-2</v>
      </c>
      <c r="AJ54" s="302">
        <v>1.1558906194807211E-2</v>
      </c>
      <c r="AK54" s="302">
        <v>1.19199301025595E-2</v>
      </c>
      <c r="AL54" s="302">
        <v>1.233206559697741E-2</v>
      </c>
      <c r="AM54" s="302">
        <v>1.2866671014301181E-2</v>
      </c>
      <c r="AN54" s="302">
        <v>1.2919523492207418E-2</v>
      </c>
      <c r="AO54" s="302">
        <v>1.3339938192352704E-2</v>
      </c>
      <c r="AP54" s="302">
        <v>1.3631490659160635E-2</v>
      </c>
      <c r="AQ54" s="302">
        <v>1.3979569296306841E-2</v>
      </c>
      <c r="AR54" s="302">
        <v>1.4239951029345709E-2</v>
      </c>
      <c r="AS54" s="302">
        <v>1.4432717500580842E-2</v>
      </c>
      <c r="AT54" s="302">
        <v>1.4607491701328232E-2</v>
      </c>
      <c r="AU54" s="302">
        <v>1.4883361188456906E-2</v>
      </c>
      <c r="AV54" s="472">
        <f t="shared" si="4"/>
        <v>0.11136077844744609</v>
      </c>
      <c r="AW54"/>
    </row>
    <row r="55" spans="1:49" ht="12.9" customHeight="1">
      <c r="A55" s="178" t="s">
        <v>70</v>
      </c>
      <c r="B55" s="302">
        <v>0</v>
      </c>
      <c r="C55" s="302">
        <v>0</v>
      </c>
      <c r="D55" s="302">
        <v>0</v>
      </c>
      <c r="E55" s="302">
        <v>0</v>
      </c>
      <c r="F55" s="302">
        <v>0</v>
      </c>
      <c r="G55" s="302">
        <v>0</v>
      </c>
      <c r="H55" s="302">
        <v>0</v>
      </c>
      <c r="I55" s="302">
        <v>0</v>
      </c>
      <c r="J55" s="302">
        <v>0</v>
      </c>
      <c r="K55" s="302">
        <v>1.8448666842129239E-7</v>
      </c>
      <c r="L55" s="302">
        <v>8.5188571894768807E-6</v>
      </c>
      <c r="M55" s="302">
        <v>1.4293632923886712E-5</v>
      </c>
      <c r="N55" s="302">
        <v>1.4185013268816159E-5</v>
      </c>
      <c r="O55" s="302">
        <v>2.9356823768875926E-5</v>
      </c>
      <c r="P55" s="302">
        <v>5.0407656587276031E-5</v>
      </c>
      <c r="Q55" s="302">
        <v>7.9345436863558668E-5</v>
      </c>
      <c r="R55" s="302">
        <v>1.2386381645327737E-4</v>
      </c>
      <c r="S55" s="302">
        <v>1.8111951121604756E-4</v>
      </c>
      <c r="T55" s="302">
        <v>2.3373988219327352E-4</v>
      </c>
      <c r="U55" s="302">
        <v>2.8416668765723994E-4</v>
      </c>
      <c r="V55" s="302">
        <v>3.3299243323328529E-4</v>
      </c>
      <c r="W55" s="302">
        <v>3.8115045375704102E-4</v>
      </c>
      <c r="X55" s="302">
        <v>4.2474034376904546E-4</v>
      </c>
      <c r="Y55" s="302">
        <v>4.6189651661751829E-4</v>
      </c>
      <c r="Z55" s="302">
        <v>4.9579609943867155E-4</v>
      </c>
      <c r="AA55" s="302">
        <v>5.2636443162641861E-4</v>
      </c>
      <c r="AB55" s="302">
        <v>5.535951580285445E-4</v>
      </c>
      <c r="AC55" s="302">
        <v>5.7411988555796766E-4</v>
      </c>
      <c r="AD55" s="302">
        <v>5.8951693589678433E-4</v>
      </c>
      <c r="AE55" s="302">
        <v>6.033442137558969E-4</v>
      </c>
      <c r="AF55" s="302">
        <v>6.1515823654994693E-4</v>
      </c>
      <c r="AG55" s="302">
        <v>6.3351573593142102E-4</v>
      </c>
      <c r="AH55" s="302">
        <v>6.4998143665167196E-4</v>
      </c>
      <c r="AI55" s="302">
        <v>6.658129946360016E-4</v>
      </c>
      <c r="AJ55" s="302">
        <v>6.8157396898205333E-4</v>
      </c>
      <c r="AK55" s="302">
        <v>6.9786507255199814E-4</v>
      </c>
      <c r="AL55" s="302">
        <v>7.1280082206587618E-4</v>
      </c>
      <c r="AM55" s="302">
        <v>7.2673125382376723E-4</v>
      </c>
      <c r="AN55" s="302">
        <v>7.4026513366181007E-4</v>
      </c>
      <c r="AO55" s="302">
        <v>7.5402648336232226E-4</v>
      </c>
      <c r="AP55" s="302">
        <v>7.6771768728378653E-4</v>
      </c>
      <c r="AQ55" s="302">
        <v>7.8182221089138828E-4</v>
      </c>
      <c r="AR55" s="302">
        <v>7.9663733938925628E-4</v>
      </c>
      <c r="AS55" s="302">
        <v>8.1279004451246498E-4</v>
      </c>
      <c r="AT55" s="302">
        <v>8.3009500360448931E-4</v>
      </c>
      <c r="AU55" s="302">
        <v>8.4853702549097393E-4</v>
      </c>
      <c r="AV55" s="472">
        <f t="shared" si="4"/>
        <v>0.87200786792731988</v>
      </c>
      <c r="AW55"/>
    </row>
    <row r="56" spans="1:49" ht="12.9" customHeight="1">
      <c r="A56" s="40" t="s">
        <v>25</v>
      </c>
      <c r="B56" s="302">
        <v>5.6235595390524971E-6</v>
      </c>
      <c r="C56" s="302">
        <v>3.8583013230900555E-6</v>
      </c>
      <c r="D56" s="302">
        <v>5.2343149807938542E-6</v>
      </c>
      <c r="E56" s="302">
        <v>5.3367477592829711E-6</v>
      </c>
      <c r="F56" s="302">
        <v>8.9594536918480589E-6</v>
      </c>
      <c r="G56" s="302">
        <v>2.3726845924029026E-5</v>
      </c>
      <c r="H56" s="302">
        <v>2.4184379001280413E-5</v>
      </c>
      <c r="I56" s="302">
        <v>2.3805377720870681E-5</v>
      </c>
      <c r="J56" s="302">
        <v>2.0285104566794706E-5</v>
      </c>
      <c r="K56" s="302">
        <v>2.9627144686299617E-4</v>
      </c>
      <c r="L56" s="302">
        <v>8.2851045667947082E-5</v>
      </c>
      <c r="M56" s="302">
        <v>1.2069133589415281E-4</v>
      </c>
      <c r="N56" s="302">
        <v>3.2084489970123775E-4</v>
      </c>
      <c r="O56" s="302">
        <v>6.4775868544600943E-4</v>
      </c>
      <c r="P56" s="302">
        <v>1.1288348271446863E-3</v>
      </c>
      <c r="Q56" s="302">
        <v>1.4242055484421682E-3</v>
      </c>
      <c r="R56" s="302">
        <v>1.7494842509603072E-3</v>
      </c>
      <c r="S56" s="302">
        <v>2.0987107127614169E-3</v>
      </c>
      <c r="T56" s="302">
        <v>2.468246180110969E-3</v>
      </c>
      <c r="U56" s="302">
        <v>2.8554704225352114E-3</v>
      </c>
      <c r="V56" s="302">
        <v>3.2612732394366197E-3</v>
      </c>
      <c r="W56" s="302">
        <v>3.6836431924882631E-3</v>
      </c>
      <c r="X56" s="302">
        <v>4.1007153222364498E-3</v>
      </c>
      <c r="Y56" s="302">
        <v>4.5081075544174138E-3</v>
      </c>
      <c r="Z56" s="302">
        <v>4.9006675202731536E-3</v>
      </c>
      <c r="AA56" s="302">
        <v>5.2743320529236026E-3</v>
      </c>
      <c r="AB56" s="302">
        <v>5.567743918053778E-3</v>
      </c>
      <c r="AC56" s="302">
        <v>5.8514246692274868E-3</v>
      </c>
      <c r="AD56" s="302">
        <v>6.0934221084080241E-3</v>
      </c>
      <c r="AE56" s="302">
        <v>6.3314622279129328E-3</v>
      </c>
      <c r="AF56" s="302">
        <v>6.4979496372172428E-3</v>
      </c>
      <c r="AG56" s="302">
        <v>6.8011797979797822E-3</v>
      </c>
      <c r="AH56" s="302">
        <v>7.048358091986247E-3</v>
      </c>
      <c r="AI56" s="302">
        <v>7.2955363859927127E-3</v>
      </c>
      <c r="AJ56" s="302">
        <v>7.5427146799991775E-3</v>
      </c>
      <c r="AK56" s="302">
        <v>7.7898929740056423E-3</v>
      </c>
      <c r="AL56" s="302">
        <v>8.0370712680121071E-3</v>
      </c>
      <c r="AM56" s="302">
        <v>8.284249562018571E-3</v>
      </c>
      <c r="AN56" s="302">
        <v>8.5314278560250367E-3</v>
      </c>
      <c r="AO56" s="302">
        <v>8.7786061500315007E-3</v>
      </c>
      <c r="AP56" s="302">
        <v>9.0257844440379664E-3</v>
      </c>
      <c r="AQ56" s="302">
        <v>9.272962738044432E-3</v>
      </c>
      <c r="AR56" s="302">
        <v>9.520141032050896E-3</v>
      </c>
      <c r="AS56" s="302">
        <v>9.7673193260573599E-3</v>
      </c>
      <c r="AT56" s="302">
        <v>1.0014497620063824E-2</v>
      </c>
      <c r="AU56" s="302">
        <v>1.026167591407029E-2</v>
      </c>
      <c r="AV56" s="472">
        <f t="shared" si="4"/>
        <v>0.46380684681618206</v>
      </c>
      <c r="AW56"/>
    </row>
    <row r="57" spans="1:49" customFormat="1" ht="12.9" customHeight="1"/>
    <row r="58" spans="1:49" customFormat="1" ht="12.9" customHeight="1">
      <c r="A58" s="40" t="s">
        <v>417</v>
      </c>
    </row>
    <row r="59" spans="1:49" ht="12.9" customHeight="1">
      <c r="A59" s="51" t="s">
        <v>352</v>
      </c>
      <c r="B59" s="303">
        <v>0.17707664852868418</v>
      </c>
      <c r="C59" s="303">
        <v>0.16294122913948395</v>
      </c>
      <c r="D59" s="303">
        <v>0.16837681974754837</v>
      </c>
      <c r="E59" s="303">
        <v>0.16853914684150373</v>
      </c>
      <c r="F59" s="303">
        <v>0.1650957382302197</v>
      </c>
      <c r="G59" s="303">
        <v>0.1801941786271056</v>
      </c>
      <c r="H59" s="303">
        <v>0.14159989334378195</v>
      </c>
      <c r="I59" s="303">
        <v>0.13384734537709814</v>
      </c>
      <c r="J59" s="303">
        <v>0.147774079401124</v>
      </c>
      <c r="K59" s="303">
        <v>0.14582134568044081</v>
      </c>
      <c r="L59" s="303">
        <v>0.15126427946266485</v>
      </c>
      <c r="M59" s="303">
        <v>0.1380687655730129</v>
      </c>
      <c r="N59" s="303">
        <v>0.11607775898525645</v>
      </c>
      <c r="O59" s="303">
        <v>0.12373124811838079</v>
      </c>
      <c r="P59" s="303">
        <v>0.1192672481183808</v>
      </c>
      <c r="Q59" s="303">
        <v>0.1148032481183808</v>
      </c>
      <c r="R59" s="303">
        <v>9.9406228176310119E-2</v>
      </c>
      <c r="S59" s="303">
        <v>9.9406228176310119E-2</v>
      </c>
      <c r="T59" s="303">
        <v>7.7950756462839027E-2</v>
      </c>
      <c r="U59" s="303">
        <v>6.8348227041470977E-2</v>
      </c>
      <c r="V59" s="303">
        <v>6.8348227041470977E-2</v>
      </c>
      <c r="W59" s="303">
        <v>5.2630435850607171E-2</v>
      </c>
      <c r="X59" s="303">
        <v>5.2630435850607171E-2</v>
      </c>
      <c r="Y59" s="303">
        <v>5.2630435850607171E-2</v>
      </c>
      <c r="Z59" s="303">
        <v>4.285407234915542E-2</v>
      </c>
      <c r="AA59" s="303">
        <v>4.285407234915542E-2</v>
      </c>
      <c r="AB59" s="303">
        <v>4.285407234915542E-2</v>
      </c>
      <c r="AC59" s="303">
        <v>4.285407234915542E-2</v>
      </c>
      <c r="AD59" s="303">
        <v>4.285407234915542E-2</v>
      </c>
      <c r="AE59" s="303">
        <v>4.285407234915542E-2</v>
      </c>
      <c r="AF59" s="303">
        <v>4.285407234915542E-2</v>
      </c>
      <c r="AG59" s="303">
        <v>4.285407234915542E-2</v>
      </c>
      <c r="AH59" s="303">
        <v>4.285407234915542E-2</v>
      </c>
      <c r="AI59" s="303">
        <v>4.285407234915542E-2</v>
      </c>
      <c r="AJ59" s="303">
        <v>4.285407234915542E-2</v>
      </c>
      <c r="AK59" s="303">
        <v>4.285407234915542E-2</v>
      </c>
      <c r="AL59" s="303">
        <v>4.285407234915542E-2</v>
      </c>
      <c r="AM59" s="303">
        <v>4.285407234915542E-2</v>
      </c>
      <c r="AN59" s="303">
        <v>4.285407234915542E-2</v>
      </c>
      <c r="AO59" s="303">
        <v>4.285407234915542E-2</v>
      </c>
      <c r="AP59" s="303">
        <v>4.285407234915542E-2</v>
      </c>
      <c r="AQ59" s="303">
        <v>4.285407234915542E-2</v>
      </c>
      <c r="AR59" s="303">
        <v>4.285407234915542E-2</v>
      </c>
      <c r="AS59" s="303">
        <v>4.285407234915542E-2</v>
      </c>
      <c r="AT59" s="303">
        <v>4.285407234915542E-2</v>
      </c>
      <c r="AU59" s="303">
        <v>4.285407234915542E-2</v>
      </c>
    </row>
    <row r="60" spans="1:49" ht="12.9" customHeight="1">
      <c r="A60" s="51" t="s">
        <v>393</v>
      </c>
      <c r="B60" s="303">
        <v>6.3460039434900681E-2</v>
      </c>
      <c r="C60" s="303">
        <v>5.2083846100893581E-2</v>
      </c>
      <c r="D60" s="303">
        <v>7.1380310094665556E-2</v>
      </c>
      <c r="E60" s="303">
        <v>8.2793252002603471E-2</v>
      </c>
      <c r="F60" s="303">
        <v>0.11228449273090349</v>
      </c>
      <c r="G60" s="303">
        <v>0.11831655880145736</v>
      </c>
      <c r="H60" s="303">
        <v>6.2391137116694979E-2</v>
      </c>
      <c r="I60" s="303">
        <v>7.6450212788032365E-2</v>
      </c>
      <c r="J60" s="303">
        <v>0.11813893240177065</v>
      </c>
      <c r="K60" s="303">
        <v>9.3812913829426164E-2</v>
      </c>
      <c r="L60" s="303">
        <v>0.11767080130174574</v>
      </c>
      <c r="M60" s="303">
        <v>0.10222464113641812</v>
      </c>
      <c r="N60" s="303">
        <v>8.3741046001379604E-2</v>
      </c>
      <c r="O60" s="303">
        <v>7.8418968293970492E-2</v>
      </c>
      <c r="P60" s="303">
        <v>7.2280968293970502E-2</v>
      </c>
      <c r="Q60" s="303">
        <v>6.6142968293970497E-2</v>
      </c>
      <c r="R60" s="303">
        <v>7.6648226691945806E-2</v>
      </c>
      <c r="S60" s="303">
        <v>7.6648226691945806E-2</v>
      </c>
      <c r="T60" s="303">
        <v>9.1287116246449529E-2</v>
      </c>
      <c r="U60" s="303">
        <v>9.7786003511830893E-2</v>
      </c>
      <c r="V60" s="303">
        <v>9.7786003511830893E-2</v>
      </c>
      <c r="W60" s="303">
        <v>0.10785020144271565</v>
      </c>
      <c r="X60" s="303">
        <v>0.10785020144271565</v>
      </c>
      <c r="Y60" s="303">
        <v>0.10785020144271565</v>
      </c>
      <c r="Z60" s="303">
        <v>0.11411006684798192</v>
      </c>
      <c r="AA60" s="303">
        <v>0.11411006684798192</v>
      </c>
      <c r="AB60" s="303">
        <v>0.11411006684798192</v>
      </c>
      <c r="AC60" s="303">
        <v>0.11411006684798192</v>
      </c>
      <c r="AD60" s="303">
        <v>0.11411006684798192</v>
      </c>
      <c r="AE60" s="303">
        <v>0.11411006684798192</v>
      </c>
      <c r="AF60" s="303">
        <v>0.11411006684798192</v>
      </c>
      <c r="AG60" s="303">
        <v>0.11411006684798192</v>
      </c>
      <c r="AH60" s="303">
        <v>0.11411006684798192</v>
      </c>
      <c r="AI60" s="303">
        <v>0.11411006684798192</v>
      </c>
      <c r="AJ60" s="303">
        <v>0.11411006684798192</v>
      </c>
      <c r="AK60" s="303">
        <v>0.11411006684798192</v>
      </c>
      <c r="AL60" s="303">
        <v>0.11411006684798192</v>
      </c>
      <c r="AM60" s="303">
        <v>0.11411006684798192</v>
      </c>
      <c r="AN60" s="303">
        <v>0.11411006684798192</v>
      </c>
      <c r="AO60" s="303">
        <v>0.11411006684798192</v>
      </c>
      <c r="AP60" s="303">
        <v>0.11411006684798192</v>
      </c>
      <c r="AQ60" s="303">
        <v>0.11411006684798192</v>
      </c>
      <c r="AR60" s="303">
        <v>0.11411006684798192</v>
      </c>
      <c r="AS60" s="303">
        <v>0.11411006684798192</v>
      </c>
      <c r="AT60" s="303">
        <v>0.11411006684798192</v>
      </c>
      <c r="AU60" s="303">
        <v>0.11411006684798192</v>
      </c>
    </row>
    <row r="61" spans="1:49" ht="12.9" customHeight="1">
      <c r="A61" s="51" t="s">
        <v>394</v>
      </c>
      <c r="B61" s="303">
        <v>3.1705263572331638E-2</v>
      </c>
      <c r="C61" s="303">
        <v>3.1644319659083285E-2</v>
      </c>
      <c r="D61" s="303">
        <v>2.443320621631288E-2</v>
      </c>
      <c r="E61" s="303">
        <v>1.8331428718513114E-2</v>
      </c>
      <c r="F61" s="303">
        <v>2.1010896514468837E-2</v>
      </c>
      <c r="G61" s="303">
        <v>1.9557756702993961E-2</v>
      </c>
      <c r="H61" s="303">
        <v>1.4478201728221231E-2</v>
      </c>
      <c r="I61" s="303">
        <v>5.3683677687399733E-3</v>
      </c>
      <c r="J61" s="303">
        <v>1.2336356954421038E-2</v>
      </c>
      <c r="K61" s="303">
        <v>1.0333425362330442E-2</v>
      </c>
      <c r="L61" s="303">
        <v>0</v>
      </c>
      <c r="M61" s="303">
        <v>0</v>
      </c>
      <c r="N61" s="303">
        <v>0</v>
      </c>
      <c r="O61" s="303">
        <v>9.3810078819085256E-3</v>
      </c>
      <c r="P61" s="303">
        <v>9.3810078819085256E-3</v>
      </c>
      <c r="Q61" s="303">
        <v>9.3810078819085256E-3</v>
      </c>
      <c r="R61" s="303">
        <v>9.3810078819085256E-3</v>
      </c>
      <c r="S61" s="303">
        <v>9.3810078819085256E-3</v>
      </c>
      <c r="T61" s="303">
        <v>9.3810078819085256E-3</v>
      </c>
      <c r="U61" s="303">
        <v>9.3810078819085256E-3</v>
      </c>
      <c r="V61" s="303">
        <v>9.3810078819085256E-3</v>
      </c>
      <c r="W61" s="303">
        <v>9.3810078819085256E-3</v>
      </c>
      <c r="X61" s="303">
        <v>9.3810078819085256E-3</v>
      </c>
      <c r="Y61" s="303">
        <v>9.3810078819085256E-3</v>
      </c>
      <c r="Z61" s="303">
        <v>9.3810078819085256E-3</v>
      </c>
      <c r="AA61" s="303">
        <v>9.3810078819085256E-3</v>
      </c>
      <c r="AB61" s="303">
        <v>9.3810078819085256E-3</v>
      </c>
      <c r="AC61" s="303">
        <v>9.3810078819085256E-3</v>
      </c>
      <c r="AD61" s="303">
        <v>9.3810078819085256E-3</v>
      </c>
      <c r="AE61" s="303">
        <v>9.3810078819085256E-3</v>
      </c>
      <c r="AF61" s="303">
        <v>9.3810078819085256E-3</v>
      </c>
      <c r="AG61" s="303">
        <v>9.3810078819085256E-3</v>
      </c>
      <c r="AH61" s="303">
        <v>9.3810078819085256E-3</v>
      </c>
      <c r="AI61" s="303">
        <v>9.3810078819085256E-3</v>
      </c>
      <c r="AJ61" s="303">
        <v>9.3810078819085256E-3</v>
      </c>
      <c r="AK61" s="303">
        <v>9.3810078819085256E-3</v>
      </c>
      <c r="AL61" s="303">
        <v>9.3810078819085256E-3</v>
      </c>
      <c r="AM61" s="303">
        <v>9.3810078819085256E-3</v>
      </c>
      <c r="AN61" s="303">
        <v>9.3810078819085256E-3</v>
      </c>
      <c r="AO61" s="303">
        <v>9.3810078819085256E-3</v>
      </c>
      <c r="AP61" s="303">
        <v>9.3810078819085256E-3</v>
      </c>
      <c r="AQ61" s="303">
        <v>9.3810078819085256E-3</v>
      </c>
      <c r="AR61" s="303">
        <v>9.3810078819085256E-3</v>
      </c>
      <c r="AS61" s="303">
        <v>9.3810078819085256E-3</v>
      </c>
      <c r="AT61" s="303">
        <v>9.3810078819085256E-3</v>
      </c>
      <c r="AU61" s="303">
        <v>9.3810078819085256E-3</v>
      </c>
    </row>
    <row r="62" spans="1:49" ht="12.9" customHeight="1">
      <c r="A62" s="51" t="s">
        <v>395</v>
      </c>
      <c r="B62" s="303">
        <v>5.2709437643101535E-4</v>
      </c>
      <c r="C62" s="303">
        <v>7.1182717775411812E-4</v>
      </c>
      <c r="D62" s="303">
        <v>7.8450837860507443E-4</v>
      </c>
      <c r="E62" s="303">
        <v>7.8398006222402583E-4</v>
      </c>
      <c r="F62" s="303">
        <v>1.0617143960275869E-3</v>
      </c>
      <c r="G62" s="303">
        <v>9.1900213334896103E-4</v>
      </c>
      <c r="H62" s="303">
        <v>7.5230271045485266E-4</v>
      </c>
      <c r="I62" s="303">
        <v>7.4555115730218745E-4</v>
      </c>
      <c r="J62" s="303">
        <v>7.075488201951129E-4</v>
      </c>
      <c r="K62" s="303">
        <v>6.5016534241318816E-4</v>
      </c>
      <c r="L62" s="303">
        <v>5.333664907916666E-4</v>
      </c>
      <c r="M62" s="303">
        <v>7.0767476992851508E-4</v>
      </c>
      <c r="N62" s="303">
        <v>1.0979239385978455E-3</v>
      </c>
      <c r="O62" s="303">
        <v>7.3996231116258489E-4</v>
      </c>
      <c r="P62" s="303">
        <v>7.3996231116258489E-4</v>
      </c>
      <c r="Q62" s="303">
        <v>7.3996231116258489E-4</v>
      </c>
      <c r="R62" s="303">
        <v>7.3996231116258489E-4</v>
      </c>
      <c r="S62" s="303">
        <v>7.3996231116258489E-4</v>
      </c>
      <c r="T62" s="303">
        <v>7.3996231116258489E-4</v>
      </c>
      <c r="U62" s="303">
        <v>7.3996231116258489E-4</v>
      </c>
      <c r="V62" s="303">
        <v>7.3996231116258489E-4</v>
      </c>
      <c r="W62" s="303">
        <v>7.3996231116258489E-4</v>
      </c>
      <c r="X62" s="303">
        <v>7.3996231116258489E-4</v>
      </c>
      <c r="Y62" s="303">
        <v>7.3996231116258489E-4</v>
      </c>
      <c r="Z62" s="303">
        <v>7.3996231116258489E-4</v>
      </c>
      <c r="AA62" s="303">
        <v>7.3996231116258489E-4</v>
      </c>
      <c r="AB62" s="303">
        <v>7.3996231116258489E-4</v>
      </c>
      <c r="AC62" s="303">
        <v>7.3996231116258489E-4</v>
      </c>
      <c r="AD62" s="303">
        <v>7.3996231116258489E-4</v>
      </c>
      <c r="AE62" s="303">
        <v>7.3996231116258489E-4</v>
      </c>
      <c r="AF62" s="303">
        <v>7.3996231116258489E-4</v>
      </c>
      <c r="AG62" s="303">
        <v>7.3996231116258489E-4</v>
      </c>
      <c r="AH62" s="303">
        <v>7.3996231116258489E-4</v>
      </c>
      <c r="AI62" s="303">
        <v>7.3996231116258489E-4</v>
      </c>
      <c r="AJ62" s="303">
        <v>7.3996231116258489E-4</v>
      </c>
      <c r="AK62" s="303">
        <v>7.3996231116258489E-4</v>
      </c>
      <c r="AL62" s="303">
        <v>7.3996231116258489E-4</v>
      </c>
      <c r="AM62" s="303">
        <v>7.3996231116258489E-4</v>
      </c>
      <c r="AN62" s="303">
        <v>7.3996231116258489E-4</v>
      </c>
      <c r="AO62" s="303">
        <v>7.3996231116258489E-4</v>
      </c>
      <c r="AP62" s="303">
        <v>7.3996231116258489E-4</v>
      </c>
      <c r="AQ62" s="303">
        <v>7.3996231116258489E-4</v>
      </c>
      <c r="AR62" s="303">
        <v>7.3996231116258489E-4</v>
      </c>
      <c r="AS62" s="303">
        <v>7.3996231116258489E-4</v>
      </c>
      <c r="AT62" s="303">
        <v>7.3996231116258489E-4</v>
      </c>
      <c r="AU62" s="303">
        <v>7.3996231116258489E-4</v>
      </c>
    </row>
    <row r="63" spans="1:49" ht="12.9" customHeight="1">
      <c r="A63" s="51" t="s">
        <v>396</v>
      </c>
      <c r="B63" s="303">
        <v>5.2473935503038555E-2</v>
      </c>
      <c r="C63" s="303">
        <v>5.1623675476377369E-2</v>
      </c>
      <c r="D63" s="303">
        <v>4.8998488500467688E-2</v>
      </c>
      <c r="E63" s="303">
        <v>5.6987135137738953E-2</v>
      </c>
      <c r="F63" s="303">
        <v>4.1108509403607239E-2</v>
      </c>
      <c r="G63" s="303">
        <v>6.1332206404646573E-2</v>
      </c>
      <c r="H63" s="303">
        <v>2.6235788852649596E-2</v>
      </c>
      <c r="I63" s="303">
        <v>4.6746665879421445E-2</v>
      </c>
      <c r="J63" s="303">
        <v>4.6478941790418171E-2</v>
      </c>
      <c r="K63" s="303">
        <v>4.9432570308524083E-2</v>
      </c>
      <c r="L63" s="303">
        <v>4.4081045603367099E-2</v>
      </c>
      <c r="M63" s="303">
        <v>4.8231650677883778E-2</v>
      </c>
      <c r="N63" s="303">
        <v>3.9687033462008636E-2</v>
      </c>
      <c r="O63" s="303">
        <v>4.3742327742272734E-2</v>
      </c>
      <c r="P63" s="303">
        <v>4.3184327742272731E-2</v>
      </c>
      <c r="Q63" s="303">
        <v>4.2626327742272735E-2</v>
      </c>
      <c r="R63" s="303">
        <v>4.2706520554471016E-2</v>
      </c>
      <c r="S63" s="303">
        <v>4.2706520554471016E-2</v>
      </c>
      <c r="T63" s="303">
        <v>4.2818267802978677E-2</v>
      </c>
      <c r="U63" s="303">
        <v>4.2864936765798965E-2</v>
      </c>
      <c r="V63" s="303">
        <v>4.2864936765798965E-2</v>
      </c>
      <c r="W63" s="303">
        <v>4.2905033171898109E-2</v>
      </c>
      <c r="X63" s="303">
        <v>4.2905033171898109E-2</v>
      </c>
      <c r="Y63" s="303">
        <v>4.2905033171898109E-2</v>
      </c>
      <c r="Z63" s="303">
        <v>4.2929972874707935E-2</v>
      </c>
      <c r="AA63" s="303">
        <v>4.2929972874707935E-2</v>
      </c>
      <c r="AB63" s="303">
        <v>4.2929972874707935E-2</v>
      </c>
      <c r="AC63" s="303">
        <v>4.2929972874707935E-2</v>
      </c>
      <c r="AD63" s="303">
        <v>4.2929972874707935E-2</v>
      </c>
      <c r="AE63" s="303">
        <v>4.2929972874707935E-2</v>
      </c>
      <c r="AF63" s="303">
        <v>4.2929972874707935E-2</v>
      </c>
      <c r="AG63" s="303">
        <v>4.2929972874707935E-2</v>
      </c>
      <c r="AH63" s="303">
        <v>4.2929972874707935E-2</v>
      </c>
      <c r="AI63" s="303">
        <v>4.2929972874707935E-2</v>
      </c>
      <c r="AJ63" s="303">
        <v>4.2929972874707935E-2</v>
      </c>
      <c r="AK63" s="303">
        <v>4.2929972874707935E-2</v>
      </c>
      <c r="AL63" s="303">
        <v>4.2929972874707935E-2</v>
      </c>
      <c r="AM63" s="303">
        <v>4.2929972874707935E-2</v>
      </c>
      <c r="AN63" s="303">
        <v>4.2929972874707935E-2</v>
      </c>
      <c r="AO63" s="303">
        <v>4.2929972874707935E-2</v>
      </c>
      <c r="AP63" s="303">
        <v>4.2929972874707935E-2</v>
      </c>
      <c r="AQ63" s="303">
        <v>4.2929972874707935E-2</v>
      </c>
      <c r="AR63" s="303">
        <v>4.2929972874707935E-2</v>
      </c>
      <c r="AS63" s="303">
        <v>4.2929972874707935E-2</v>
      </c>
      <c r="AT63" s="303">
        <v>4.2929972874707935E-2</v>
      </c>
      <c r="AU63" s="303">
        <v>4.2929972874707935E-2</v>
      </c>
    </row>
    <row r="64" spans="1:49" ht="12.9" customHeight="1">
      <c r="A64" s="51" t="s">
        <v>243</v>
      </c>
      <c r="B64" s="303">
        <v>0.65947597669635838</v>
      </c>
      <c r="C64" s="303">
        <v>0.68183374790741358</v>
      </c>
      <c r="D64" s="303">
        <v>0.67052971020389363</v>
      </c>
      <c r="E64" s="303">
        <v>0.65281192951749456</v>
      </c>
      <c r="F64" s="303">
        <v>0.64376284587438182</v>
      </c>
      <c r="G64" s="303">
        <v>0.60322481669586725</v>
      </c>
      <c r="H64" s="303">
        <v>0.73373002968949896</v>
      </c>
      <c r="I64" s="303">
        <v>0.69485785965413127</v>
      </c>
      <c r="J64" s="303">
        <v>0.63596816340219686</v>
      </c>
      <c r="K64" s="303">
        <v>0.65070798217051784</v>
      </c>
      <c r="L64" s="303">
        <v>0.62619566318968123</v>
      </c>
      <c r="M64" s="303">
        <v>0.6368912385248412</v>
      </c>
      <c r="N64" s="303">
        <v>0.67681656462700568</v>
      </c>
      <c r="O64" s="303">
        <v>0.650837893113558</v>
      </c>
      <c r="P64" s="303">
        <v>0.650837893113558</v>
      </c>
      <c r="Q64" s="303">
        <v>0.650837893113558</v>
      </c>
      <c r="R64" s="303">
        <v>0.65564946184545503</v>
      </c>
      <c r="S64" s="303">
        <v>0.65564946184545503</v>
      </c>
      <c r="T64" s="303">
        <v>0.66235429675591473</v>
      </c>
      <c r="U64" s="303">
        <v>0.66534706109309383</v>
      </c>
      <c r="V64" s="303">
        <v>0.66534706109309383</v>
      </c>
      <c r="W64" s="303">
        <v>0.67015862982499097</v>
      </c>
      <c r="X64" s="303">
        <v>0.67015862982499097</v>
      </c>
      <c r="Y64" s="303">
        <v>0.67015862982499097</v>
      </c>
      <c r="Z64" s="303">
        <v>0.67315139416217007</v>
      </c>
      <c r="AA64" s="303">
        <v>0.67315139416217007</v>
      </c>
      <c r="AB64" s="303">
        <v>0.67315139416217007</v>
      </c>
      <c r="AC64" s="303">
        <v>0.67315139416217007</v>
      </c>
      <c r="AD64" s="303">
        <v>0.67315139416217007</v>
      </c>
      <c r="AE64" s="303">
        <v>0.67315139416217007</v>
      </c>
      <c r="AF64" s="303">
        <v>0.67315139416217007</v>
      </c>
      <c r="AG64" s="303">
        <v>0.67315139416217007</v>
      </c>
      <c r="AH64" s="303">
        <v>0.67315139416217007</v>
      </c>
      <c r="AI64" s="303">
        <v>0.67315139416217007</v>
      </c>
      <c r="AJ64" s="303">
        <v>0.67315139416217007</v>
      </c>
      <c r="AK64" s="303">
        <v>0.67315139416217007</v>
      </c>
      <c r="AL64" s="303">
        <v>0.67315139416217007</v>
      </c>
      <c r="AM64" s="303">
        <v>0.67315139416217007</v>
      </c>
      <c r="AN64" s="303">
        <v>0.67315139416217007</v>
      </c>
      <c r="AO64" s="303">
        <v>0.67315139416217007</v>
      </c>
      <c r="AP64" s="303">
        <v>0.67315139416217007</v>
      </c>
      <c r="AQ64" s="303">
        <v>0.67315139416217007</v>
      </c>
      <c r="AR64" s="303">
        <v>0.67315139416217007</v>
      </c>
      <c r="AS64" s="303">
        <v>0.67315139416217007</v>
      </c>
      <c r="AT64" s="303">
        <v>0.67315139416217007</v>
      </c>
      <c r="AU64" s="303">
        <v>0.67315139416217007</v>
      </c>
    </row>
    <row r="65" spans="1:49" ht="12.9" customHeight="1">
      <c r="A65" s="51" t="s">
        <v>397</v>
      </c>
      <c r="B65" s="303">
        <v>6.9958899913413674E-3</v>
      </c>
      <c r="C65" s="303">
        <v>4.491971322373914E-3</v>
      </c>
      <c r="D65" s="303">
        <v>5.2210093982710476E-3</v>
      </c>
      <c r="E65" s="303">
        <v>4.65461977481464E-3</v>
      </c>
      <c r="F65" s="303">
        <v>5.0078614945081052E-3</v>
      </c>
      <c r="G65" s="303">
        <v>5.5607354900667335E-3</v>
      </c>
      <c r="H65" s="303">
        <v>4.9051469486321962E-3</v>
      </c>
      <c r="I65" s="303">
        <v>3.4289364429422329E-3</v>
      </c>
      <c r="J65" s="303">
        <v>2.8578791645998201E-3</v>
      </c>
      <c r="K65" s="303">
        <v>3.2731184687870823E-3</v>
      </c>
      <c r="L65" s="303">
        <v>4.5448241558907476E-3</v>
      </c>
      <c r="M65" s="303">
        <v>7.7258879043987736E-3</v>
      </c>
      <c r="N65" s="303">
        <v>5.9797635488444186E-3</v>
      </c>
      <c r="O65" s="303">
        <v>5.7599999999999995E-3</v>
      </c>
      <c r="P65" s="303">
        <v>6.4799999999999996E-3</v>
      </c>
      <c r="Q65" s="303">
        <v>7.1999999999999998E-3</v>
      </c>
      <c r="R65" s="303">
        <v>7.1999999999999998E-3</v>
      </c>
      <c r="S65" s="303">
        <v>7.1999999999999998E-3</v>
      </c>
      <c r="T65" s="303">
        <v>7.1999999999999998E-3</v>
      </c>
      <c r="U65" s="303">
        <v>7.1999999999999998E-3</v>
      </c>
      <c r="V65" s="303">
        <v>7.1999999999999998E-3</v>
      </c>
      <c r="W65" s="303">
        <v>7.1999999999999998E-3</v>
      </c>
      <c r="X65" s="303">
        <v>7.1999999999999998E-3</v>
      </c>
      <c r="Y65" s="303">
        <v>7.1999999999999998E-3</v>
      </c>
      <c r="Z65" s="303">
        <v>7.1999999999999998E-3</v>
      </c>
      <c r="AA65" s="303">
        <v>7.1999999999999998E-3</v>
      </c>
      <c r="AB65" s="303">
        <v>7.1999999999999998E-3</v>
      </c>
      <c r="AC65" s="303">
        <v>7.1999999999999998E-3</v>
      </c>
      <c r="AD65" s="303">
        <v>7.1999999999999998E-3</v>
      </c>
      <c r="AE65" s="303">
        <v>7.1999999999999998E-3</v>
      </c>
      <c r="AF65" s="303">
        <v>7.1999999999999998E-3</v>
      </c>
      <c r="AG65" s="303">
        <v>7.1999999999999998E-3</v>
      </c>
      <c r="AH65" s="303">
        <v>7.1999999999999998E-3</v>
      </c>
      <c r="AI65" s="303">
        <v>7.1999999999999998E-3</v>
      </c>
      <c r="AJ65" s="303">
        <v>7.1999999999999998E-3</v>
      </c>
      <c r="AK65" s="303">
        <v>7.1999999999999998E-3</v>
      </c>
      <c r="AL65" s="303">
        <v>7.1999999999999998E-3</v>
      </c>
      <c r="AM65" s="303">
        <v>7.1999999999999998E-3</v>
      </c>
      <c r="AN65" s="303">
        <v>7.1999999999999998E-3</v>
      </c>
      <c r="AO65" s="303">
        <v>7.1999999999999998E-3</v>
      </c>
      <c r="AP65" s="303">
        <v>7.1999999999999998E-3</v>
      </c>
      <c r="AQ65" s="303">
        <v>7.1999999999999998E-3</v>
      </c>
      <c r="AR65" s="303">
        <v>7.1999999999999998E-3</v>
      </c>
      <c r="AS65" s="303">
        <v>7.1999999999999998E-3</v>
      </c>
      <c r="AT65" s="303">
        <v>7.1999999999999998E-3</v>
      </c>
      <c r="AU65" s="303">
        <v>7.1999999999999998E-3</v>
      </c>
    </row>
    <row r="66" spans="1:49" ht="12.9" customHeight="1">
      <c r="A66" s="51" t="s">
        <v>398</v>
      </c>
      <c r="B66" s="303">
        <v>0</v>
      </c>
      <c r="C66" s="303">
        <v>1.647058439204055E-4</v>
      </c>
      <c r="D66" s="303">
        <v>1.2672518529265126E-4</v>
      </c>
      <c r="E66" s="303">
        <v>1.8906175257190543E-4</v>
      </c>
      <c r="F66" s="303">
        <v>2.164519940101673E-4</v>
      </c>
      <c r="G66" s="303">
        <v>1.9623690612093891E-4</v>
      </c>
      <c r="H66" s="303">
        <v>1.9874598756994066E-4</v>
      </c>
      <c r="I66" s="303">
        <v>1.8758244395432374E-4</v>
      </c>
      <c r="J66" s="303">
        <v>1.7672567922348721E-4</v>
      </c>
      <c r="K66" s="303">
        <v>1.9514548124748826E-4</v>
      </c>
      <c r="L66" s="303">
        <v>1.8211768711012903E-4</v>
      </c>
      <c r="M66" s="303">
        <v>0</v>
      </c>
      <c r="N66" s="303">
        <v>0</v>
      </c>
      <c r="O66" s="303">
        <v>1.2293595967897714E-4</v>
      </c>
      <c r="P66" s="303">
        <v>1.2293595967897714E-4</v>
      </c>
      <c r="Q66" s="303">
        <v>1.2293595967897714E-4</v>
      </c>
      <c r="R66" s="303">
        <v>1.2293595967897714E-4</v>
      </c>
      <c r="S66" s="303">
        <v>1.2293595967897714E-4</v>
      </c>
      <c r="T66" s="303">
        <v>1.2293595967897714E-4</v>
      </c>
      <c r="U66" s="303">
        <v>1.2293595967897714E-4</v>
      </c>
      <c r="V66" s="303">
        <v>1.2293595967897714E-4</v>
      </c>
      <c r="W66" s="303">
        <v>1.2293595967897714E-4</v>
      </c>
      <c r="X66" s="303">
        <v>1.2293595967897714E-4</v>
      </c>
      <c r="Y66" s="303">
        <v>1.2293595967897714E-4</v>
      </c>
      <c r="Z66" s="303">
        <v>1.2293595967897714E-4</v>
      </c>
      <c r="AA66" s="303">
        <v>1.2293595967897714E-4</v>
      </c>
      <c r="AB66" s="303">
        <v>1.2293595967897714E-4</v>
      </c>
      <c r="AC66" s="303">
        <v>1.2293595967897714E-4</v>
      </c>
      <c r="AD66" s="303">
        <v>1.2293595967897714E-4</v>
      </c>
      <c r="AE66" s="303">
        <v>1.2293595967897714E-4</v>
      </c>
      <c r="AF66" s="303">
        <v>1.2293595967897714E-4</v>
      </c>
      <c r="AG66" s="303">
        <v>1.2293595967897714E-4</v>
      </c>
      <c r="AH66" s="303">
        <v>1.2293595967897714E-4</v>
      </c>
      <c r="AI66" s="303">
        <v>1.2293595967897714E-4</v>
      </c>
      <c r="AJ66" s="303">
        <v>1.2293595967897714E-4</v>
      </c>
      <c r="AK66" s="303">
        <v>1.2293595967897714E-4</v>
      </c>
      <c r="AL66" s="303">
        <v>1.2293595967897714E-4</v>
      </c>
      <c r="AM66" s="303">
        <v>1.2293595967897714E-4</v>
      </c>
      <c r="AN66" s="303">
        <v>1.2293595967897714E-4</v>
      </c>
      <c r="AO66" s="303">
        <v>1.2293595967897714E-4</v>
      </c>
      <c r="AP66" s="303">
        <v>1.2293595967897714E-4</v>
      </c>
      <c r="AQ66" s="303">
        <v>1.2293595967897714E-4</v>
      </c>
      <c r="AR66" s="303">
        <v>1.2293595967897714E-4</v>
      </c>
      <c r="AS66" s="303">
        <v>1.2293595967897714E-4</v>
      </c>
      <c r="AT66" s="303">
        <v>1.2293595967897714E-4</v>
      </c>
      <c r="AU66" s="303">
        <v>1.2293595967897714E-4</v>
      </c>
    </row>
    <row r="67" spans="1:49" ht="12.9" customHeight="1">
      <c r="A67" s="51" t="s">
        <v>399</v>
      </c>
      <c r="B67" s="303">
        <v>5.1557964091804333E-3</v>
      </c>
      <c r="C67" s="303">
        <v>9.9215200687948289E-3</v>
      </c>
      <c r="D67" s="303">
        <v>6.1796152784450737E-3</v>
      </c>
      <c r="E67" s="303">
        <v>1.1332353833410377E-2</v>
      </c>
      <c r="F67" s="303">
        <v>6.615925995702425E-3</v>
      </c>
      <c r="G67" s="303">
        <v>6.4067475516769376E-3</v>
      </c>
      <c r="H67" s="303">
        <v>1.1170492693989642E-2</v>
      </c>
      <c r="I67" s="303">
        <v>3.3219463293768882E-2</v>
      </c>
      <c r="J67" s="303">
        <v>3.1313177472848411E-2</v>
      </c>
      <c r="K67" s="303">
        <v>4.0799999999999996E-2</v>
      </c>
      <c r="L67" s="303">
        <v>5.099999999999999E-2</v>
      </c>
      <c r="M67" s="303">
        <v>6.1199999999999991E-2</v>
      </c>
      <c r="N67" s="303">
        <v>7.1399999999999991E-2</v>
      </c>
      <c r="O67" s="303">
        <v>8.1599999999999992E-2</v>
      </c>
      <c r="P67" s="303">
        <v>9.1799999999999993E-2</v>
      </c>
      <c r="Q67" s="303">
        <v>0.10199999999999999</v>
      </c>
      <c r="R67" s="303">
        <v>0.10199999999999999</v>
      </c>
      <c r="S67" s="303">
        <v>0.10199999999999999</v>
      </c>
      <c r="T67" s="303">
        <v>0.10199999999999998</v>
      </c>
      <c r="U67" s="303">
        <v>0.10199999999999998</v>
      </c>
      <c r="V67" s="303">
        <v>0.10199999999999998</v>
      </c>
      <c r="W67" s="303">
        <v>0.10199999999999999</v>
      </c>
      <c r="X67" s="303">
        <v>0.10199999999999999</v>
      </c>
      <c r="Y67" s="303">
        <v>0.10199999999999999</v>
      </c>
      <c r="Z67" s="303">
        <v>0.10199999999999999</v>
      </c>
      <c r="AA67" s="303">
        <v>0.10199999999999999</v>
      </c>
      <c r="AB67" s="303">
        <v>0.10199999999999999</v>
      </c>
      <c r="AC67" s="303">
        <v>0.10199999999999999</v>
      </c>
      <c r="AD67" s="303">
        <v>0.10199999999999999</v>
      </c>
      <c r="AE67" s="303">
        <v>0.10199999999999999</v>
      </c>
      <c r="AF67" s="303">
        <v>0.10199999999999999</v>
      </c>
      <c r="AG67" s="303">
        <v>0.10199999999999999</v>
      </c>
      <c r="AH67" s="303">
        <v>0.10199999999999999</v>
      </c>
      <c r="AI67" s="303">
        <v>0.10199999999999999</v>
      </c>
      <c r="AJ67" s="303">
        <v>0.10199999999999999</v>
      </c>
      <c r="AK67" s="303">
        <v>0.10199999999999999</v>
      </c>
      <c r="AL67" s="303">
        <v>0.10199999999999999</v>
      </c>
      <c r="AM67" s="303">
        <v>0.10199999999999999</v>
      </c>
      <c r="AN67" s="303">
        <v>0.10199999999999999</v>
      </c>
      <c r="AO67" s="303">
        <v>0.10199999999999999</v>
      </c>
      <c r="AP67" s="303">
        <v>0.10199999999999999</v>
      </c>
      <c r="AQ67" s="303">
        <v>0.10199999999999999</v>
      </c>
      <c r="AR67" s="303">
        <v>0.10199999999999999</v>
      </c>
      <c r="AS67" s="303">
        <v>0.10199999999999999</v>
      </c>
      <c r="AT67" s="303">
        <v>0.10199999999999999</v>
      </c>
      <c r="AU67" s="303">
        <v>0.10199999999999999</v>
      </c>
    </row>
    <row r="68" spans="1:49" ht="12.9" customHeight="1">
      <c r="A68" s="51" t="s">
        <v>249</v>
      </c>
      <c r="B68" s="303">
        <v>0</v>
      </c>
      <c r="C68" s="303">
        <v>0</v>
      </c>
      <c r="D68" s="303">
        <v>0</v>
      </c>
      <c r="E68" s="303">
        <v>0</v>
      </c>
      <c r="F68" s="303">
        <v>0</v>
      </c>
      <c r="G68" s="303">
        <v>0</v>
      </c>
      <c r="H68" s="303">
        <v>0</v>
      </c>
      <c r="I68" s="303">
        <v>4.8000000000000001E-4</v>
      </c>
      <c r="J68" s="303">
        <v>7.1999999999999994E-4</v>
      </c>
      <c r="K68" s="303">
        <v>9.5999999999999992E-4</v>
      </c>
      <c r="L68" s="303">
        <v>1.1999999999999999E-3</v>
      </c>
      <c r="M68" s="303">
        <v>1.4399999999999999E-3</v>
      </c>
      <c r="N68" s="303">
        <v>1.6799999999999999E-3</v>
      </c>
      <c r="O68" s="303">
        <v>1.9199999999999998E-3</v>
      </c>
      <c r="P68" s="303">
        <v>2.1599999999999996E-3</v>
      </c>
      <c r="Q68" s="303">
        <v>2.3999999999999998E-3</v>
      </c>
      <c r="R68" s="303">
        <v>2.3999999999999998E-3</v>
      </c>
      <c r="S68" s="303">
        <v>2.3999999999999998E-3</v>
      </c>
      <c r="T68" s="303">
        <v>2.3999999999999998E-3</v>
      </c>
      <c r="U68" s="303">
        <v>2.4642088559872735E-3</v>
      </c>
      <c r="V68" s="303">
        <v>2.4642088559872735E-3</v>
      </c>
      <c r="W68" s="303">
        <v>3.2661369779701213E-3</v>
      </c>
      <c r="X68" s="303">
        <v>3.2661369779701213E-3</v>
      </c>
      <c r="Y68" s="303">
        <v>3.2661369779701213E-3</v>
      </c>
      <c r="Z68" s="303">
        <v>3.7649310341666391E-3</v>
      </c>
      <c r="AA68" s="303">
        <v>3.7649310341666391E-3</v>
      </c>
      <c r="AB68" s="303">
        <v>3.7649310341666391E-3</v>
      </c>
      <c r="AC68" s="303">
        <v>3.7649310341666391E-3</v>
      </c>
      <c r="AD68" s="303">
        <v>3.7649310341666391E-3</v>
      </c>
      <c r="AE68" s="303">
        <v>3.7649310341666391E-3</v>
      </c>
      <c r="AF68" s="303">
        <v>3.7649310341666391E-3</v>
      </c>
      <c r="AG68" s="303">
        <v>3.7649310341666391E-3</v>
      </c>
      <c r="AH68" s="303">
        <v>3.7649310341666391E-3</v>
      </c>
      <c r="AI68" s="303">
        <v>3.7649310341666391E-3</v>
      </c>
      <c r="AJ68" s="303">
        <v>3.7649310341666391E-3</v>
      </c>
      <c r="AK68" s="303">
        <v>3.7649310341666391E-3</v>
      </c>
      <c r="AL68" s="303">
        <v>3.7649310341666391E-3</v>
      </c>
      <c r="AM68" s="303">
        <v>3.7649310341666391E-3</v>
      </c>
      <c r="AN68" s="303">
        <v>3.7649310341666391E-3</v>
      </c>
      <c r="AO68" s="303">
        <v>3.7649310341666391E-3</v>
      </c>
      <c r="AP68" s="303">
        <v>3.7649310341666391E-3</v>
      </c>
      <c r="AQ68" s="303">
        <v>3.7649310341666391E-3</v>
      </c>
      <c r="AR68" s="303">
        <v>3.7649310341666391E-3</v>
      </c>
      <c r="AS68" s="303">
        <v>3.7649310341666391E-3</v>
      </c>
      <c r="AT68" s="303">
        <v>3.7649310341666391E-3</v>
      </c>
      <c r="AU68" s="303">
        <v>3.7649310341666391E-3</v>
      </c>
    </row>
    <row r="69" spans="1:49" ht="12.9" customHeight="1">
      <c r="A69" s="51" t="s">
        <v>354</v>
      </c>
      <c r="B69" s="303">
        <v>9.592633848641679E-4</v>
      </c>
      <c r="C69" s="303">
        <v>6.6179805189737096E-4</v>
      </c>
      <c r="D69" s="303">
        <v>5.5542676186193815E-4</v>
      </c>
      <c r="E69" s="303">
        <v>2.5830910345953057E-4</v>
      </c>
      <c r="F69" s="303">
        <v>1.8068367152797817E-4</v>
      </c>
      <c r="G69" s="303">
        <v>2.1218061970037025E-4</v>
      </c>
      <c r="H69" s="303">
        <v>5.4013262840766458E-4</v>
      </c>
      <c r="I69" s="303">
        <v>9.2300684908240842E-4</v>
      </c>
      <c r="J69" s="303">
        <v>6.6516882400011375E-4</v>
      </c>
      <c r="K69" s="303">
        <v>1.1378056921532269E-3</v>
      </c>
      <c r="L69" s="303">
        <v>1.5073479589894744E-3</v>
      </c>
      <c r="M69" s="303">
        <v>1.6943692538730864E-3</v>
      </c>
      <c r="N69" s="303">
        <v>1.292764921153633E-3</v>
      </c>
      <c r="O69" s="303">
        <v>1.1933598960928769E-3</v>
      </c>
      <c r="P69" s="303">
        <v>1.1933598960928769E-3</v>
      </c>
      <c r="Q69" s="303">
        <v>1.1933598960928769E-3</v>
      </c>
      <c r="R69" s="303">
        <v>1.1933598960928769E-3</v>
      </c>
      <c r="S69" s="303">
        <v>1.1933598960928769E-3</v>
      </c>
      <c r="T69" s="303">
        <v>1.1933598960928769E-3</v>
      </c>
      <c r="U69" s="303">
        <v>1.1933598960928769E-3</v>
      </c>
      <c r="V69" s="303">
        <v>1.1933598960928769E-3</v>
      </c>
      <c r="W69" s="303">
        <v>1.1933598960928769E-3</v>
      </c>
      <c r="X69" s="303">
        <v>1.1933598960928769E-3</v>
      </c>
      <c r="Y69" s="303">
        <v>1.1933598960928769E-3</v>
      </c>
      <c r="Z69" s="303">
        <v>1.1933598960928769E-3</v>
      </c>
      <c r="AA69" s="303">
        <v>1.1933598960928769E-3</v>
      </c>
      <c r="AB69" s="303">
        <v>1.1933598960928769E-3</v>
      </c>
      <c r="AC69" s="303">
        <v>1.1933598960928769E-3</v>
      </c>
      <c r="AD69" s="303">
        <v>1.1933598960928769E-3</v>
      </c>
      <c r="AE69" s="303">
        <v>1.1933598960928769E-3</v>
      </c>
      <c r="AF69" s="303">
        <v>1.1933598960928769E-3</v>
      </c>
      <c r="AG69" s="303">
        <v>1.1933598960928769E-3</v>
      </c>
      <c r="AH69" s="303">
        <v>1.1933598960928769E-3</v>
      </c>
      <c r="AI69" s="303">
        <v>1.1933598960928769E-3</v>
      </c>
      <c r="AJ69" s="303">
        <v>1.1933598960928769E-3</v>
      </c>
      <c r="AK69" s="303">
        <v>1.1933598960928769E-3</v>
      </c>
      <c r="AL69" s="303">
        <v>1.1933598960928769E-3</v>
      </c>
      <c r="AM69" s="303">
        <v>1.1933598960928769E-3</v>
      </c>
      <c r="AN69" s="303">
        <v>1.1933598960928769E-3</v>
      </c>
      <c r="AO69" s="303">
        <v>1.1933598960928769E-3</v>
      </c>
      <c r="AP69" s="303">
        <v>1.1933598960928769E-3</v>
      </c>
      <c r="AQ69" s="303">
        <v>1.1933598960928769E-3</v>
      </c>
      <c r="AR69" s="303">
        <v>1.1933598960928769E-3</v>
      </c>
      <c r="AS69" s="303">
        <v>1.1933598960928769E-3</v>
      </c>
      <c r="AT69" s="303">
        <v>1.1933598960928769E-3</v>
      </c>
      <c r="AU69" s="303">
        <v>1.1933598960928769E-3</v>
      </c>
    </row>
    <row r="70" spans="1:49" ht="12.9" customHeight="1">
      <c r="A70" s="51" t="s">
        <v>353</v>
      </c>
      <c r="B70" s="303">
        <v>1.7988273821387636E-3</v>
      </c>
      <c r="C70" s="303">
        <v>3.7971039237130817E-3</v>
      </c>
      <c r="D70" s="303">
        <v>3.2678155152453536E-3</v>
      </c>
      <c r="E70" s="303">
        <v>3.1014176230452096E-3</v>
      </c>
      <c r="F70" s="303">
        <v>3.3325198104813083E-3</v>
      </c>
      <c r="G70" s="303">
        <v>3.757657773227268E-3</v>
      </c>
      <c r="H70" s="303">
        <v>3.6984032984225127E-3</v>
      </c>
      <c r="I70" s="303">
        <v>3.343485915486194E-3</v>
      </c>
      <c r="J70" s="303">
        <v>2.4301587792292067E-3</v>
      </c>
      <c r="K70" s="303">
        <v>2.2222026885845405E-3</v>
      </c>
      <c r="L70" s="303">
        <v>1.2535607064825709E-3</v>
      </c>
      <c r="M70" s="303">
        <v>1.2658171108505154E-3</v>
      </c>
      <c r="N70" s="303">
        <v>1.8524568626935116E-3</v>
      </c>
      <c r="O70" s="303">
        <v>2.0591872218044594E-3</v>
      </c>
      <c r="P70" s="303">
        <v>2.0591872218044594E-3</v>
      </c>
      <c r="Q70" s="303">
        <v>2.0591872218044594E-3</v>
      </c>
      <c r="R70" s="303">
        <v>2.0591872218044594E-3</v>
      </c>
      <c r="S70" s="303">
        <v>2.0591872218044594E-3</v>
      </c>
      <c r="T70" s="303">
        <v>2.0591872218044594E-3</v>
      </c>
      <c r="U70" s="303">
        <v>2.0591872218044594E-3</v>
      </c>
      <c r="V70" s="303">
        <v>2.0591872218044594E-3</v>
      </c>
      <c r="W70" s="303">
        <v>2.0591872218044594E-3</v>
      </c>
      <c r="X70" s="303">
        <v>2.0591872218044594E-3</v>
      </c>
      <c r="Y70" s="303">
        <v>2.0591872218044594E-3</v>
      </c>
      <c r="Z70" s="303">
        <v>2.0591872218044594E-3</v>
      </c>
      <c r="AA70" s="303">
        <v>2.0591872218044594E-3</v>
      </c>
      <c r="AB70" s="303">
        <v>2.0591872218044594E-3</v>
      </c>
      <c r="AC70" s="303">
        <v>2.0591872218044594E-3</v>
      </c>
      <c r="AD70" s="303">
        <v>2.0591872218044594E-3</v>
      </c>
      <c r="AE70" s="303">
        <v>2.0591872218044594E-3</v>
      </c>
      <c r="AF70" s="303">
        <v>2.0591872218044594E-3</v>
      </c>
      <c r="AG70" s="303">
        <v>2.0591872218044594E-3</v>
      </c>
      <c r="AH70" s="303">
        <v>2.0591872218044594E-3</v>
      </c>
      <c r="AI70" s="303">
        <v>2.0591872218044594E-3</v>
      </c>
      <c r="AJ70" s="303">
        <v>2.0591872218044594E-3</v>
      </c>
      <c r="AK70" s="303">
        <v>2.0591872218044594E-3</v>
      </c>
      <c r="AL70" s="303">
        <v>2.0591872218044594E-3</v>
      </c>
      <c r="AM70" s="303">
        <v>2.0591872218044594E-3</v>
      </c>
      <c r="AN70" s="303">
        <v>2.0591872218044594E-3</v>
      </c>
      <c r="AO70" s="303">
        <v>2.0591872218044594E-3</v>
      </c>
      <c r="AP70" s="303">
        <v>2.0591872218044594E-3</v>
      </c>
      <c r="AQ70" s="303">
        <v>2.0591872218044594E-3</v>
      </c>
      <c r="AR70" s="303">
        <v>2.0591872218044594E-3</v>
      </c>
      <c r="AS70" s="303">
        <v>2.0591872218044594E-3</v>
      </c>
      <c r="AT70" s="303">
        <v>2.0591872218044594E-3</v>
      </c>
      <c r="AU70" s="303">
        <v>2.0591872218044594E-3</v>
      </c>
    </row>
    <row r="71" spans="1:49" ht="12.9" customHeight="1">
      <c r="A71" s="51" t="s">
        <v>355</v>
      </c>
      <c r="B71" s="303">
        <v>3.7126472073078278E-4</v>
      </c>
      <c r="C71" s="303">
        <v>1.2425532829452244E-4</v>
      </c>
      <c r="D71" s="303">
        <v>1.4636471939059393E-4</v>
      </c>
      <c r="E71" s="303">
        <v>2.1736563262060333E-4</v>
      </c>
      <c r="F71" s="303">
        <v>3.2235988416141811E-4</v>
      </c>
      <c r="G71" s="303">
        <v>3.2192229378798264E-4</v>
      </c>
      <c r="H71" s="303">
        <v>2.9972500167656517E-4</v>
      </c>
      <c r="I71" s="303">
        <v>4.015224300404352E-4</v>
      </c>
      <c r="J71" s="303">
        <v>4.3286730997305067E-4</v>
      </c>
      <c r="K71" s="303">
        <v>6.5332497557524238E-4</v>
      </c>
      <c r="L71" s="303">
        <v>5.6699344327659773E-4</v>
      </c>
      <c r="M71" s="303">
        <v>5.4995504879307155E-4</v>
      </c>
      <c r="N71" s="303">
        <v>3.7468765306014618E-4</v>
      </c>
      <c r="O71" s="303">
        <v>4.931094611706488E-4</v>
      </c>
      <c r="P71" s="303">
        <v>4.9310946117042675E-4</v>
      </c>
      <c r="Q71" s="303">
        <v>4.931094611706488E-4</v>
      </c>
      <c r="R71" s="303">
        <v>4.931094611706488E-4</v>
      </c>
      <c r="S71" s="303">
        <v>4.931094611706488E-4</v>
      </c>
      <c r="T71" s="303">
        <v>4.9310946117075982E-4</v>
      </c>
      <c r="U71" s="303">
        <v>4.931094611706488E-4</v>
      </c>
      <c r="V71" s="303">
        <v>4.931094611706488E-4</v>
      </c>
      <c r="W71" s="303">
        <v>4.931094611706488E-4</v>
      </c>
      <c r="X71" s="303">
        <v>4.931094611706488E-4</v>
      </c>
      <c r="Y71" s="303">
        <v>4.931094611706488E-4</v>
      </c>
      <c r="Z71" s="303">
        <v>4.931094611706488E-4</v>
      </c>
      <c r="AA71" s="303">
        <v>4.931094611706488E-4</v>
      </c>
      <c r="AB71" s="303">
        <v>4.931094611706488E-4</v>
      </c>
      <c r="AC71" s="303">
        <v>4.931094611706488E-4</v>
      </c>
      <c r="AD71" s="303">
        <v>4.931094611706488E-4</v>
      </c>
      <c r="AE71" s="303">
        <v>4.931094611706488E-4</v>
      </c>
      <c r="AF71" s="303">
        <v>4.931094611706488E-4</v>
      </c>
      <c r="AG71" s="303">
        <v>4.931094611706488E-4</v>
      </c>
      <c r="AH71" s="303">
        <v>4.931094611706488E-4</v>
      </c>
      <c r="AI71" s="303">
        <v>4.931094611706488E-4</v>
      </c>
      <c r="AJ71" s="303">
        <v>4.931094611706488E-4</v>
      </c>
      <c r="AK71" s="303">
        <v>4.931094611706488E-4</v>
      </c>
      <c r="AL71" s="303">
        <v>4.931094611706488E-4</v>
      </c>
      <c r="AM71" s="303">
        <v>4.931094611706488E-4</v>
      </c>
      <c r="AN71" s="303">
        <v>4.931094611706488E-4</v>
      </c>
      <c r="AO71" s="303">
        <v>4.931094611706488E-4</v>
      </c>
      <c r="AP71" s="303">
        <v>4.931094611706488E-4</v>
      </c>
      <c r="AQ71" s="303">
        <v>4.931094611706488E-4</v>
      </c>
      <c r="AR71" s="303">
        <v>4.931094611706488E-4</v>
      </c>
      <c r="AS71" s="303">
        <v>4.931094611706488E-4</v>
      </c>
      <c r="AT71" s="303">
        <v>4.931094611706488E-4</v>
      </c>
      <c r="AU71" s="303">
        <v>4.931094611706488E-4</v>
      </c>
    </row>
    <row r="72" spans="1:49" s="398" customFormat="1" ht="12.9" customHeight="1">
      <c r="A72" s="104"/>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row>
    <row r="73" spans="1:49" s="398" customFormat="1" ht="12.9" customHeight="1">
      <c r="A73" s="63" t="s">
        <v>1320</v>
      </c>
      <c r="B73" s="304"/>
      <c r="C73" s="304"/>
      <c r="D73" s="304"/>
      <c r="E73" s="304"/>
      <c r="F73" s="304"/>
      <c r="G73" s="304"/>
      <c r="H73" s="304"/>
      <c r="I73" s="304"/>
      <c r="J73" s="304"/>
      <c r="K73" s="304"/>
      <c r="L73" s="304"/>
      <c r="M73" s="304"/>
      <c r="N73" s="304"/>
      <c r="O73" s="302">
        <v>9.9688725224071698E-3</v>
      </c>
      <c r="P73" s="302">
        <v>9.9688725224071698E-3</v>
      </c>
      <c r="Q73" s="302">
        <v>9.9688725224071698E-3</v>
      </c>
      <c r="R73" s="302">
        <v>4.9844362612035849E-3</v>
      </c>
      <c r="S73" s="302">
        <v>4.9844362612035849E-3</v>
      </c>
      <c r="T73" s="302">
        <v>4.9844362612035849E-3</v>
      </c>
      <c r="U73" s="302">
        <v>4.9844362612035849E-3</v>
      </c>
      <c r="V73" s="302">
        <v>4.9844362612035849E-3</v>
      </c>
      <c r="W73" s="302">
        <v>0</v>
      </c>
      <c r="X73" s="302">
        <v>0</v>
      </c>
      <c r="Y73" s="302">
        <v>0</v>
      </c>
      <c r="Z73" s="302">
        <v>0</v>
      </c>
      <c r="AA73" s="302">
        <v>0</v>
      </c>
      <c r="AB73" s="302">
        <v>0</v>
      </c>
      <c r="AC73" s="302">
        <v>0</v>
      </c>
      <c r="AD73" s="302">
        <v>0</v>
      </c>
      <c r="AE73" s="302">
        <v>0</v>
      </c>
      <c r="AF73" s="302">
        <v>0</v>
      </c>
      <c r="AG73" s="302">
        <v>0</v>
      </c>
      <c r="AH73" s="302">
        <v>0</v>
      </c>
      <c r="AI73" s="302">
        <v>0</v>
      </c>
      <c r="AJ73" s="302">
        <v>0</v>
      </c>
      <c r="AK73" s="302">
        <v>0</v>
      </c>
      <c r="AL73" s="302">
        <v>0</v>
      </c>
      <c r="AM73" s="302">
        <v>0</v>
      </c>
      <c r="AN73" s="302">
        <v>0</v>
      </c>
      <c r="AO73" s="302">
        <v>0</v>
      </c>
      <c r="AP73" s="302">
        <v>0</v>
      </c>
      <c r="AQ73" s="302">
        <v>0</v>
      </c>
      <c r="AR73" s="302">
        <v>0</v>
      </c>
      <c r="AS73" s="302">
        <v>0</v>
      </c>
      <c r="AT73" s="302">
        <v>0</v>
      </c>
      <c r="AU73" s="302">
        <v>0</v>
      </c>
    </row>
    <row r="74" spans="1:49" customFormat="1" ht="12.9" customHeight="1">
      <c r="A74" s="40"/>
      <c r="B74" s="165"/>
      <c r="C74" s="165"/>
      <c r="D74" s="165"/>
      <c r="E74" s="165"/>
      <c r="F74" s="165"/>
      <c r="G74" s="165"/>
      <c r="H74" s="165"/>
      <c r="I74" s="165"/>
      <c r="J74" s="165"/>
      <c r="K74" s="165"/>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row>
    <row r="75" spans="1:49" customFormat="1" ht="12.9" customHeight="1">
      <c r="A75" s="40" t="s">
        <v>456</v>
      </c>
      <c r="B75" s="465"/>
      <c r="C75" s="465"/>
      <c r="D75" s="465"/>
      <c r="E75" s="465"/>
      <c r="F75" s="465"/>
      <c r="G75" s="465"/>
      <c r="H75" s="465"/>
      <c r="I75" s="465"/>
      <c r="J75" s="465"/>
      <c r="K75" s="465"/>
      <c r="L75" s="465"/>
      <c r="M75" s="98"/>
      <c r="N75" s="465"/>
      <c r="O75" s="465"/>
      <c r="P75" s="465"/>
      <c r="Q75" s="98"/>
      <c r="R75" s="465"/>
      <c r="S75" s="465"/>
      <c r="T75" s="465"/>
      <c r="U75" s="465"/>
      <c r="V75" s="465"/>
      <c r="W75" s="465"/>
      <c r="X75" s="465"/>
      <c r="Y75" s="465"/>
      <c r="Z75" s="465"/>
      <c r="AA75" s="465"/>
      <c r="AB75" s="465"/>
      <c r="AC75" s="465"/>
      <c r="AD75" s="465"/>
      <c r="AE75" s="465"/>
      <c r="AF75" s="465"/>
      <c r="AG75" s="465"/>
      <c r="AH75" s="465"/>
      <c r="AI75" s="465"/>
      <c r="AJ75" s="465"/>
      <c r="AK75" s="465"/>
      <c r="AL75" s="465" t="s">
        <v>1393</v>
      </c>
      <c r="AM75" s="465"/>
      <c r="AN75" s="465"/>
      <c r="AO75" s="465"/>
      <c r="AP75" s="465"/>
      <c r="AQ75" s="465"/>
      <c r="AR75" s="465"/>
      <c r="AS75" s="465"/>
      <c r="AT75" s="465"/>
      <c r="AU75" s="465"/>
      <c r="AW75" t="s">
        <v>1467</v>
      </c>
    </row>
    <row r="76" spans="1:49" ht="12.9" customHeight="1">
      <c r="A76" s="46" t="s">
        <v>449</v>
      </c>
      <c r="B76" s="302">
        <v>0.5</v>
      </c>
      <c r="C76" s="302">
        <v>0.5</v>
      </c>
      <c r="D76" s="302">
        <v>0.5</v>
      </c>
      <c r="E76" s="302">
        <v>0.3</v>
      </c>
      <c r="F76" s="302">
        <v>0.3</v>
      </c>
      <c r="G76" s="302">
        <v>0.3</v>
      </c>
      <c r="H76" s="302">
        <v>0.3</v>
      </c>
      <c r="I76" s="302">
        <v>0.34</v>
      </c>
      <c r="J76" s="302">
        <v>0.29199999999999998</v>
      </c>
      <c r="K76" s="302">
        <v>0.29199999999999998</v>
      </c>
      <c r="L76" s="302">
        <v>0.29799999999999999</v>
      </c>
      <c r="M76" s="302">
        <v>0.30193360000000002</v>
      </c>
      <c r="N76" s="302">
        <v>0.30591912352000006</v>
      </c>
      <c r="O76" s="302">
        <v>0.30995725595046408</v>
      </c>
      <c r="P76" s="302">
        <v>0.31404869172901023</v>
      </c>
      <c r="Q76" s="302">
        <v>0.31819413445983319</v>
      </c>
      <c r="R76" s="302">
        <v>0.32239429703470301</v>
      </c>
      <c r="S76" s="302">
        <v>0.32664990175556113</v>
      </c>
      <c r="T76" s="302">
        <v>0.33096168045873459</v>
      </c>
      <c r="U76" s="302">
        <v>0.33533037464078991</v>
      </c>
      <c r="V76" s="302">
        <v>0.33975673558604835</v>
      </c>
      <c r="W76" s="302">
        <v>0.34424152449578421</v>
      </c>
      <c r="X76" s="302">
        <v>0.3487855126191286</v>
      </c>
      <c r="Y76" s="302">
        <v>0.35338948138570114</v>
      </c>
      <c r="Z76" s="302">
        <v>0.35805422253999242</v>
      </c>
      <c r="AA76" s="302">
        <v>0.36278053827752033</v>
      </c>
      <c r="AB76" s="302">
        <v>0.36756924138278363</v>
      </c>
      <c r="AC76" s="302">
        <v>0.37242115536903642</v>
      </c>
      <c r="AD76" s="302">
        <v>0.37733711461990771</v>
      </c>
      <c r="AE76" s="302">
        <v>0.38231796453289052</v>
      </c>
      <c r="AF76" s="302">
        <v>0.38736456166472472</v>
      </c>
      <c r="AG76" s="302">
        <v>0.39247777387869914</v>
      </c>
      <c r="AH76" s="302">
        <v>0.39765848049389801</v>
      </c>
      <c r="AI76" s="302">
        <v>0.4029075724364175</v>
      </c>
      <c r="AJ76" s="302">
        <v>0.40822595239257825</v>
      </c>
      <c r="AK76" s="302">
        <v>0.41361453496416034</v>
      </c>
      <c r="AL76" s="302">
        <v>0.41907424682568728</v>
      </c>
      <c r="AM76" s="302">
        <v>0.4246060268837864</v>
      </c>
      <c r="AN76" s="302">
        <v>0.43021082643865244</v>
      </c>
      <c r="AO76" s="302">
        <v>0.4358896093476427</v>
      </c>
      <c r="AP76" s="302">
        <v>0.44164335219103162</v>
      </c>
      <c r="AQ76" s="302">
        <v>0.44747304443995328</v>
      </c>
      <c r="AR76" s="302">
        <v>0.4533796886265607</v>
      </c>
      <c r="AS76" s="302">
        <v>0.45936430051643135</v>
      </c>
      <c r="AT76" s="302">
        <v>0.46542790928324829</v>
      </c>
      <c r="AU76" s="302">
        <v>0.47157155768578723</v>
      </c>
      <c r="AV76" s="472">
        <f>((AU76-O76)/O76)/32</f>
        <v>1.6294010971745043E-2</v>
      </c>
      <c r="AW76" s="40" t="s">
        <v>1468</v>
      </c>
    </row>
    <row r="77" spans="1:49" ht="12.9" customHeight="1">
      <c r="A77" s="46" t="s">
        <v>450</v>
      </c>
      <c r="B77" s="302">
        <v>1</v>
      </c>
      <c r="C77" s="302">
        <v>2.1</v>
      </c>
      <c r="D77" s="302">
        <v>0.8</v>
      </c>
      <c r="E77" s="302">
        <v>0.9</v>
      </c>
      <c r="F77" s="302">
        <v>0.5</v>
      </c>
      <c r="G77" s="302">
        <v>0.5</v>
      </c>
      <c r="H77" s="302">
        <v>0.5</v>
      </c>
      <c r="I77" s="302">
        <v>0.64</v>
      </c>
      <c r="J77" s="302">
        <v>0.72599999999999998</v>
      </c>
      <c r="K77" s="302">
        <v>0.72599999999999998</v>
      </c>
      <c r="L77" s="302">
        <v>0.78</v>
      </c>
      <c r="M77" s="302">
        <v>0.79029600000000011</v>
      </c>
      <c r="N77" s="302">
        <v>0.8007279072000002</v>
      </c>
      <c r="O77" s="302">
        <v>0.81129751557504026</v>
      </c>
      <c r="P77" s="302">
        <v>0.82200664278063085</v>
      </c>
      <c r="Q77" s="302">
        <v>0.83285713046533527</v>
      </c>
      <c r="R77" s="302">
        <v>0.84385084458747783</v>
      </c>
      <c r="S77" s="302">
        <v>0.85498967573603257</v>
      </c>
      <c r="T77" s="302">
        <v>0.86627553945574831</v>
      </c>
      <c r="U77" s="302">
        <v>0.87771037657656426</v>
      </c>
      <c r="V77" s="302">
        <v>0.88929615354737501</v>
      </c>
      <c r="W77" s="302">
        <v>0.90103486277420042</v>
      </c>
      <c r="X77" s="302">
        <v>0.9129285229628199</v>
      </c>
      <c r="Y77" s="302">
        <v>0.92497917946592922</v>
      </c>
      <c r="Z77" s="302">
        <v>0.93718890463487958</v>
      </c>
      <c r="AA77" s="302">
        <v>0.94955979817606007</v>
      </c>
      <c r="AB77" s="302">
        <v>0.96209398751198416</v>
      </c>
      <c r="AC77" s="302">
        <v>0.97479362814714243</v>
      </c>
      <c r="AD77" s="302">
        <v>0.98766090403868478</v>
      </c>
      <c r="AE77" s="302">
        <v>1.0006980279719955</v>
      </c>
      <c r="AF77" s="302">
        <v>1.0139072419412258</v>
      </c>
      <c r="AG77" s="302">
        <v>1.0272908175348501</v>
      </c>
      <c r="AH77" s="302">
        <v>1.0408510563263103</v>
      </c>
      <c r="AI77" s="302">
        <v>1.0545902902698177</v>
      </c>
      <c r="AJ77" s="302">
        <v>1.0685108821013793</v>
      </c>
      <c r="AK77" s="302">
        <v>1.0826152257451176</v>
      </c>
      <c r="AL77" s="302">
        <v>1.0969057467249532</v>
      </c>
      <c r="AM77" s="302">
        <v>1.1113849025817226</v>
      </c>
      <c r="AN77" s="302">
        <v>1.1260551832958015</v>
      </c>
      <c r="AO77" s="302">
        <v>1.1409191117153061</v>
      </c>
      <c r="AP77" s="302">
        <v>1.1559792439899483</v>
      </c>
      <c r="AQ77" s="302">
        <v>1.1712381700106158</v>
      </c>
      <c r="AR77" s="302">
        <v>1.1866985138547561</v>
      </c>
      <c r="AS77" s="302">
        <v>1.202362934237639</v>
      </c>
      <c r="AT77" s="302">
        <v>1.2182341249695758</v>
      </c>
      <c r="AU77" s="302">
        <v>1.2343148154191743</v>
      </c>
      <c r="AV77" s="472">
        <f t="shared" ref="AV77:AV82" si="5">((AU77-O77)/O77)/32</f>
        <v>1.6294010971745029E-2</v>
      </c>
      <c r="AW77" s="513" t="s">
        <v>1468</v>
      </c>
    </row>
    <row r="78" spans="1:49" ht="12.9" customHeight="1">
      <c r="A78" s="46" t="s">
        <v>451</v>
      </c>
      <c r="B78" s="302">
        <v>0.03</v>
      </c>
      <c r="C78" s="302">
        <v>2.5000000000000001E-2</v>
      </c>
      <c r="D78" s="302">
        <v>0.02</v>
      </c>
      <c r="E78" s="302">
        <v>0.02</v>
      </c>
      <c r="F78" s="302">
        <v>1.4999999999999999E-2</v>
      </c>
      <c r="G78" s="302">
        <v>0.01</v>
      </c>
      <c r="H78" s="302">
        <v>0.01</v>
      </c>
      <c r="I78" s="302">
        <v>1.4999999999999999E-2</v>
      </c>
      <c r="J78" s="302">
        <v>1.3000000000000001E-2</v>
      </c>
      <c r="K78" s="302">
        <v>1.3000000000000001E-2</v>
      </c>
      <c r="L78" s="302">
        <v>1.1000000000000001E-2</v>
      </c>
      <c r="M78" s="302">
        <v>1.1145200000000003E-2</v>
      </c>
      <c r="N78" s="302">
        <v>1.1292316640000005E-2</v>
      </c>
      <c r="O78" s="302">
        <v>1.1441375219648007E-2</v>
      </c>
      <c r="P78" s="302">
        <v>1.1592401372547361E-2</v>
      </c>
      <c r="Q78" s="302">
        <v>1.1745421070664988E-2</v>
      </c>
      <c r="R78" s="302">
        <v>1.1900460628797767E-2</v>
      </c>
      <c r="S78" s="302">
        <v>1.2057546709097899E-2</v>
      </c>
      <c r="T78" s="302">
        <v>1.2216706325657993E-2</v>
      </c>
      <c r="U78" s="302">
        <v>1.237796684915668E-2</v>
      </c>
      <c r="V78" s="302">
        <v>1.2541356011565549E-2</v>
      </c>
      <c r="W78" s="302">
        <v>1.2706901910918215E-2</v>
      </c>
      <c r="X78" s="302">
        <v>1.2874633016142337E-2</v>
      </c>
      <c r="Y78" s="302">
        <v>1.3044578171955418E-2</v>
      </c>
      <c r="Z78" s="302">
        <v>1.3216766603825231E-2</v>
      </c>
      <c r="AA78" s="302">
        <v>1.3391227922995725E-2</v>
      </c>
      <c r="AB78" s="302">
        <v>1.3567992131579271E-2</v>
      </c>
      <c r="AC78" s="302">
        <v>1.3747089627716119E-2</v>
      </c>
      <c r="AD78" s="302">
        <v>1.3928551210801974E-2</v>
      </c>
      <c r="AE78" s="302">
        <v>1.4112408086784562E-2</v>
      </c>
      <c r="AF78" s="302">
        <v>1.429869187353012E-2</v>
      </c>
      <c r="AG78" s="302">
        <v>1.4487434606260719E-2</v>
      </c>
      <c r="AH78" s="302">
        <v>1.4678668743063361E-2</v>
      </c>
      <c r="AI78" s="302">
        <v>1.4872427170471799E-2</v>
      </c>
      <c r="AJ78" s="302">
        <v>1.5068743209122028E-2</v>
      </c>
      <c r="AK78" s="302">
        <v>1.526765061948244E-2</v>
      </c>
      <c r="AL78" s="302">
        <v>1.5469183607659609E-2</v>
      </c>
      <c r="AM78" s="302">
        <v>1.5673376831280717E-2</v>
      </c>
      <c r="AN78" s="302">
        <v>1.5880265405453623E-2</v>
      </c>
      <c r="AO78" s="302">
        <v>1.6089884908805613E-2</v>
      </c>
      <c r="AP78" s="302">
        <v>1.6302271389601847E-2</v>
      </c>
      <c r="AQ78" s="302">
        <v>1.6517461371944594E-2</v>
      </c>
      <c r="AR78" s="302">
        <v>1.6735491862054263E-2</v>
      </c>
      <c r="AS78" s="302">
        <v>1.6956400354633382E-2</v>
      </c>
      <c r="AT78" s="302">
        <v>1.7180224839314542E-2</v>
      </c>
      <c r="AU78" s="302">
        <v>1.7407003807193497E-2</v>
      </c>
      <c r="AV78" s="472">
        <f t="shared" si="5"/>
        <v>1.6294010971745054E-2</v>
      </c>
      <c r="AW78" s="513" t="s">
        <v>1468</v>
      </c>
    </row>
    <row r="79" spans="1:49" ht="12.9" customHeight="1">
      <c r="A79" s="46" t="s">
        <v>452</v>
      </c>
      <c r="B79" s="302">
        <v>0.1</v>
      </c>
      <c r="C79" s="302">
        <v>0.1</v>
      </c>
      <c r="D79" s="302">
        <v>0.1</v>
      </c>
      <c r="E79" s="302">
        <v>0.1</v>
      </c>
      <c r="F79" s="302">
        <v>0.1</v>
      </c>
      <c r="G79" s="302">
        <v>0.1</v>
      </c>
      <c r="H79" s="302">
        <v>0.1</v>
      </c>
      <c r="I79" s="302">
        <v>0.1</v>
      </c>
      <c r="J79" s="302">
        <v>0.09</v>
      </c>
      <c r="K79" s="302">
        <v>0.09</v>
      </c>
      <c r="L79" s="302">
        <v>0.08</v>
      </c>
      <c r="M79" s="302">
        <v>8.1056000000000003E-2</v>
      </c>
      <c r="N79" s="302">
        <v>8.2125939200000012E-2</v>
      </c>
      <c r="O79" s="302">
        <v>8.321000159744002E-2</v>
      </c>
      <c r="P79" s="302">
        <v>8.4308373618526236E-2</v>
      </c>
      <c r="Q79" s="302">
        <v>8.5421244150290787E-2</v>
      </c>
      <c r="R79" s="302">
        <v>8.6548804573074636E-2</v>
      </c>
      <c r="S79" s="302">
        <v>8.769124879343923E-2</v>
      </c>
      <c r="T79" s="302">
        <v>8.8848773277512644E-2</v>
      </c>
      <c r="U79" s="302">
        <v>9.0021577084775817E-2</v>
      </c>
      <c r="V79" s="302">
        <v>9.1209861902294867E-2</v>
      </c>
      <c r="W79" s="302">
        <v>9.2413832079405164E-2</v>
      </c>
      <c r="X79" s="302">
        <v>9.3633694662853317E-2</v>
      </c>
      <c r="Y79" s="302">
        <v>9.4869659432402997E-2</v>
      </c>
      <c r="Z79" s="302">
        <v>9.612193893691072E-2</v>
      </c>
      <c r="AA79" s="302">
        <v>9.7390748530877952E-2</v>
      </c>
      <c r="AB79" s="302">
        <v>9.8676306411485545E-2</v>
      </c>
      <c r="AC79" s="302">
        <v>9.9978833656117164E-2</v>
      </c>
      <c r="AD79" s="302">
        <v>0.10129855426037793</v>
      </c>
      <c r="AE79" s="302">
        <v>0.10263569517661493</v>
      </c>
      <c r="AF79" s="302">
        <v>0.10399048635294626</v>
      </c>
      <c r="AG79" s="302">
        <v>0.10536316077280516</v>
      </c>
      <c r="AH79" s="302">
        <v>0.1067539544950062</v>
      </c>
      <c r="AI79" s="302">
        <v>0.10816310669434029</v>
      </c>
      <c r="AJ79" s="302">
        <v>0.10959085970270559</v>
      </c>
      <c r="AK79" s="302">
        <v>0.11103745905078131</v>
      </c>
      <c r="AL79" s="302">
        <v>0.11250315351025164</v>
      </c>
      <c r="AM79" s="302">
        <v>0.11398819513658698</v>
      </c>
      <c r="AN79" s="302">
        <v>0.11549283931238993</v>
      </c>
      <c r="AO79" s="302">
        <v>0.1170173447913135</v>
      </c>
      <c r="AP79" s="302">
        <v>0.11856197374255885</v>
      </c>
      <c r="AQ79" s="302">
        <v>0.12012699179596063</v>
      </c>
      <c r="AR79" s="302">
        <v>0.12171266808766733</v>
      </c>
      <c r="AS79" s="302">
        <v>0.12331927530642454</v>
      </c>
      <c r="AT79" s="302">
        <v>0.12494708974046936</v>
      </c>
      <c r="AU79" s="302">
        <v>0.12659639132504358</v>
      </c>
      <c r="AV79" s="472">
        <f t="shared" si="5"/>
        <v>1.6294010971745054E-2</v>
      </c>
      <c r="AW79" s="513" t="s">
        <v>1468</v>
      </c>
    </row>
    <row r="80" spans="1:49" ht="12.9" customHeight="1">
      <c r="A80" s="46" t="s">
        <v>453</v>
      </c>
      <c r="B80" s="302">
        <v>2.1</v>
      </c>
      <c r="C80" s="302">
        <v>2.2000000000000002</v>
      </c>
      <c r="D80" s="302">
        <v>2.2000000000000002</v>
      </c>
      <c r="E80" s="302">
        <v>2.2000000000000002</v>
      </c>
      <c r="F80" s="302">
        <v>2.2999999999999998</v>
      </c>
      <c r="G80" s="302">
        <v>2.5</v>
      </c>
      <c r="H80" s="302">
        <v>2.6</v>
      </c>
      <c r="I80" s="302">
        <v>2.36</v>
      </c>
      <c r="J80" s="302">
        <v>2.5799999999999996</v>
      </c>
      <c r="K80" s="302">
        <v>2.5799999999999996</v>
      </c>
      <c r="L80" s="302">
        <v>2.8220000000000001</v>
      </c>
      <c r="M80" s="522">
        <v>2.8990834687246143</v>
      </c>
      <c r="N80" s="522">
        <v>2.978272487112807</v>
      </c>
      <c r="O80" s="522">
        <v>3.0596245686555918</v>
      </c>
      <c r="P80" s="522">
        <v>3.1431987978359692</v>
      </c>
      <c r="Q80" s="522">
        <v>3.2290558730408714</v>
      </c>
      <c r="R80" s="522">
        <v>3.3172581506452579</v>
      </c>
      <c r="S80" s="522">
        <v>3.4078696903003731</v>
      </c>
      <c r="T80" s="522">
        <v>3.5009563014590652</v>
      </c>
      <c r="U80" s="522">
        <v>3.5965855911719502</v>
      </c>
      <c r="V80" s="522">
        <v>3.694827013189137</v>
      </c>
      <c r="W80" s="522">
        <v>3.7957519184031785</v>
      </c>
      <c r="X80" s="522">
        <v>3.899433606669878</v>
      </c>
      <c r="Y80" s="522">
        <v>4.0059473800445939</v>
      </c>
      <c r="Z80" s="522">
        <v>4.1153705974727011</v>
      </c>
      <c r="AA80" s="522">
        <v>4.227782730973936</v>
      </c>
      <c r="AB80" s="522">
        <v>4.3432654233614247</v>
      </c>
      <c r="AC80" s="522">
        <v>4.4619025475373206</v>
      </c>
      <c r="AD80" s="522">
        <v>4.5837802674081107</v>
      </c>
      <c r="AE80" s="522">
        <v>4.708987100463836</v>
      </c>
      <c r="AF80" s="522">
        <v>4.8376139820666761</v>
      </c>
      <c r="AG80" s="522">
        <v>4.9697543314955892</v>
      </c>
      <c r="AH80" s="522">
        <v>5.1055041197949711</v>
      </c>
      <c r="AI80" s="522">
        <v>5.2449619394766174</v>
      </c>
      <c r="AJ80" s="522">
        <v>5.3882290761256035</v>
      </c>
      <c r="AK80" s="522">
        <v>5.5354095819620976</v>
      </c>
      <c r="AL80" s="522">
        <v>5.6866103514125248</v>
      </c>
      <c r="AM80" s="522">
        <v>5.8419411987449754</v>
      </c>
      <c r="AN80" s="522">
        <v>6.0015149378252355</v>
      </c>
      <c r="AO80" s="522">
        <v>6.1654474640513719</v>
      </c>
      <c r="AP80" s="522">
        <v>6.3338578385263737</v>
      </c>
      <c r="AQ80" s="522">
        <v>6.5068683745299882</v>
      </c>
      <c r="AR80" s="522">
        <v>6.6846047263525481</v>
      </c>
      <c r="AS80" s="522">
        <v>6.867195980555314</v>
      </c>
      <c r="AT80" s="522">
        <v>7.0547747497236104</v>
      </c>
      <c r="AU80" s="522">
        <v>7.2474772687808455</v>
      </c>
      <c r="AV80" s="472">
        <f t="shared" si="5"/>
        <v>4.2773351416908974E-2</v>
      </c>
      <c r="AW80" s="40" t="s">
        <v>1466</v>
      </c>
    </row>
    <row r="81" spans="1:49" ht="12.9" customHeight="1">
      <c r="A81" s="46" t="s">
        <v>454</v>
      </c>
      <c r="B81" s="302">
        <v>0.1</v>
      </c>
      <c r="C81" s="302">
        <v>0.1</v>
      </c>
      <c r="D81" s="302">
        <v>0.1</v>
      </c>
      <c r="E81" s="302">
        <v>0.1</v>
      </c>
      <c r="F81" s="302">
        <v>0.1</v>
      </c>
      <c r="G81" s="302">
        <v>0.1</v>
      </c>
      <c r="H81" s="302">
        <v>0.1</v>
      </c>
      <c r="I81" s="302">
        <v>0.1</v>
      </c>
      <c r="J81" s="302">
        <v>9.1999999999999998E-2</v>
      </c>
      <c r="K81" s="302">
        <v>9.1999999999999998E-2</v>
      </c>
      <c r="L81" s="302">
        <v>8.6000000000000007E-2</v>
      </c>
      <c r="M81" s="302">
        <v>8.713520000000001E-2</v>
      </c>
      <c r="N81" s="302">
        <v>8.828538464000002E-2</v>
      </c>
      <c r="O81" s="302">
        <v>8.9450751717248034E-2</v>
      </c>
      <c r="P81" s="302">
        <v>9.0631501639915721E-2</v>
      </c>
      <c r="Q81" s="302">
        <v>9.1827837461562617E-2</v>
      </c>
      <c r="R81" s="302">
        <v>9.3039964916055248E-2</v>
      </c>
      <c r="S81" s="302">
        <v>9.4268092452947191E-2</v>
      </c>
      <c r="T81" s="302">
        <v>9.5512431273326107E-2</v>
      </c>
      <c r="U81" s="302">
        <v>9.6773195366134018E-2</v>
      </c>
      <c r="V81" s="302">
        <v>9.8050601544967003E-2</v>
      </c>
      <c r="W81" s="302">
        <v>9.9344869485360573E-2</v>
      </c>
      <c r="X81" s="302">
        <v>0.10065622176256735</v>
      </c>
      <c r="Y81" s="302">
        <v>0.10198488388983325</v>
      </c>
      <c r="Z81" s="302">
        <v>0.10333108435717905</v>
      </c>
      <c r="AA81" s="302">
        <v>0.10469505467069383</v>
      </c>
      <c r="AB81" s="302">
        <v>0.10607702939234701</v>
      </c>
      <c r="AC81" s="302">
        <v>0.107477246180326</v>
      </c>
      <c r="AD81" s="302">
        <v>0.10889594582990632</v>
      </c>
      <c r="AE81" s="302">
        <v>0.11033337231486109</v>
      </c>
      <c r="AF81" s="302">
        <v>0.11178977282941727</v>
      </c>
      <c r="AG81" s="302">
        <v>0.11326539783076559</v>
      </c>
      <c r="AH81" s="302">
        <v>0.11476050108213171</v>
      </c>
      <c r="AI81" s="302">
        <v>0.11627533969641586</v>
      </c>
      <c r="AJ81" s="302">
        <v>0.11781017418040857</v>
      </c>
      <c r="AK81" s="302">
        <v>0.11936526847958998</v>
      </c>
      <c r="AL81" s="302">
        <v>0.12094089002352057</v>
      </c>
      <c r="AM81" s="302">
        <v>0.12253730977183105</v>
      </c>
      <c r="AN81" s="302">
        <v>0.12415480226081924</v>
      </c>
      <c r="AO81" s="302">
        <v>0.12579364565066206</v>
      </c>
      <c r="AP81" s="302">
        <v>0.1274541217732508</v>
      </c>
      <c r="AQ81" s="302">
        <v>0.12913651618065772</v>
      </c>
      <c r="AR81" s="302">
        <v>0.13084111819424241</v>
      </c>
      <c r="AS81" s="302">
        <v>0.13256822095440643</v>
      </c>
      <c r="AT81" s="302">
        <v>0.13431812147100461</v>
      </c>
      <c r="AU81" s="302">
        <v>0.13609112067442189</v>
      </c>
      <c r="AV81" s="472">
        <f t="shared" si="5"/>
        <v>1.6294010971745064E-2</v>
      </c>
      <c r="AW81" s="513" t="s">
        <v>1468</v>
      </c>
    </row>
    <row r="82" spans="1:49" ht="12.9" customHeight="1">
      <c r="A82" s="46" t="s">
        <v>455</v>
      </c>
      <c r="B82" s="302">
        <v>0.19</v>
      </c>
      <c r="C82" s="302">
        <v>0.18</v>
      </c>
      <c r="D82" s="302">
        <v>0.17</v>
      </c>
      <c r="E82" s="302">
        <v>0.16</v>
      </c>
      <c r="F82" s="302">
        <v>0.15</v>
      </c>
      <c r="G82" s="302">
        <v>0.14000000000000001</v>
      </c>
      <c r="H82" s="302">
        <v>0.13</v>
      </c>
      <c r="I82" s="302">
        <v>0.15</v>
      </c>
      <c r="J82" s="302">
        <v>0.14000000000000001</v>
      </c>
      <c r="K82" s="302">
        <v>0.14000000000000001</v>
      </c>
      <c r="L82" s="302">
        <v>0.13</v>
      </c>
      <c r="M82" s="302">
        <v>0.13171600000000003</v>
      </c>
      <c r="N82" s="302">
        <v>0.13345465120000005</v>
      </c>
      <c r="O82" s="302">
        <v>0.13521625259584005</v>
      </c>
      <c r="P82" s="302">
        <v>0.13700110713010516</v>
      </c>
      <c r="Q82" s="302">
        <v>0.13880952174422256</v>
      </c>
      <c r="R82" s="302">
        <v>0.14064180743124632</v>
      </c>
      <c r="S82" s="302">
        <v>0.14249827928933878</v>
      </c>
      <c r="T82" s="302">
        <v>0.14437925657595807</v>
      </c>
      <c r="U82" s="302">
        <v>0.14628506276276074</v>
      </c>
      <c r="V82" s="302">
        <v>0.14821602559122921</v>
      </c>
      <c r="W82" s="302">
        <v>0.15017247712903345</v>
      </c>
      <c r="X82" s="302">
        <v>0.1521547538271367</v>
      </c>
      <c r="Y82" s="302">
        <v>0.15416319657765493</v>
      </c>
      <c r="Z82" s="302">
        <v>0.15619815077247998</v>
      </c>
      <c r="AA82" s="302">
        <v>0.15825996636267672</v>
      </c>
      <c r="AB82" s="302">
        <v>0.16034899791866408</v>
      </c>
      <c r="AC82" s="302">
        <v>0.16246560469119045</v>
      </c>
      <c r="AD82" s="302">
        <v>0.16461015067311419</v>
      </c>
      <c r="AE82" s="302">
        <v>0.1667830046619993</v>
      </c>
      <c r="AF82" s="302">
        <v>0.16898454032353771</v>
      </c>
      <c r="AG82" s="302">
        <v>0.17121513625580842</v>
      </c>
      <c r="AH82" s="302">
        <v>0.17347517605438512</v>
      </c>
      <c r="AI82" s="302">
        <v>0.17576504837830301</v>
      </c>
      <c r="AJ82" s="302">
        <v>0.17808514701689662</v>
      </c>
      <c r="AK82" s="302">
        <v>0.18043587095751967</v>
      </c>
      <c r="AL82" s="302">
        <v>0.18281762445415894</v>
      </c>
      <c r="AM82" s="302">
        <v>0.18523081709695385</v>
      </c>
      <c r="AN82" s="302">
        <v>0.18767586388263366</v>
      </c>
      <c r="AO82" s="302">
        <v>0.19015318528588443</v>
      </c>
      <c r="AP82" s="302">
        <v>0.19266320733165812</v>
      </c>
      <c r="AQ82" s="302">
        <v>0.19520636166843602</v>
      </c>
      <c r="AR82" s="302">
        <v>0.19778308564245939</v>
      </c>
      <c r="AS82" s="302">
        <v>0.20039382237293987</v>
      </c>
      <c r="AT82" s="302">
        <v>0.2030390208282627</v>
      </c>
      <c r="AU82" s="302">
        <v>0.20571913590319579</v>
      </c>
      <c r="AV82" s="472">
        <f t="shared" si="5"/>
        <v>1.6294010971745043E-2</v>
      </c>
      <c r="AW82" s="513" t="s">
        <v>1468</v>
      </c>
    </row>
    <row r="83" spans="1:49" ht="12.9" customHeight="1">
      <c r="K83" s="1"/>
      <c r="L83" s="1"/>
      <c r="M83" s="178"/>
      <c r="N83" s="178"/>
      <c r="O83" s="178"/>
      <c r="AL83" s="193"/>
      <c r="AM83" s="193"/>
      <c r="AN83" s="193"/>
      <c r="AO83" s="193"/>
      <c r="AP83" s="193"/>
      <c r="AQ83" s="193"/>
      <c r="AR83" s="193"/>
      <c r="AS83" s="193"/>
      <c r="AT83" s="193"/>
      <c r="AU83" s="193"/>
    </row>
    <row r="84" spans="1:49" ht="12.9" customHeight="1">
      <c r="K84" s="1"/>
      <c r="L84" s="1"/>
      <c r="M84" s="178"/>
      <c r="N84"/>
      <c r="O84"/>
      <c r="P84"/>
      <c r="Q84"/>
    </row>
    <row r="85" spans="1:49" ht="12.9" customHeight="1">
      <c r="K85" s="1"/>
      <c r="L85" s="1"/>
      <c r="M85" s="178"/>
      <c r="N85" s="178"/>
      <c r="O85" s="178"/>
    </row>
    <row r="86" spans="1:49" ht="12.9"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row>
    <row r="87" spans="1:49" ht="12.9"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row>
  </sheetData>
  <hyperlinks>
    <hyperlink ref="D1" location="Cover!B16" display="return to TOC"/>
  </hyperlink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sheetPr>
  <dimension ref="A1:AW88"/>
  <sheetViews>
    <sheetView workbookViewId="0">
      <pane xSplit="1" ySplit="6" topLeftCell="B7" activePane="bottomRight" state="frozen"/>
      <selection pane="topRight" activeCell="B1" sqref="B1"/>
      <selection pane="bottomLeft" activeCell="A7" sqref="A7"/>
      <selection pane="bottomRight" activeCell="A32" sqref="A32"/>
    </sheetView>
  </sheetViews>
  <sheetFormatPr defaultColWidth="9.33203125" defaultRowHeight="12"/>
  <cols>
    <col min="1" max="1" width="35.6640625" style="40" customWidth="1"/>
    <col min="2" max="37" width="8.88671875" style="40" customWidth="1"/>
    <col min="38" max="16384" width="9.33203125" style="40"/>
  </cols>
  <sheetData>
    <row r="1" spans="1:48" s="280" customFormat="1" ht="26.15" customHeight="1">
      <c r="A1" s="281" t="s">
        <v>420</v>
      </c>
      <c r="D1" s="295" t="s">
        <v>1216</v>
      </c>
      <c r="I1" s="44"/>
      <c r="J1" s="165"/>
    </row>
    <row r="2" spans="1:48" s="280" customFormat="1" ht="12.9" customHeight="1">
      <c r="A2" s="43" t="s">
        <v>414</v>
      </c>
      <c r="C2" s="41" t="s">
        <v>950</v>
      </c>
      <c r="I2" s="44"/>
      <c r="J2" s="165"/>
    </row>
    <row r="3" spans="1:48" s="280" customFormat="1" ht="12.9" customHeight="1">
      <c r="A3" s="43" t="s">
        <v>357</v>
      </c>
      <c r="C3" s="41" t="s">
        <v>313</v>
      </c>
      <c r="H3" s="178"/>
      <c r="I3" s="44"/>
      <c r="J3" s="165"/>
      <c r="K3" s="178"/>
      <c r="AV3" s="253" t="s">
        <v>1394</v>
      </c>
    </row>
    <row r="4" spans="1:48" s="280" customFormat="1" ht="12.9" customHeight="1">
      <c r="B4" s="280" t="s">
        <v>19</v>
      </c>
      <c r="C4" s="280" t="s">
        <v>19</v>
      </c>
      <c r="D4" s="280" t="s">
        <v>19</v>
      </c>
      <c r="E4" s="280" t="s">
        <v>19</v>
      </c>
      <c r="F4" s="280" t="s">
        <v>19</v>
      </c>
      <c r="G4" s="280" t="s">
        <v>19</v>
      </c>
      <c r="I4" s="44"/>
      <c r="J4" s="165"/>
      <c r="AV4" s="471" t="s">
        <v>1217</v>
      </c>
    </row>
    <row r="5" spans="1:48" s="280" customFormat="1" ht="12.9" customHeight="1">
      <c r="A5" s="282" t="s">
        <v>20</v>
      </c>
      <c r="B5" s="282">
        <v>2005</v>
      </c>
      <c r="C5" s="282">
        <v>2006</v>
      </c>
      <c r="D5" s="282">
        <v>2007</v>
      </c>
      <c r="E5" s="282">
        <v>2008</v>
      </c>
      <c r="F5" s="282">
        <v>2009</v>
      </c>
      <c r="G5" s="282">
        <v>2010</v>
      </c>
      <c r="H5" s="282">
        <v>2011</v>
      </c>
      <c r="I5" s="282">
        <v>2012</v>
      </c>
      <c r="J5" s="282">
        <v>2013</v>
      </c>
      <c r="K5" s="282">
        <v>2014</v>
      </c>
      <c r="L5" s="282">
        <v>2015</v>
      </c>
      <c r="M5" s="282">
        <v>2016</v>
      </c>
      <c r="N5" s="282">
        <v>2017</v>
      </c>
      <c r="O5" s="282">
        <v>2018</v>
      </c>
      <c r="P5" s="282">
        <v>2019</v>
      </c>
      <c r="Q5" s="282">
        <v>2020</v>
      </c>
      <c r="R5" s="282">
        <v>2021</v>
      </c>
      <c r="S5" s="282">
        <v>2022</v>
      </c>
      <c r="T5" s="282">
        <v>2023</v>
      </c>
      <c r="U5" s="282">
        <v>2024</v>
      </c>
      <c r="V5" s="282">
        <v>2025</v>
      </c>
      <c r="W5" s="282">
        <v>2026</v>
      </c>
      <c r="X5" s="282">
        <v>2027</v>
      </c>
      <c r="Y5" s="282">
        <v>2028</v>
      </c>
      <c r="Z5" s="282">
        <v>2029</v>
      </c>
      <c r="AA5" s="282">
        <v>2030</v>
      </c>
      <c r="AB5" s="282">
        <v>2031</v>
      </c>
      <c r="AC5" s="282">
        <v>2032</v>
      </c>
      <c r="AD5" s="282">
        <v>2033</v>
      </c>
      <c r="AE5" s="282">
        <v>2034</v>
      </c>
      <c r="AF5" s="282">
        <v>2035</v>
      </c>
      <c r="AG5" s="282">
        <v>2036</v>
      </c>
      <c r="AH5" s="282">
        <v>2037</v>
      </c>
      <c r="AI5" s="282">
        <v>2038</v>
      </c>
      <c r="AJ5" s="282">
        <v>2039</v>
      </c>
      <c r="AK5" s="282">
        <v>2040</v>
      </c>
      <c r="AL5" s="409">
        <v>2041</v>
      </c>
      <c r="AM5" s="409">
        <v>2042</v>
      </c>
      <c r="AN5" s="409">
        <v>2043</v>
      </c>
      <c r="AO5" s="409">
        <v>2044</v>
      </c>
      <c r="AP5" s="409">
        <v>2045</v>
      </c>
      <c r="AQ5" s="409">
        <v>2046</v>
      </c>
      <c r="AR5" s="409">
        <v>2047</v>
      </c>
      <c r="AS5" s="409">
        <v>2048</v>
      </c>
      <c r="AT5" s="409">
        <v>2049</v>
      </c>
      <c r="AU5" s="409">
        <v>2050</v>
      </c>
      <c r="AV5" s="254" t="s">
        <v>1218</v>
      </c>
    </row>
    <row r="6" spans="1:48" s="280" customFormat="1" ht="12.9" customHeight="1">
      <c r="A6" s="280" t="s">
        <v>76</v>
      </c>
      <c r="I6" s="44"/>
      <c r="J6" s="165"/>
      <c r="K6" s="178"/>
      <c r="L6" s="178"/>
      <c r="M6" s="142"/>
      <c r="N6" s="142"/>
      <c r="O6" s="142"/>
    </row>
    <row r="7" spans="1:48" s="280" customFormat="1" ht="12.9" customHeight="1">
      <c r="A7" s="280" t="s">
        <v>22</v>
      </c>
      <c r="B7" s="302">
        <v>5.8942762385447468E-3</v>
      </c>
      <c r="C7" s="302">
        <v>6.2467946001240303E-3</v>
      </c>
      <c r="D7" s="302">
        <v>7.438418335187668E-3</v>
      </c>
      <c r="E7" s="302">
        <v>7.3868315449196285E-3</v>
      </c>
      <c r="F7" s="302">
        <v>8.1507128623502095E-3</v>
      </c>
      <c r="G7" s="302">
        <v>8.8649914968307545E-3</v>
      </c>
      <c r="H7" s="302">
        <v>8.755865594340672E-3</v>
      </c>
      <c r="I7" s="302">
        <v>6.7459648812051402E-3</v>
      </c>
      <c r="J7" s="302">
        <v>5.5555004904042334E-3</v>
      </c>
      <c r="K7" s="302">
        <v>6.0346624077015978E-3</v>
      </c>
      <c r="L7" s="302">
        <v>6.9229472539708743E-3</v>
      </c>
      <c r="M7" s="302">
        <v>6.9436813729269577E-3</v>
      </c>
      <c r="N7" s="302">
        <v>5.783433359724143E-3</v>
      </c>
      <c r="O7" s="302">
        <v>6.5909187589264697E-3</v>
      </c>
      <c r="P7" s="302">
        <v>6.3148619437915386E-3</v>
      </c>
      <c r="Q7" s="302">
        <v>6.1264407790678028E-3</v>
      </c>
      <c r="R7" s="302">
        <v>5.9708562484461778E-3</v>
      </c>
      <c r="S7" s="302">
        <v>5.8365402359851397E-3</v>
      </c>
      <c r="T7" s="302">
        <v>5.7200609039088444E-3</v>
      </c>
      <c r="U7" s="302">
        <v>5.6094407262705891E-3</v>
      </c>
      <c r="V7" s="302">
        <v>5.5067211112328762E-3</v>
      </c>
      <c r="W7" s="302">
        <v>5.4129275952197776E-3</v>
      </c>
      <c r="X7" s="302">
        <v>5.3331763194259764E-3</v>
      </c>
      <c r="Y7" s="302">
        <v>5.2699047529333447E-3</v>
      </c>
      <c r="Z7" s="302">
        <v>5.1857064305224666E-3</v>
      </c>
      <c r="AA7" s="302">
        <v>5.1277865709920128E-3</v>
      </c>
      <c r="AB7" s="302">
        <v>5.0813165418971146E-3</v>
      </c>
      <c r="AC7" s="302">
        <v>5.0439764126394577E-3</v>
      </c>
      <c r="AD7" s="302">
        <v>5.0111555472144879E-3</v>
      </c>
      <c r="AE7" s="302">
        <v>4.9824013789623502E-3</v>
      </c>
      <c r="AF7" s="302">
        <v>4.9581231660478266E-3</v>
      </c>
      <c r="AG7" s="302">
        <v>4.9367721383631836E-3</v>
      </c>
      <c r="AH7" s="302">
        <v>4.917829129233958E-3</v>
      </c>
      <c r="AI7" s="302">
        <v>4.9040364202574422E-3</v>
      </c>
      <c r="AJ7" s="302">
        <v>4.8926233037143857E-3</v>
      </c>
      <c r="AK7" s="302">
        <v>4.8846948804168013E-3</v>
      </c>
      <c r="AL7" s="302">
        <v>4.8808603501496409E-3</v>
      </c>
      <c r="AM7" s="302">
        <v>4.8773958413228383E-3</v>
      </c>
      <c r="AN7" s="302">
        <v>4.876690750303378E-3</v>
      </c>
      <c r="AO7" s="302">
        <v>4.8757529690372737E-3</v>
      </c>
      <c r="AP7" s="302">
        <v>4.8778245365861178E-3</v>
      </c>
      <c r="AQ7" s="302">
        <v>4.8824017349017807E-3</v>
      </c>
      <c r="AR7" s="302">
        <v>4.8896697635279658E-3</v>
      </c>
      <c r="AS7" s="302">
        <v>4.8977556787680411E-3</v>
      </c>
      <c r="AT7" s="302">
        <v>4.9076616466368862E-3</v>
      </c>
      <c r="AU7" s="302">
        <v>4.9193904395878844E-3</v>
      </c>
      <c r="AV7" s="472">
        <f>((AU7-O7)/O7)/32</f>
        <v>-7.9253381645139377E-3</v>
      </c>
    </row>
    <row r="8" spans="1:48" s="280" customFormat="1" ht="12.9" customHeight="1">
      <c r="A8" s="280" t="s">
        <v>54</v>
      </c>
      <c r="B8" s="302">
        <v>5.8034862224497956E-4</v>
      </c>
      <c r="C8" s="302">
        <v>6.231536076880495E-4</v>
      </c>
      <c r="D8" s="302">
        <v>3.5001391495894139E-4</v>
      </c>
      <c r="E8" s="302">
        <v>2.6297341758819938E-4</v>
      </c>
      <c r="F8" s="302">
        <v>2.7778882139598525E-4</v>
      </c>
      <c r="G8" s="302">
        <v>2.5186186473235997E-4</v>
      </c>
      <c r="H8" s="302">
        <v>2.2037913164081496E-4</v>
      </c>
      <c r="I8" s="302">
        <v>1.8519254759732348E-4</v>
      </c>
      <c r="J8" s="302">
        <v>0</v>
      </c>
      <c r="K8" s="302">
        <v>5.5187379184002392E-5</v>
      </c>
      <c r="L8" s="302">
        <v>7.1113938277372215E-5</v>
      </c>
      <c r="M8" s="302">
        <v>3.0731504072374513E-5</v>
      </c>
      <c r="N8" s="302">
        <v>1.9748890306979102E-5</v>
      </c>
      <c r="O8" s="302">
        <v>2.7517151868173095E-5</v>
      </c>
      <c r="P8" s="302">
        <v>2.4728730501898353E-5</v>
      </c>
      <c r="Q8" s="302">
        <v>2.3669471773277677E-5</v>
      </c>
      <c r="R8" s="302">
        <v>2.243326685347065E-5</v>
      </c>
      <c r="S8" s="302">
        <v>2.1248985590055807E-5</v>
      </c>
      <c r="T8" s="302">
        <v>2.0281590144307972E-5</v>
      </c>
      <c r="U8" s="302">
        <v>1.9200021357764467E-5</v>
      </c>
      <c r="V8" s="302">
        <v>1.8280507405607722E-5</v>
      </c>
      <c r="W8" s="302">
        <v>1.7524889891578839E-5</v>
      </c>
      <c r="X8" s="302">
        <v>1.6821732926443624E-5</v>
      </c>
      <c r="Y8" s="302">
        <v>1.6116450801261584E-5</v>
      </c>
      <c r="Z8" s="302">
        <v>1.541220588764166E-5</v>
      </c>
      <c r="AA8" s="302">
        <v>1.4762147408003317E-5</v>
      </c>
      <c r="AB8" s="302">
        <v>1.4110795697675536E-5</v>
      </c>
      <c r="AC8" s="302">
        <v>1.3564035127785418E-5</v>
      </c>
      <c r="AD8" s="302">
        <v>1.2956639023010308E-5</v>
      </c>
      <c r="AE8" s="302">
        <v>1.240713408593014E-5</v>
      </c>
      <c r="AF8" s="302">
        <v>1.1856715373279086E-5</v>
      </c>
      <c r="AG8" s="302">
        <v>1.1363787168623386E-5</v>
      </c>
      <c r="AH8" s="302">
        <v>1.0869102026827263E-5</v>
      </c>
      <c r="AI8" s="302">
        <v>1.037301612910235E-5</v>
      </c>
      <c r="AJ8" s="302">
        <v>9.9331521643406264E-6</v>
      </c>
      <c r="AK8" s="302">
        <v>9.4929607049627209E-6</v>
      </c>
      <c r="AL8" s="302">
        <v>9.1085018334868579E-6</v>
      </c>
      <c r="AM8" s="302">
        <v>8.660311595366361E-6</v>
      </c>
      <c r="AN8" s="302">
        <v>8.3216936748702357E-6</v>
      </c>
      <c r="AO8" s="302">
        <v>7.9244438324167424E-6</v>
      </c>
      <c r="AP8" s="302">
        <v>7.5816218534427678E-6</v>
      </c>
      <c r="AQ8" s="302">
        <v>7.2375263944270676E-6</v>
      </c>
      <c r="AR8" s="302">
        <v>6.8923838446234193E-6</v>
      </c>
      <c r="AS8" s="302">
        <v>6.5465910405632132E-6</v>
      </c>
      <c r="AT8" s="302">
        <v>6.2561522806196478E-6</v>
      </c>
      <c r="AU8" s="302">
        <v>5.9652710031892435E-6</v>
      </c>
      <c r="AV8" s="472">
        <f t="shared" ref="AV8:AV12" si="0">((AU8-O8)/O8)/32</f>
        <v>-2.4475508230549288E-2</v>
      </c>
    </row>
    <row r="9" spans="1:48" s="280" customFormat="1" ht="12.9" customHeight="1">
      <c r="A9" s="280" t="s">
        <v>23</v>
      </c>
      <c r="B9" s="302">
        <v>6.8304536086320998E-3</v>
      </c>
      <c r="C9" s="302">
        <v>7.422900146842013E-3</v>
      </c>
      <c r="D9" s="302">
        <v>5.5950143999999999E-3</v>
      </c>
      <c r="E9" s="302">
        <v>5.7114527999999999E-3</v>
      </c>
      <c r="F9" s="302">
        <v>6.0786816E-3</v>
      </c>
      <c r="G9" s="302">
        <v>5.4427488000000001E-3</v>
      </c>
      <c r="H9" s="302">
        <v>4.8157727999999997E-3</v>
      </c>
      <c r="I9" s="302">
        <v>4.1798399999999998E-3</v>
      </c>
      <c r="J9" s="302">
        <v>3.2841599999999995E-3</v>
      </c>
      <c r="K9" s="302">
        <v>3.5397273600000002E-3</v>
      </c>
      <c r="L9" s="302">
        <v>3.75409344E-3</v>
      </c>
      <c r="M9" s="302">
        <v>3.4485312173642047E-3</v>
      </c>
      <c r="N9" s="302">
        <v>2.7954720839123755E-3</v>
      </c>
      <c r="O9" s="302">
        <v>2.6713531233866659E-3</v>
      </c>
      <c r="P9" s="302">
        <v>2.5966285593319134E-3</v>
      </c>
      <c r="Q9" s="302">
        <v>2.5152110939818057E-3</v>
      </c>
      <c r="R9" s="302">
        <v>2.4450488112209871E-3</v>
      </c>
      <c r="S9" s="302">
        <v>2.3772408820645985E-3</v>
      </c>
      <c r="T9" s="302">
        <v>2.3133723767998033E-3</v>
      </c>
      <c r="U9" s="302">
        <v>2.244979623232455E-3</v>
      </c>
      <c r="V9" s="302">
        <v>2.1816211196443815E-3</v>
      </c>
      <c r="W9" s="302">
        <v>2.1262916113928975E-3</v>
      </c>
      <c r="X9" s="302">
        <v>2.0718059199056312E-3</v>
      </c>
      <c r="Y9" s="302">
        <v>2.0211011011253576E-3</v>
      </c>
      <c r="Z9" s="302">
        <v>1.9700409709366858E-3</v>
      </c>
      <c r="AA9" s="302">
        <v>1.9262803935016517E-3</v>
      </c>
      <c r="AB9" s="302">
        <v>1.8838751017870928E-3</v>
      </c>
      <c r="AC9" s="302">
        <v>1.8414749607015076E-3</v>
      </c>
      <c r="AD9" s="302">
        <v>1.7998937521470772E-3</v>
      </c>
      <c r="AE9" s="302">
        <v>1.7606427642526182E-3</v>
      </c>
      <c r="AF9" s="302">
        <v>1.7221751762237312E-3</v>
      </c>
      <c r="AG9" s="302">
        <v>1.683422721075263E-3</v>
      </c>
      <c r="AH9" s="302">
        <v>1.6459017543923504E-3</v>
      </c>
      <c r="AI9" s="302">
        <v>1.6105216749409236E-3</v>
      </c>
      <c r="AJ9" s="302">
        <v>1.575800314455702E-3</v>
      </c>
      <c r="AK9" s="302">
        <v>1.5428123658585199E-3</v>
      </c>
      <c r="AL9" s="302">
        <v>1.510104341311332E-3</v>
      </c>
      <c r="AM9" s="302">
        <v>1.4770513035014736E-3</v>
      </c>
      <c r="AN9" s="302">
        <v>1.4440830087143293E-3</v>
      </c>
      <c r="AO9" s="302">
        <v>1.4118261350390948E-3</v>
      </c>
      <c r="AP9" s="302">
        <v>1.3800753282548735E-3</v>
      </c>
      <c r="AQ9" s="302">
        <v>1.3500467407160266E-3</v>
      </c>
      <c r="AR9" s="302">
        <v>1.319174417760353E-3</v>
      </c>
      <c r="AS9" s="302">
        <v>1.2889406528137296E-3</v>
      </c>
      <c r="AT9" s="302">
        <v>1.2607714099049866E-3</v>
      </c>
      <c r="AU9" s="302">
        <v>1.2324025263966373E-3</v>
      </c>
      <c r="AV9" s="472">
        <f t="shared" si="0"/>
        <v>-1.6833119426356572E-2</v>
      </c>
    </row>
    <row r="10" spans="1:48" s="280" customFormat="1" ht="12.9" customHeight="1">
      <c r="A10" s="280" t="s">
        <v>24</v>
      </c>
      <c r="B10" s="302">
        <v>7.5801999999999994E-2</v>
      </c>
      <c r="C10" s="302">
        <v>7.7752000000000002E-2</v>
      </c>
      <c r="D10" s="302">
        <v>8.2187999999999997E-2</v>
      </c>
      <c r="E10" s="302">
        <v>8.7054000000000006E-2</v>
      </c>
      <c r="F10" s="302">
        <v>8.6681999999999995E-2</v>
      </c>
      <c r="G10" s="302">
        <v>7.8028E-2</v>
      </c>
      <c r="H10" s="302">
        <v>8.7884000000000004E-2</v>
      </c>
      <c r="I10" s="302">
        <v>8.2237000000000005E-2</v>
      </c>
      <c r="J10" s="302">
        <v>8.6128999999999997E-2</v>
      </c>
      <c r="K10" s="302">
        <v>8.2249000000000003E-2</v>
      </c>
      <c r="L10" s="302">
        <v>7.6475000000000001E-2</v>
      </c>
      <c r="M10" s="302">
        <v>8.2328999999999999E-2</v>
      </c>
      <c r="N10" s="302">
        <v>8.4165415194799975E-2</v>
      </c>
      <c r="O10" s="302">
        <v>8.5532732448052901E-2</v>
      </c>
      <c r="P10" s="302">
        <v>8.4441679934885439E-2</v>
      </c>
      <c r="Q10" s="302">
        <v>8.4775131433829115E-2</v>
      </c>
      <c r="R10" s="302">
        <v>8.503970256426191E-2</v>
      </c>
      <c r="S10" s="302">
        <v>8.5415848341394401E-2</v>
      </c>
      <c r="T10" s="302">
        <v>8.5816733607814985E-2</v>
      </c>
      <c r="U10" s="302">
        <v>8.7131227159677707E-2</v>
      </c>
      <c r="V10" s="302">
        <v>8.7957826518192297E-2</v>
      </c>
      <c r="W10" s="302">
        <v>8.8319230669759052E-2</v>
      </c>
      <c r="X10" s="302">
        <v>8.8457329843559626E-2</v>
      </c>
      <c r="Y10" s="302">
        <v>8.8680283116678083E-2</v>
      </c>
      <c r="Z10" s="302">
        <v>8.8038413950072142E-2</v>
      </c>
      <c r="AA10" s="302">
        <v>8.774365524910295E-2</v>
      </c>
      <c r="AB10" s="302">
        <v>8.7647662221005881E-2</v>
      </c>
      <c r="AC10" s="302">
        <v>8.7754673153642687E-2</v>
      </c>
      <c r="AD10" s="302">
        <v>8.7907748258611015E-2</v>
      </c>
      <c r="AE10" s="302">
        <v>8.8104501768400095E-2</v>
      </c>
      <c r="AF10" s="302">
        <v>8.8338613112993E-2</v>
      </c>
      <c r="AG10" s="302">
        <v>8.8585814582461592E-2</v>
      </c>
      <c r="AH10" s="302">
        <v>8.8808694902177909E-2</v>
      </c>
      <c r="AI10" s="302">
        <v>8.9034327541932273E-2</v>
      </c>
      <c r="AJ10" s="302">
        <v>8.9216813640162387E-2</v>
      </c>
      <c r="AK10" s="302">
        <v>8.9401685995902397E-2</v>
      </c>
      <c r="AL10" s="302">
        <v>8.9620979082790528E-2</v>
      </c>
      <c r="AM10" s="302">
        <v>8.9806998683993486E-2</v>
      </c>
      <c r="AN10" s="302">
        <v>8.9980917466718935E-2</v>
      </c>
      <c r="AO10" s="302">
        <v>9.009621889053844E-2</v>
      </c>
      <c r="AP10" s="302">
        <v>9.0200612177608927E-2</v>
      </c>
      <c r="AQ10" s="302">
        <v>9.0288022044462152E-2</v>
      </c>
      <c r="AR10" s="302">
        <v>9.0360432334866E-2</v>
      </c>
      <c r="AS10" s="302">
        <v>9.0377209705939335E-2</v>
      </c>
      <c r="AT10" s="302">
        <v>9.0406132525526373E-2</v>
      </c>
      <c r="AU10" s="302">
        <v>9.0405735693494346E-2</v>
      </c>
      <c r="AV10" s="472">
        <f t="shared" si="0"/>
        <v>1.7803868421078575E-3</v>
      </c>
    </row>
    <row r="11" spans="1:48" s="280" customFormat="1" ht="12.9" customHeight="1">
      <c r="A11" s="280" t="s">
        <v>56</v>
      </c>
      <c r="B11" s="302">
        <v>2.5619835112737261E-2</v>
      </c>
      <c r="C11" s="302">
        <v>2.864199903128303E-2</v>
      </c>
      <c r="D11" s="302">
        <v>2.4351163685010991E-2</v>
      </c>
      <c r="E11" s="302">
        <v>2.5910547916754244E-2</v>
      </c>
      <c r="F11" s="302">
        <v>2.4137076390130387E-2</v>
      </c>
      <c r="G11" s="302">
        <v>2.4553740910274364E-2</v>
      </c>
      <c r="H11" s="302">
        <v>4.2340021288398137E-2</v>
      </c>
      <c r="I11" s="302">
        <v>3.4990611636400056E-2</v>
      </c>
      <c r="J11" s="302">
        <v>3.4530208851710584E-2</v>
      </c>
      <c r="K11" s="302">
        <v>2.4050060263824075E-2</v>
      </c>
      <c r="L11" s="302">
        <v>2.2825849259334761E-2</v>
      </c>
      <c r="M11" s="302">
        <v>1.2050038567881257E-2</v>
      </c>
      <c r="N11" s="302">
        <v>1.5364514903065663E-2</v>
      </c>
      <c r="O11" s="302">
        <v>1.6494427769252938E-2</v>
      </c>
      <c r="P11" s="302">
        <v>1.7107664244639952E-2</v>
      </c>
      <c r="Q11" s="302">
        <v>1.7319453588065459E-2</v>
      </c>
      <c r="R11" s="302">
        <v>1.7202267135759629E-2</v>
      </c>
      <c r="S11" s="302">
        <v>1.7056751632102421E-2</v>
      </c>
      <c r="T11" s="302">
        <v>1.6912907791633399E-2</v>
      </c>
      <c r="U11" s="302">
        <v>1.6874435061095355E-2</v>
      </c>
      <c r="V11" s="302">
        <v>1.6804430800617179E-2</v>
      </c>
      <c r="W11" s="302">
        <v>1.6590381501006942E-2</v>
      </c>
      <c r="X11" s="302">
        <v>1.6420494828452179E-2</v>
      </c>
      <c r="Y11" s="302">
        <v>1.6257397512681064E-2</v>
      </c>
      <c r="Z11" s="302">
        <v>1.607949842482859E-2</v>
      </c>
      <c r="AA11" s="302">
        <v>1.5844005515470438E-2</v>
      </c>
      <c r="AB11" s="302">
        <v>1.5607994844296324E-2</v>
      </c>
      <c r="AC11" s="302">
        <v>1.5356859088280326E-2</v>
      </c>
      <c r="AD11" s="302">
        <v>1.5116197793439827E-2</v>
      </c>
      <c r="AE11" s="302">
        <v>1.4855687937897405E-2</v>
      </c>
      <c r="AF11" s="302">
        <v>1.4602248794609763E-2</v>
      </c>
      <c r="AG11" s="302">
        <v>1.4378822637322795E-2</v>
      </c>
      <c r="AH11" s="302">
        <v>1.4129094912861285E-2</v>
      </c>
      <c r="AI11" s="302">
        <v>1.3888745829351033E-2</v>
      </c>
      <c r="AJ11" s="302">
        <v>1.3659561875117762E-2</v>
      </c>
      <c r="AK11" s="302">
        <v>1.3422486069554103E-2</v>
      </c>
      <c r="AL11" s="302">
        <v>1.3189872539241245E-2</v>
      </c>
      <c r="AM11" s="302">
        <v>1.2971898199936674E-2</v>
      </c>
      <c r="AN11" s="302">
        <v>1.2761198407881223E-2</v>
      </c>
      <c r="AO11" s="302">
        <v>1.2533539546828841E-2</v>
      </c>
      <c r="AP11" s="302">
        <v>1.2324058377539193E-2</v>
      </c>
      <c r="AQ11" s="302">
        <v>1.2098638935376927E-2</v>
      </c>
      <c r="AR11" s="302">
        <v>1.1890817530794994E-2</v>
      </c>
      <c r="AS11" s="302">
        <v>1.1661225996986789E-2</v>
      </c>
      <c r="AT11" s="302">
        <v>1.1412634481271375E-2</v>
      </c>
      <c r="AU11" s="302">
        <v>1.1171979085095906E-2</v>
      </c>
      <c r="AV11" s="472">
        <f t="shared" si="0"/>
        <v>-1.0083800645085395E-2</v>
      </c>
    </row>
    <row r="12" spans="1:48" s="280" customFormat="1" ht="12.9" customHeight="1">
      <c r="A12" s="280" t="s">
        <v>25</v>
      </c>
      <c r="B12" s="302">
        <v>0.11332</v>
      </c>
      <c r="C12" s="302">
        <v>0.117504</v>
      </c>
      <c r="D12" s="302">
        <v>0.12074699999999999</v>
      </c>
      <c r="E12" s="302">
        <v>0.123978</v>
      </c>
      <c r="F12" s="302">
        <v>0.12545300000000001</v>
      </c>
      <c r="G12" s="302">
        <v>0.119102</v>
      </c>
      <c r="H12" s="302">
        <v>0.124115</v>
      </c>
      <c r="I12" s="302">
        <v>0.12116300000000001</v>
      </c>
      <c r="J12" s="302">
        <v>0.122776</v>
      </c>
      <c r="K12" s="302">
        <v>0.119703</v>
      </c>
      <c r="L12" s="302">
        <v>0.116254</v>
      </c>
      <c r="M12" s="302">
        <v>0.11673</v>
      </c>
      <c r="N12" s="302">
        <v>0.12439573367477594</v>
      </c>
      <c r="O12" s="302">
        <v>0.12204087750746904</v>
      </c>
      <c r="P12" s="302">
        <v>0.11862723687580025</v>
      </c>
      <c r="Q12" s="302">
        <v>0.11684761416986771</v>
      </c>
      <c r="R12" s="302">
        <v>0.11521526589842083</v>
      </c>
      <c r="S12" s="302">
        <v>0.11355577635510031</v>
      </c>
      <c r="T12" s="302">
        <v>0.11187522321809647</v>
      </c>
      <c r="U12" s="302">
        <v>0.11009632437046522</v>
      </c>
      <c r="V12" s="302">
        <v>0.10833609901835253</v>
      </c>
      <c r="W12" s="302">
        <v>0.10663235510029878</v>
      </c>
      <c r="X12" s="302">
        <v>0.10476178915919761</v>
      </c>
      <c r="Y12" s="302">
        <v>0.10292075800256083</v>
      </c>
      <c r="Z12" s="302">
        <v>0.1018107383696116</v>
      </c>
      <c r="AA12" s="302">
        <v>0.1015605360648741</v>
      </c>
      <c r="AB12" s="302">
        <v>0.10167605292360223</v>
      </c>
      <c r="AC12" s="302">
        <v>0.10186643790012805</v>
      </c>
      <c r="AD12" s="302">
        <v>0.10217900469483568</v>
      </c>
      <c r="AE12" s="302">
        <v>0.10262277080665813</v>
      </c>
      <c r="AF12" s="302">
        <v>0.1031030712761417</v>
      </c>
      <c r="AG12" s="302">
        <v>0.10325451859439456</v>
      </c>
      <c r="AH12" s="302">
        <v>0.10356495849440067</v>
      </c>
      <c r="AI12" s="302">
        <v>0.10387539839440676</v>
      </c>
      <c r="AJ12" s="302">
        <v>0.10418583829441287</v>
      </c>
      <c r="AK12" s="302">
        <v>0.10449627819441895</v>
      </c>
      <c r="AL12" s="302">
        <v>0.10480671809442506</v>
      </c>
      <c r="AM12" s="302">
        <v>0.10511715799443115</v>
      </c>
      <c r="AN12" s="302">
        <v>0.10542759789443726</v>
      </c>
      <c r="AO12" s="302">
        <v>0.10573803779444335</v>
      </c>
      <c r="AP12" s="302">
        <v>0.10604847769444946</v>
      </c>
      <c r="AQ12" s="302">
        <v>0.10635891759445554</v>
      </c>
      <c r="AR12" s="302">
        <v>0.10666935749446164</v>
      </c>
      <c r="AS12" s="302">
        <v>0.10697979739446774</v>
      </c>
      <c r="AT12" s="302">
        <v>0.10729023729447384</v>
      </c>
      <c r="AU12" s="302">
        <v>0.10760067719447994</v>
      </c>
      <c r="AV12" s="472">
        <f t="shared" si="0"/>
        <v>-3.6975828836800372E-3</v>
      </c>
    </row>
    <row r="13" spans="1:48" customFormat="1" ht="12.9" customHeight="1">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465"/>
      <c r="AH13" s="465"/>
      <c r="AI13" s="465"/>
      <c r="AJ13" s="465"/>
      <c r="AK13" s="465"/>
      <c r="AL13" s="465"/>
      <c r="AM13" s="465"/>
      <c r="AN13" s="465"/>
      <c r="AO13" s="465"/>
      <c r="AP13" s="465"/>
      <c r="AQ13" s="465"/>
      <c r="AR13" s="465"/>
      <c r="AS13" s="465"/>
      <c r="AT13" s="465"/>
      <c r="AU13" s="465"/>
      <c r="AV13" s="470"/>
    </row>
    <row r="14" spans="1:48" s="280" customFormat="1" ht="12.9" customHeight="1">
      <c r="A14" s="280" t="s">
        <v>77</v>
      </c>
      <c r="B14" s="532"/>
      <c r="C14" s="532"/>
      <c r="D14" s="532"/>
      <c r="E14" s="532"/>
      <c r="F14" s="532"/>
      <c r="G14" s="532"/>
      <c r="H14" s="532"/>
      <c r="I14" s="532"/>
      <c r="J14" s="532"/>
      <c r="K14" s="178"/>
      <c r="L14" s="178"/>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8"/>
      <c r="AK14" s="467"/>
      <c r="AL14" s="467"/>
      <c r="AM14" s="467"/>
      <c r="AN14" s="467"/>
      <c r="AO14" s="467"/>
      <c r="AP14" s="467"/>
      <c r="AQ14" s="467"/>
      <c r="AR14" s="467"/>
      <c r="AS14" s="467"/>
      <c r="AT14" s="467"/>
      <c r="AU14" s="465"/>
      <c r="AV14" s="470"/>
    </row>
    <row r="15" spans="1:48" s="280" customFormat="1" ht="12.9" customHeight="1">
      <c r="A15" s="280" t="s">
        <v>22</v>
      </c>
      <c r="B15" s="302">
        <v>1.2587159951896001E-3</v>
      </c>
      <c r="C15" s="302">
        <v>1.0560701573511305E-3</v>
      </c>
      <c r="D15" s="302">
        <v>1.3134790445170008E-3</v>
      </c>
      <c r="E15" s="302">
        <v>1.2928443284097851E-3</v>
      </c>
      <c r="F15" s="302">
        <v>2.7083064890720638E-3</v>
      </c>
      <c r="G15" s="302">
        <v>3.0475888404503221E-3</v>
      </c>
      <c r="H15" s="302">
        <v>3.1586988502584068E-3</v>
      </c>
      <c r="I15" s="302">
        <v>3.3729824406025701E-3</v>
      </c>
      <c r="J15" s="302">
        <v>3.571393172402721E-3</v>
      </c>
      <c r="K15" s="302">
        <v>3.140841884396393E-3</v>
      </c>
      <c r="L15" s="302">
        <v>3.0670330921667367E-3</v>
      </c>
      <c r="M15" s="302">
        <v>3.1091878810090394E-3</v>
      </c>
      <c r="N15" s="302">
        <v>3.8392013189207049E-3</v>
      </c>
      <c r="O15" s="302">
        <v>3.5644565930658982E-3</v>
      </c>
      <c r="P15" s="302">
        <v>3.5773030424720571E-3</v>
      </c>
      <c r="Q15" s="302">
        <v>3.6172527603036673E-3</v>
      </c>
      <c r="R15" s="302">
        <v>3.652602888947819E-3</v>
      </c>
      <c r="S15" s="302">
        <v>3.6777261362427875E-3</v>
      </c>
      <c r="T15" s="302">
        <v>3.7094220257015819E-3</v>
      </c>
      <c r="U15" s="302">
        <v>3.7316651680165585E-3</v>
      </c>
      <c r="V15" s="302">
        <v>3.7542714082724354E-3</v>
      </c>
      <c r="W15" s="302">
        <v>3.7902817177659339E-3</v>
      </c>
      <c r="X15" s="302">
        <v>3.8276987292421342E-3</v>
      </c>
      <c r="Y15" s="302">
        <v>3.8697322642065927E-3</v>
      </c>
      <c r="Z15" s="302">
        <v>3.8400201993648042E-3</v>
      </c>
      <c r="AA15" s="302">
        <v>3.8875240793830776E-3</v>
      </c>
      <c r="AB15" s="302">
        <v>3.9249843555091649E-3</v>
      </c>
      <c r="AC15" s="302">
        <v>3.9685040273029042E-3</v>
      </c>
      <c r="AD15" s="302">
        <v>4.0092526792169948E-3</v>
      </c>
      <c r="AE15" s="302">
        <v>4.0511085745123252E-3</v>
      </c>
      <c r="AF15" s="302">
        <v>4.0921636629529488E-3</v>
      </c>
      <c r="AG15" s="302">
        <v>4.132885398420702E-3</v>
      </c>
      <c r="AH15" s="302">
        <v>4.1776714015827505E-3</v>
      </c>
      <c r="AI15" s="302">
        <v>4.2216842785647796E-3</v>
      </c>
      <c r="AJ15" s="302">
        <v>4.2661479414607554E-3</v>
      </c>
      <c r="AK15" s="302">
        <v>4.3115095661426057E-3</v>
      </c>
      <c r="AL15" s="302">
        <v>4.359172539242279E-3</v>
      </c>
      <c r="AM15" s="302">
        <v>4.4039265569717351E-3</v>
      </c>
      <c r="AN15" s="302">
        <v>4.4484634957735686E-3</v>
      </c>
      <c r="AO15" s="302">
        <v>4.4899153214962087E-3</v>
      </c>
      <c r="AP15" s="302">
        <v>4.5317138850435677E-3</v>
      </c>
      <c r="AQ15" s="302">
        <v>4.5743842249623143E-3</v>
      </c>
      <c r="AR15" s="302">
        <v>4.6147881070721115E-3</v>
      </c>
      <c r="AS15" s="302">
        <v>4.6560781728612029E-3</v>
      </c>
      <c r="AT15" s="302">
        <v>4.6934375552129919E-3</v>
      </c>
      <c r="AU15" s="302">
        <v>4.7323995821335028E-3</v>
      </c>
      <c r="AV15" s="472">
        <f>((AU15-O15)/O15)/32</f>
        <v>1.0239490215525227E-2</v>
      </c>
    </row>
    <row r="16" spans="1:48" s="280" customFormat="1" ht="12.9" customHeight="1">
      <c r="A16" s="280" t="s">
        <v>28</v>
      </c>
      <c r="B16" s="302">
        <v>3.6985840507473735E-4</v>
      </c>
      <c r="C16" s="302">
        <v>3.5468746916060654E-4</v>
      </c>
      <c r="D16" s="302">
        <v>4.7044319165203357E-4</v>
      </c>
      <c r="E16" s="302">
        <v>3.9724816211992637E-4</v>
      </c>
      <c r="F16" s="302">
        <v>3.6395318551876526E-4</v>
      </c>
      <c r="G16" s="302">
        <v>3.9630457978709989E-4</v>
      </c>
      <c r="H16" s="302">
        <v>3.7608495836939074E-4</v>
      </c>
      <c r="I16" s="302">
        <v>4.0439242835418361E-4</v>
      </c>
      <c r="J16" s="302">
        <v>4.0439242835418361E-4</v>
      </c>
      <c r="K16" s="302">
        <v>3.8956470598119691E-4</v>
      </c>
      <c r="L16" s="302">
        <v>5.4660376565873812E-4</v>
      </c>
      <c r="M16" s="302">
        <v>5.4660376565873812E-4</v>
      </c>
      <c r="N16" s="302">
        <v>5.4660376565873812E-4</v>
      </c>
      <c r="O16" s="302">
        <v>5.4660376565873812E-4</v>
      </c>
      <c r="P16" s="302">
        <v>5.4660376565873812E-4</v>
      </c>
      <c r="Q16" s="302">
        <v>5.4660376565873812E-4</v>
      </c>
      <c r="R16" s="302">
        <v>5.4660376565873812E-4</v>
      </c>
      <c r="S16" s="302">
        <v>5.4660376565873812E-4</v>
      </c>
      <c r="T16" s="302">
        <v>5.4660376565873812E-4</v>
      </c>
      <c r="U16" s="302">
        <v>5.4660376565873812E-4</v>
      </c>
      <c r="V16" s="302">
        <v>5.4660376565873812E-4</v>
      </c>
      <c r="W16" s="302">
        <v>5.4660376565873812E-4</v>
      </c>
      <c r="X16" s="302">
        <v>5.4660376565873812E-4</v>
      </c>
      <c r="Y16" s="302">
        <v>5.4660376565873812E-4</v>
      </c>
      <c r="Z16" s="302">
        <v>5.4660376565873812E-4</v>
      </c>
      <c r="AA16" s="302">
        <v>5.4660376565873812E-4</v>
      </c>
      <c r="AB16" s="302">
        <v>5.4660376565873812E-4</v>
      </c>
      <c r="AC16" s="302">
        <v>5.4660376565873812E-4</v>
      </c>
      <c r="AD16" s="302">
        <v>5.4660376565873812E-4</v>
      </c>
      <c r="AE16" s="302">
        <v>5.4660376565873812E-4</v>
      </c>
      <c r="AF16" s="302">
        <v>5.4660376565873812E-4</v>
      </c>
      <c r="AG16" s="302">
        <v>5.4660376565873812E-4</v>
      </c>
      <c r="AH16" s="302">
        <v>5.4660376565873812E-4</v>
      </c>
      <c r="AI16" s="302">
        <v>5.4660376565873812E-4</v>
      </c>
      <c r="AJ16" s="302">
        <v>5.4660376565873812E-4</v>
      </c>
      <c r="AK16" s="302">
        <v>5.4660376565873812E-4</v>
      </c>
      <c r="AL16" s="302">
        <v>5.4660376565873812E-4</v>
      </c>
      <c r="AM16" s="302">
        <v>5.4660376565873812E-4</v>
      </c>
      <c r="AN16" s="302">
        <v>5.4660376565873812E-4</v>
      </c>
      <c r="AO16" s="302">
        <v>5.4660376565873812E-4</v>
      </c>
      <c r="AP16" s="302">
        <v>5.4660376565873812E-4</v>
      </c>
      <c r="AQ16" s="302">
        <v>5.4660376565873812E-4</v>
      </c>
      <c r="AR16" s="302">
        <v>5.4660376565873812E-4</v>
      </c>
      <c r="AS16" s="302">
        <v>5.4660376565873812E-4</v>
      </c>
      <c r="AT16" s="302">
        <v>5.4660376565873812E-4</v>
      </c>
      <c r="AU16" s="302">
        <v>5.4660376565873812E-4</v>
      </c>
      <c r="AV16" s="472">
        <f t="shared" ref="AV16:AV23" si="1">((AU16-O16)/O16)/32</f>
        <v>0</v>
      </c>
    </row>
    <row r="17" spans="1:48" s="280" customFormat="1" ht="12.9" customHeight="1">
      <c r="A17" s="280" t="s">
        <v>54</v>
      </c>
      <c r="B17" s="302">
        <v>1.592482195869598E-4</v>
      </c>
      <c r="C17" s="302">
        <v>1.317943040934273E-4</v>
      </c>
      <c r="D17" s="302">
        <v>1.6852521831356437E-4</v>
      </c>
      <c r="E17" s="302">
        <v>1.979708333815388E-4</v>
      </c>
      <c r="F17" s="302">
        <v>5.7409689755170276E-5</v>
      </c>
      <c r="G17" s="302">
        <v>6.2965466183089992E-5</v>
      </c>
      <c r="H17" s="302">
        <v>6.1113540707116745E-5</v>
      </c>
      <c r="I17" s="302">
        <v>0</v>
      </c>
      <c r="J17" s="302">
        <v>0</v>
      </c>
      <c r="K17" s="302">
        <v>2.7408497044403875E-5</v>
      </c>
      <c r="L17" s="302">
        <v>1.4259826164993908E-5</v>
      </c>
      <c r="M17" s="302">
        <v>1.075781593719602E-5</v>
      </c>
      <c r="N17" s="302">
        <v>7.683828830750699E-5</v>
      </c>
      <c r="O17" s="302">
        <v>9.3977655874845643E-5</v>
      </c>
      <c r="P17" s="302">
        <v>0</v>
      </c>
      <c r="Q17" s="302">
        <v>0</v>
      </c>
      <c r="R17" s="302">
        <v>0</v>
      </c>
      <c r="S17" s="302">
        <v>0</v>
      </c>
      <c r="T17" s="302">
        <v>0</v>
      </c>
      <c r="U17" s="302">
        <v>0</v>
      </c>
      <c r="V17" s="302">
        <v>0</v>
      </c>
      <c r="W17" s="302">
        <v>0</v>
      </c>
      <c r="X17" s="302">
        <v>0</v>
      </c>
      <c r="Y17" s="302">
        <v>0</v>
      </c>
      <c r="Z17" s="302">
        <v>0</v>
      </c>
      <c r="AA17" s="302">
        <v>0</v>
      </c>
      <c r="AB17" s="302">
        <v>0</v>
      </c>
      <c r="AC17" s="302">
        <v>0</v>
      </c>
      <c r="AD17" s="302">
        <v>0</v>
      </c>
      <c r="AE17" s="302">
        <v>0</v>
      </c>
      <c r="AF17" s="302">
        <v>0</v>
      </c>
      <c r="AG17" s="302">
        <v>0</v>
      </c>
      <c r="AH17" s="302">
        <v>0</v>
      </c>
      <c r="AI17" s="302">
        <v>0</v>
      </c>
      <c r="AJ17" s="302">
        <v>0</v>
      </c>
      <c r="AK17" s="302">
        <v>0</v>
      </c>
      <c r="AL17" s="302">
        <v>0</v>
      </c>
      <c r="AM17" s="302">
        <v>0</v>
      </c>
      <c r="AN17" s="302">
        <v>0</v>
      </c>
      <c r="AO17" s="302">
        <v>0</v>
      </c>
      <c r="AP17" s="302">
        <v>0</v>
      </c>
      <c r="AQ17" s="302">
        <v>0</v>
      </c>
      <c r="AR17" s="302">
        <v>0</v>
      </c>
      <c r="AS17" s="302">
        <v>0</v>
      </c>
      <c r="AT17" s="302">
        <v>0</v>
      </c>
      <c r="AU17" s="302">
        <v>0</v>
      </c>
      <c r="AV17" s="472"/>
    </row>
    <row r="18" spans="1:48" s="280" customFormat="1" ht="12.9" customHeight="1">
      <c r="A18" s="280" t="s">
        <v>23</v>
      </c>
      <c r="B18" s="302">
        <v>4.6543384913355045E-3</v>
      </c>
      <c r="C18" s="302">
        <v>4.6359459206461858E-3</v>
      </c>
      <c r="D18" s="302">
        <v>4.55793E-3</v>
      </c>
      <c r="E18" s="302">
        <v>4.3696793999999997E-3</v>
      </c>
      <c r="F18" s="302">
        <v>7.4005679999999997E-3</v>
      </c>
      <c r="G18" s="302">
        <v>9.3495999999999996E-3</v>
      </c>
      <c r="H18" s="302">
        <v>1.2508686E-2</v>
      </c>
      <c r="I18" s="302">
        <v>7.3717999999999995E-3</v>
      </c>
      <c r="J18" s="302">
        <v>7.0121999999999997E-3</v>
      </c>
      <c r="K18" s="302">
        <v>6.7119340000000001E-3</v>
      </c>
      <c r="L18" s="302">
        <v>6.6919761999999997E-3</v>
      </c>
      <c r="M18" s="302">
        <v>7.2311261095989393E-3</v>
      </c>
      <c r="N18" s="302">
        <v>6.9078268861660188E-3</v>
      </c>
      <c r="O18" s="302">
        <v>7.0027363463817729E-3</v>
      </c>
      <c r="P18" s="302">
        <v>7.4583949044741841E-3</v>
      </c>
      <c r="Q18" s="302">
        <v>7.4169052039558632E-3</v>
      </c>
      <c r="R18" s="302">
        <v>7.4654839247141041E-3</v>
      </c>
      <c r="S18" s="302">
        <v>7.5184655195602293E-3</v>
      </c>
      <c r="T18" s="302">
        <v>7.5818249442947657E-3</v>
      </c>
      <c r="U18" s="302">
        <v>7.7287401515912643E-3</v>
      </c>
      <c r="V18" s="302">
        <v>7.7979015995245163E-3</v>
      </c>
      <c r="W18" s="302">
        <v>7.8253624563946536E-3</v>
      </c>
      <c r="X18" s="302">
        <v>7.7936864803707347E-3</v>
      </c>
      <c r="Y18" s="302">
        <v>7.7639497990981158E-3</v>
      </c>
      <c r="Z18" s="302">
        <v>7.6675357458134974E-3</v>
      </c>
      <c r="AA18" s="302">
        <v>7.6072799603944356E-3</v>
      </c>
      <c r="AB18" s="302">
        <v>7.5689804178449352E-3</v>
      </c>
      <c r="AC18" s="302">
        <v>7.5536168326780125E-3</v>
      </c>
      <c r="AD18" s="302">
        <v>7.5387190624163795E-3</v>
      </c>
      <c r="AE18" s="302">
        <v>7.5350998562340636E-3</v>
      </c>
      <c r="AF18" s="302">
        <v>7.5298888514244433E-3</v>
      </c>
      <c r="AG18" s="302">
        <v>7.5226842374812386E-3</v>
      </c>
      <c r="AH18" s="302">
        <v>7.5178909602832134E-3</v>
      </c>
      <c r="AI18" s="302">
        <v>7.5158211185843826E-3</v>
      </c>
      <c r="AJ18" s="302">
        <v>7.5135563360694668E-3</v>
      </c>
      <c r="AK18" s="302">
        <v>7.5198714925516314E-3</v>
      </c>
      <c r="AL18" s="302">
        <v>7.528118862093377E-3</v>
      </c>
      <c r="AM18" s="302">
        <v>7.5287291657528399E-3</v>
      </c>
      <c r="AN18" s="302">
        <v>7.5254637652035199E-3</v>
      </c>
      <c r="AO18" s="302">
        <v>7.5224919382780083E-3</v>
      </c>
      <c r="AP18" s="302">
        <v>7.5130749346906311E-3</v>
      </c>
      <c r="AQ18" s="302">
        <v>7.5092712647310319E-3</v>
      </c>
      <c r="AR18" s="302">
        <v>7.496669875707641E-3</v>
      </c>
      <c r="AS18" s="302">
        <v>7.4887009403063259E-3</v>
      </c>
      <c r="AT18" s="302">
        <v>7.4868921967374191E-3</v>
      </c>
      <c r="AU18" s="302">
        <v>7.478599183356369E-3</v>
      </c>
      <c r="AV18" s="472">
        <f t="shared" si="1"/>
        <v>2.1235575523473249E-3</v>
      </c>
    </row>
    <row r="19" spans="1:48" s="280" customFormat="1" ht="12.9" customHeight="1">
      <c r="A19" s="280" t="s">
        <v>29</v>
      </c>
      <c r="B19" s="302">
        <v>0</v>
      </c>
      <c r="C19" s="302">
        <v>0</v>
      </c>
      <c r="D19" s="302">
        <v>3.7438924259351497E-5</v>
      </c>
      <c r="E19" s="302">
        <v>2.0502268046787723E-5</v>
      </c>
      <c r="F19" s="302">
        <v>3.5834398933950719E-4</v>
      </c>
      <c r="G19" s="302">
        <v>3.9400010768174669E-4</v>
      </c>
      <c r="H19" s="302">
        <v>3.3873312425127543E-5</v>
      </c>
      <c r="I19" s="302">
        <v>0</v>
      </c>
      <c r="J19" s="302">
        <v>0</v>
      </c>
      <c r="K19" s="302">
        <v>1.0518554910960657E-5</v>
      </c>
      <c r="L19" s="302">
        <v>2.1393671005343709E-6</v>
      </c>
      <c r="M19" s="302">
        <v>0</v>
      </c>
      <c r="N19" s="302">
        <v>0</v>
      </c>
      <c r="O19" s="302">
        <v>0</v>
      </c>
      <c r="P19" s="302">
        <v>0</v>
      </c>
      <c r="Q19" s="302">
        <v>0</v>
      </c>
      <c r="R19" s="302">
        <v>0</v>
      </c>
      <c r="S19" s="302">
        <v>0</v>
      </c>
      <c r="T19" s="302">
        <v>0</v>
      </c>
      <c r="U19" s="302">
        <v>0</v>
      </c>
      <c r="V19" s="302">
        <v>0</v>
      </c>
      <c r="W19" s="302">
        <v>0</v>
      </c>
      <c r="X19" s="302">
        <v>0</v>
      </c>
      <c r="Y19" s="302">
        <v>0</v>
      </c>
      <c r="Z19" s="302">
        <v>0</v>
      </c>
      <c r="AA19" s="302">
        <v>0</v>
      </c>
      <c r="AB19" s="302">
        <v>0</v>
      </c>
      <c r="AC19" s="302">
        <v>0</v>
      </c>
      <c r="AD19" s="302">
        <v>0</v>
      </c>
      <c r="AE19" s="302">
        <v>0</v>
      </c>
      <c r="AF19" s="302">
        <v>0</v>
      </c>
      <c r="AG19" s="302">
        <v>0</v>
      </c>
      <c r="AH19" s="302">
        <v>0</v>
      </c>
      <c r="AI19" s="302">
        <v>0</v>
      </c>
      <c r="AJ19" s="302">
        <v>0</v>
      </c>
      <c r="AK19" s="302">
        <v>0</v>
      </c>
      <c r="AL19" s="302">
        <v>0</v>
      </c>
      <c r="AM19" s="302">
        <v>0</v>
      </c>
      <c r="AN19" s="302">
        <v>0</v>
      </c>
      <c r="AO19" s="302">
        <v>0</v>
      </c>
      <c r="AP19" s="302">
        <v>0</v>
      </c>
      <c r="AQ19" s="302">
        <v>0</v>
      </c>
      <c r="AR19" s="302">
        <v>0</v>
      </c>
      <c r="AS19" s="302">
        <v>0</v>
      </c>
      <c r="AT19" s="302">
        <v>0</v>
      </c>
      <c r="AU19" s="302">
        <v>0</v>
      </c>
      <c r="AV19" s="472"/>
    </row>
    <row r="20" spans="1:48" s="280" customFormat="1" ht="12.9" customHeight="1">
      <c r="A20" s="280" t="s">
        <v>24</v>
      </c>
      <c r="B20" s="302">
        <v>5.1214000000000003E-2</v>
      </c>
      <c r="C20" s="302">
        <v>5.2828E-2</v>
      </c>
      <c r="D20" s="302">
        <v>5.5051999999999997E-2</v>
      </c>
      <c r="E20" s="302">
        <v>5.7896999999999997E-2</v>
      </c>
      <c r="F20" s="302">
        <v>5.7377999999999998E-2</v>
      </c>
      <c r="G20" s="302">
        <v>5.3016000000000001E-2</v>
      </c>
      <c r="H20" s="302">
        <v>5.8134999999999999E-2</v>
      </c>
      <c r="I20" s="302">
        <v>5.4988000000000002E-2</v>
      </c>
      <c r="J20" s="302">
        <v>5.7654999999999998E-2</v>
      </c>
      <c r="K20" s="302">
        <v>5.6876999999999997E-2</v>
      </c>
      <c r="L20" s="302">
        <v>5.3111999999999999E-2</v>
      </c>
      <c r="M20" s="302">
        <v>5.5698999999999999E-2</v>
      </c>
      <c r="N20" s="302">
        <v>5.5966835565110645E-2</v>
      </c>
      <c r="O20" s="302">
        <v>5.8523915625327834E-2</v>
      </c>
      <c r="P20" s="302">
        <v>5.9494596999724265E-2</v>
      </c>
      <c r="Q20" s="302">
        <v>6.0331532373420454E-2</v>
      </c>
      <c r="R20" s="302">
        <v>6.0959905505924464E-2</v>
      </c>
      <c r="S20" s="302">
        <v>6.1543625673656462E-2</v>
      </c>
      <c r="T20" s="302">
        <v>6.1969966087524142E-2</v>
      </c>
      <c r="U20" s="302">
        <v>6.3875851113033108E-2</v>
      </c>
      <c r="V20" s="302">
        <v>6.5385095258850348E-2</v>
      </c>
      <c r="W20" s="302">
        <v>6.655105272321854E-2</v>
      </c>
      <c r="X20" s="302">
        <v>6.7537351501103723E-2</v>
      </c>
      <c r="Y20" s="302">
        <v>6.8642829927573784E-2</v>
      </c>
      <c r="Z20" s="302">
        <v>6.8273693930024859E-2</v>
      </c>
      <c r="AA20" s="302">
        <v>6.8338175663321357E-2</v>
      </c>
      <c r="AB20" s="302">
        <v>6.8689951752335998E-2</v>
      </c>
      <c r="AC20" s="302">
        <v>6.9407938291213958E-2</v>
      </c>
      <c r="AD20" s="302">
        <v>7.0185095543509629E-2</v>
      </c>
      <c r="AE20" s="302">
        <v>7.1032493481638814E-2</v>
      </c>
      <c r="AF20" s="302">
        <v>7.1936162766685033E-2</v>
      </c>
      <c r="AG20" s="302">
        <v>7.2959427686587711E-2</v>
      </c>
      <c r="AH20" s="302">
        <v>7.4074145254047999E-2</v>
      </c>
      <c r="AI20" s="302">
        <v>7.5178970324327438E-2</v>
      </c>
      <c r="AJ20" s="302">
        <v>7.6247980958965358E-2</v>
      </c>
      <c r="AK20" s="302">
        <v>7.735165076574145E-2</v>
      </c>
      <c r="AL20" s="302">
        <v>7.8678323043969461E-2</v>
      </c>
      <c r="AM20" s="302">
        <v>8.0006432182274184E-2</v>
      </c>
      <c r="AN20" s="302">
        <v>8.1342661970549485E-2</v>
      </c>
      <c r="AO20" s="302">
        <v>8.2659015137147768E-2</v>
      </c>
      <c r="AP20" s="302">
        <v>8.3968669437030657E-2</v>
      </c>
      <c r="AQ20" s="302">
        <v>8.5304564269251176E-2</v>
      </c>
      <c r="AR20" s="302">
        <v>8.6577446225576379E-2</v>
      </c>
      <c r="AS20" s="302">
        <v>8.775296632619152E-2</v>
      </c>
      <c r="AT20" s="302">
        <v>8.8894947125460644E-2</v>
      </c>
      <c r="AU20" s="302">
        <v>8.9923241820046865E-2</v>
      </c>
      <c r="AV20" s="472">
        <f t="shared" si="1"/>
        <v>1.6766290038876277E-2</v>
      </c>
    </row>
    <row r="21" spans="1:48" s="280" customFormat="1" ht="12.9" customHeight="1">
      <c r="A21" s="280" t="s">
        <v>55</v>
      </c>
      <c r="B21" s="302">
        <v>0</v>
      </c>
      <c r="C21" s="302">
        <v>0</v>
      </c>
      <c r="D21" s="302">
        <v>0</v>
      </c>
      <c r="E21" s="302">
        <v>0</v>
      </c>
      <c r="F21" s="302">
        <v>0</v>
      </c>
      <c r="G21" s="302">
        <v>0</v>
      </c>
      <c r="H21" s="302">
        <v>0</v>
      </c>
      <c r="I21" s="302">
        <v>0</v>
      </c>
      <c r="J21" s="302">
        <v>0</v>
      </c>
      <c r="K21" s="302">
        <v>0</v>
      </c>
      <c r="L21" s="302">
        <v>0</v>
      </c>
      <c r="M21" s="302">
        <v>0</v>
      </c>
      <c r="N21" s="302">
        <v>0</v>
      </c>
      <c r="O21" s="302">
        <v>0</v>
      </c>
      <c r="P21" s="302">
        <v>0</v>
      </c>
      <c r="Q21" s="302">
        <v>0</v>
      </c>
      <c r="R21" s="302">
        <v>0</v>
      </c>
      <c r="S21" s="302">
        <v>0</v>
      </c>
      <c r="T21" s="302">
        <v>0</v>
      </c>
      <c r="U21" s="302">
        <v>0</v>
      </c>
      <c r="V21" s="302">
        <v>0</v>
      </c>
      <c r="W21" s="302">
        <v>0</v>
      </c>
      <c r="X21" s="302">
        <v>0</v>
      </c>
      <c r="Y21" s="302">
        <v>0</v>
      </c>
      <c r="Z21" s="302">
        <v>0</v>
      </c>
      <c r="AA21" s="302">
        <v>0</v>
      </c>
      <c r="AB21" s="302">
        <v>0</v>
      </c>
      <c r="AC21" s="302">
        <v>0</v>
      </c>
      <c r="AD21" s="302">
        <v>0</v>
      </c>
      <c r="AE21" s="302">
        <v>0</v>
      </c>
      <c r="AF21" s="302">
        <v>0</v>
      </c>
      <c r="AG21" s="302">
        <v>0</v>
      </c>
      <c r="AH21" s="302">
        <v>0</v>
      </c>
      <c r="AI21" s="302">
        <v>0</v>
      </c>
      <c r="AJ21" s="302">
        <v>0</v>
      </c>
      <c r="AK21" s="302">
        <v>0</v>
      </c>
      <c r="AL21" s="302">
        <v>0</v>
      </c>
      <c r="AM21" s="302">
        <v>0</v>
      </c>
      <c r="AN21" s="302">
        <v>0</v>
      </c>
      <c r="AO21" s="302">
        <v>0</v>
      </c>
      <c r="AP21" s="302">
        <v>0</v>
      </c>
      <c r="AQ21" s="302">
        <v>0</v>
      </c>
      <c r="AR21" s="302">
        <v>0</v>
      </c>
      <c r="AS21" s="302">
        <v>0</v>
      </c>
      <c r="AT21" s="302">
        <v>0</v>
      </c>
      <c r="AU21" s="302">
        <v>0</v>
      </c>
      <c r="AV21" s="472"/>
    </row>
    <row r="22" spans="1:48" s="280" customFormat="1" ht="12.9" customHeight="1">
      <c r="A22" s="280" t="s">
        <v>57</v>
      </c>
      <c r="B22" s="302">
        <v>1.1232510506697361E-2</v>
      </c>
      <c r="C22" s="302">
        <v>1.2004280513282546E-2</v>
      </c>
      <c r="D22" s="302">
        <v>7.0902028842179067E-3</v>
      </c>
      <c r="E22" s="302">
        <v>8.4327374043724132E-3</v>
      </c>
      <c r="F22" s="302">
        <v>7.6196660866108016E-3</v>
      </c>
      <c r="G22" s="302">
        <v>7.5091694182853287E-3</v>
      </c>
      <c r="H22" s="302">
        <v>1.1597546146327862E-2</v>
      </c>
      <c r="I22" s="302">
        <v>1.0589264047857911E-2</v>
      </c>
      <c r="J22" s="302">
        <v>1.4272486325373708E-2</v>
      </c>
      <c r="K22" s="302">
        <v>1.5841078612810748E-2</v>
      </c>
      <c r="L22" s="302">
        <v>1.5290897285106825E-2</v>
      </c>
      <c r="M22" s="302">
        <v>2.0754026326031674E-3</v>
      </c>
      <c r="N22" s="302">
        <v>3.3825338184819507E-3</v>
      </c>
      <c r="O22" s="302">
        <v>3.3825338184819507E-3</v>
      </c>
      <c r="P22" s="302">
        <v>3.3977855063388059E-3</v>
      </c>
      <c r="Q22" s="302">
        <v>3.4035078928144969E-3</v>
      </c>
      <c r="R22" s="302">
        <v>3.4080406398445616E-3</v>
      </c>
      <c r="S22" s="302">
        <v>3.4125900814022357E-3</v>
      </c>
      <c r="T22" s="302">
        <v>3.4169812017083435E-3</v>
      </c>
      <c r="U22" s="302">
        <v>3.421203350669724E-3</v>
      </c>
      <c r="V22" s="302">
        <v>3.4251607442380839E-3</v>
      </c>
      <c r="W22" s="302">
        <v>3.4290582850517539E-3</v>
      </c>
      <c r="X22" s="302">
        <v>3.4326913584163737E-3</v>
      </c>
      <c r="Y22" s="302">
        <v>3.4361970490957476E-3</v>
      </c>
      <c r="Z22" s="302">
        <v>3.4402633168222601E-3</v>
      </c>
      <c r="AA22" s="302">
        <v>3.4443741042352138E-3</v>
      </c>
      <c r="AB22" s="302">
        <v>3.4485587931539384E-3</v>
      </c>
      <c r="AC22" s="302">
        <v>3.4513522312543468E-3</v>
      </c>
      <c r="AD22" s="302">
        <v>3.453114873590974E-3</v>
      </c>
      <c r="AE22" s="302">
        <v>3.4556134283030772E-3</v>
      </c>
      <c r="AF22" s="302">
        <v>3.4580811876723586E-3</v>
      </c>
      <c r="AG22" s="302">
        <v>3.4612558680297686E-3</v>
      </c>
      <c r="AH22" s="302">
        <v>3.4641651410198754E-3</v>
      </c>
      <c r="AI22" s="302">
        <v>3.4668893150800414E-3</v>
      </c>
      <c r="AJ22" s="302">
        <v>3.4699280825442802E-3</v>
      </c>
      <c r="AK22" s="302">
        <v>3.4731347254052017E-3</v>
      </c>
      <c r="AL22" s="302">
        <v>3.4764708101491545E-3</v>
      </c>
      <c r="AM22" s="302">
        <v>3.4771181578228927E-3</v>
      </c>
      <c r="AN22" s="302">
        <v>3.4766154951589539E-3</v>
      </c>
      <c r="AO22" s="302">
        <v>3.4750121752726371E-3</v>
      </c>
      <c r="AP22" s="302">
        <v>3.4724420172171548E-3</v>
      </c>
      <c r="AQ22" s="302">
        <v>3.4690223823380622E-3</v>
      </c>
      <c r="AR22" s="302">
        <v>3.4647427609070082E-3</v>
      </c>
      <c r="AS22" s="302">
        <v>3.45968056372037E-3</v>
      </c>
      <c r="AT22" s="302">
        <v>3.4537901002250509E-3</v>
      </c>
      <c r="AU22" s="302">
        <v>3.4470934128259922E-3</v>
      </c>
      <c r="AV22" s="472">
        <f t="shared" si="1"/>
        <v>5.9644261713744692E-4</v>
      </c>
    </row>
    <row r="23" spans="1:48" s="280" customFormat="1" ht="12.9" customHeight="1">
      <c r="A23" s="280" t="s">
        <v>25</v>
      </c>
      <c r="B23" s="302">
        <v>9.5876000000000003E-2</v>
      </c>
      <c r="C23" s="302">
        <v>9.7516000000000005E-2</v>
      </c>
      <c r="D23" s="302">
        <v>0.100992</v>
      </c>
      <c r="E23" s="302">
        <v>0.10194499999999999</v>
      </c>
      <c r="F23" s="302">
        <v>0.102594</v>
      </c>
      <c r="G23" s="302">
        <v>9.8378999999999994E-2</v>
      </c>
      <c r="H23" s="302">
        <v>0.100343</v>
      </c>
      <c r="I23" s="302">
        <v>9.9765999999999994E-2</v>
      </c>
      <c r="J23" s="302">
        <v>0.10119499999999999</v>
      </c>
      <c r="K23" s="302">
        <v>9.9085999999999994E-2</v>
      </c>
      <c r="L23" s="302">
        <v>9.9857000000000001E-2</v>
      </c>
      <c r="M23" s="302">
        <v>9.8910999999999999E-2</v>
      </c>
      <c r="N23" s="302">
        <v>0.10480490635936836</v>
      </c>
      <c r="O23" s="302">
        <v>0.10521333871105421</v>
      </c>
      <c r="P23" s="302">
        <v>0.10555012548015365</v>
      </c>
      <c r="Q23" s="302">
        <v>0.10421451165172857</v>
      </c>
      <c r="R23" s="302">
        <v>0.10267501630388394</v>
      </c>
      <c r="S23" s="302">
        <v>0.10108634400341444</v>
      </c>
      <c r="T23" s="302">
        <v>9.9449491762697392E-2</v>
      </c>
      <c r="U23" s="302">
        <v>9.7830387366624014E-2</v>
      </c>
      <c r="V23" s="302">
        <v>9.6386871190781057E-2</v>
      </c>
      <c r="W23" s="302">
        <v>9.5001582927870254E-2</v>
      </c>
      <c r="X23" s="302">
        <v>9.4089885104566798E-2</v>
      </c>
      <c r="Y23" s="302">
        <v>9.3723052838241575E-2</v>
      </c>
      <c r="Z23" s="302">
        <v>9.3927226291079816E-2</v>
      </c>
      <c r="AA23" s="302">
        <v>9.4841494152795539E-2</v>
      </c>
      <c r="AB23" s="302">
        <v>9.6066288348271439E-2</v>
      </c>
      <c r="AC23" s="302">
        <v>9.7326356636790456E-2</v>
      </c>
      <c r="AD23" s="302">
        <v>9.8648277592829722E-2</v>
      </c>
      <c r="AE23" s="302">
        <v>9.9976876483141297E-2</v>
      </c>
      <c r="AF23" s="302">
        <v>0.10144642048655569</v>
      </c>
      <c r="AG23" s="302">
        <v>0.10265878398634208</v>
      </c>
      <c r="AH23" s="302">
        <v>0.1039753073300408</v>
      </c>
      <c r="AI23" s="302">
        <v>0.1052918306737395</v>
      </c>
      <c r="AJ23" s="302">
        <v>0.1066083540174378</v>
      </c>
      <c r="AK23" s="302">
        <v>0.1079248773611365</v>
      </c>
      <c r="AL23" s="302">
        <v>0.1092414007048348</v>
      </c>
      <c r="AM23" s="302">
        <v>0.1105579240485335</v>
      </c>
      <c r="AN23" s="302">
        <v>0.11187444739223221</v>
      </c>
      <c r="AO23" s="302">
        <v>0.1131909707359305</v>
      </c>
      <c r="AP23" s="302">
        <v>0.11450749407962921</v>
      </c>
      <c r="AQ23" s="302">
        <v>0.1158240174233279</v>
      </c>
      <c r="AR23" s="302">
        <v>0.11714054076702622</v>
      </c>
      <c r="AS23" s="302">
        <v>0.11845706411072492</v>
      </c>
      <c r="AT23" s="302">
        <v>0.11977358745442361</v>
      </c>
      <c r="AU23" s="302">
        <v>0.12109011079812192</v>
      </c>
      <c r="AV23" s="472">
        <f t="shared" si="1"/>
        <v>4.7156485460786756E-3</v>
      </c>
    </row>
    <row r="24" spans="1:48" customFormat="1" ht="12.9" customHeight="1">
      <c r="B24" s="532"/>
      <c r="C24" s="532"/>
      <c r="D24" s="532"/>
      <c r="E24" s="532"/>
      <c r="F24" s="532"/>
      <c r="G24" s="532"/>
      <c r="H24" s="532"/>
      <c r="I24" s="532"/>
      <c r="J24" s="532"/>
      <c r="K24" s="532"/>
      <c r="L24" s="532"/>
      <c r="M24" s="532"/>
      <c r="N24" s="165"/>
      <c r="O24" s="165"/>
      <c r="P24" s="165"/>
      <c r="Q24" s="165"/>
      <c r="R24" s="165"/>
      <c r="S24" s="165"/>
      <c r="T24" s="165"/>
      <c r="U24" s="165"/>
      <c r="V24" s="165"/>
      <c r="W24" s="165"/>
      <c r="X24" s="165"/>
      <c r="Y24" s="165"/>
      <c r="Z24" s="165"/>
      <c r="AA24" s="165"/>
      <c r="AB24" s="165"/>
      <c r="AC24" s="165"/>
      <c r="AD24" s="465"/>
      <c r="AE24" s="165"/>
      <c r="AF24" s="165"/>
      <c r="AG24" s="465"/>
      <c r="AH24" s="465"/>
      <c r="AI24" s="465"/>
      <c r="AJ24" s="465"/>
      <c r="AK24" s="465"/>
      <c r="AL24" s="465"/>
      <c r="AM24" s="465"/>
      <c r="AN24" s="465"/>
      <c r="AO24" s="465"/>
      <c r="AP24" s="465"/>
      <c r="AQ24" s="465"/>
      <c r="AR24" s="465"/>
      <c r="AS24" s="465"/>
      <c r="AT24" s="465"/>
      <c r="AU24" s="465"/>
      <c r="AV24" s="470"/>
    </row>
    <row r="25" spans="1:48" s="280" customFormat="1" ht="12.9" customHeight="1">
      <c r="A25" s="280" t="s">
        <v>78</v>
      </c>
      <c r="B25" s="532"/>
      <c r="C25" s="532"/>
      <c r="D25" s="532"/>
      <c r="E25" s="532"/>
      <c r="F25" s="532"/>
      <c r="G25" s="532"/>
      <c r="H25" s="532"/>
      <c r="I25" s="532"/>
      <c r="J25" s="532"/>
      <c r="K25" s="532"/>
      <c r="L25" s="532"/>
      <c r="M25" s="532"/>
      <c r="N25" s="532"/>
      <c r="O25" s="532"/>
      <c r="P25" s="465"/>
      <c r="Q25" s="465"/>
      <c r="R25" s="465"/>
      <c r="S25" s="465"/>
      <c r="T25" s="465"/>
      <c r="U25" s="465"/>
      <c r="V25" s="465"/>
      <c r="W25" s="465"/>
      <c r="X25" s="465"/>
      <c r="Y25" s="465"/>
      <c r="Z25" s="465"/>
      <c r="AA25" s="465"/>
      <c r="AB25" s="465"/>
      <c r="AC25" s="465"/>
      <c r="AD25" s="199"/>
      <c r="AE25" s="465"/>
      <c r="AF25" s="465"/>
      <c r="AG25" s="465"/>
      <c r="AH25" s="465"/>
      <c r="AI25" s="465"/>
      <c r="AJ25" s="465"/>
      <c r="AK25" s="465"/>
      <c r="AL25" s="465"/>
      <c r="AM25" s="465"/>
      <c r="AN25" s="465"/>
      <c r="AO25" s="465"/>
      <c r="AP25" s="465"/>
      <c r="AQ25" s="465"/>
      <c r="AR25" s="465"/>
      <c r="AS25" s="465"/>
      <c r="AT25" s="465"/>
      <c r="AU25" s="465"/>
      <c r="AV25" s="470"/>
    </row>
    <row r="26" spans="1:48" s="280" customFormat="1" ht="12.9" customHeight="1">
      <c r="A26" s="280" t="s">
        <v>22</v>
      </c>
      <c r="B26" s="302">
        <v>4.716850778559491E-3</v>
      </c>
      <c r="C26" s="302">
        <v>4.2493773066018276E-3</v>
      </c>
      <c r="D26" s="302">
        <v>1.8075217666993772E-3</v>
      </c>
      <c r="E26" s="302">
        <v>1.8116883920671805E-3</v>
      </c>
      <c r="F26" s="302">
        <v>5.4305017293701371E-3</v>
      </c>
      <c r="G26" s="302">
        <v>5.2023293877999635E-3</v>
      </c>
      <c r="H26" s="302">
        <v>5.9820835637745574E-3</v>
      </c>
      <c r="I26" s="302">
        <v>5.3570897586040812E-3</v>
      </c>
      <c r="J26" s="302">
        <v>5.5555004904042334E-3</v>
      </c>
      <c r="K26" s="302">
        <v>4.643604767050738E-3</v>
      </c>
      <c r="L26" s="302">
        <v>5.2687969829530142E-3</v>
      </c>
      <c r="M26" s="302">
        <v>5.7235738203177877E-3</v>
      </c>
      <c r="N26" s="302">
        <v>6.3225923002553129E-3</v>
      </c>
      <c r="O26" s="302">
        <v>7.4365470820301352E-3</v>
      </c>
      <c r="P26" s="302">
        <v>6.4885619354429396E-3</v>
      </c>
      <c r="Q26" s="302">
        <v>3.7782992683437887E-3</v>
      </c>
      <c r="R26" s="302">
        <v>3.8121726167070487E-3</v>
      </c>
      <c r="S26" s="302">
        <v>3.8399780936331819E-3</v>
      </c>
      <c r="T26" s="302">
        <v>3.8717203858218531E-3</v>
      </c>
      <c r="U26" s="302">
        <v>3.8885092685277175E-3</v>
      </c>
      <c r="V26" s="302">
        <v>3.9170446616557612E-3</v>
      </c>
      <c r="W26" s="302">
        <v>3.9556527172795782E-3</v>
      </c>
      <c r="X26" s="302">
        <v>3.9743687515304271E-3</v>
      </c>
      <c r="Y26" s="302">
        <v>4.0133587903079457E-3</v>
      </c>
      <c r="Z26" s="302">
        <v>4.0598264995150681E-3</v>
      </c>
      <c r="AA26" s="302">
        <v>4.0899163230389696E-3</v>
      </c>
      <c r="AB26" s="302">
        <v>4.1324334673479134E-3</v>
      </c>
      <c r="AC26" s="302">
        <v>4.1678384204312394E-3</v>
      </c>
      <c r="AD26" s="302">
        <v>4.2075647507154642E-3</v>
      </c>
      <c r="AE26" s="302">
        <v>4.2537620145518991E-3</v>
      </c>
      <c r="AF26" s="302">
        <v>4.3001618330139541E-3</v>
      </c>
      <c r="AG26" s="302">
        <v>4.3426890362873961E-3</v>
      </c>
      <c r="AH26" s="302">
        <v>4.3872749197801358E-3</v>
      </c>
      <c r="AI26" s="302">
        <v>4.4352709358509122E-3</v>
      </c>
      <c r="AJ26" s="302">
        <v>4.477476503240773E-3</v>
      </c>
      <c r="AK26" s="302">
        <v>4.5285702933414856E-3</v>
      </c>
      <c r="AL26" s="302">
        <v>4.5870970653870196E-3</v>
      </c>
      <c r="AM26" s="302">
        <v>4.631731435886458E-3</v>
      </c>
      <c r="AN26" s="302">
        <v>4.6814735882374173E-3</v>
      </c>
      <c r="AO26" s="302">
        <v>4.7341860625914733E-3</v>
      </c>
      <c r="AP26" s="302">
        <v>4.783006862292289E-3</v>
      </c>
      <c r="AQ26" s="302">
        <v>4.8379067066914678E-3</v>
      </c>
      <c r="AR26" s="302">
        <v>4.889687026172161E-3</v>
      </c>
      <c r="AS26" s="302">
        <v>4.9482409431988268E-3</v>
      </c>
      <c r="AT26" s="302">
        <v>4.9970257410060391E-3</v>
      </c>
      <c r="AU26" s="302">
        <v>5.0522621989848261E-3</v>
      </c>
      <c r="AV26" s="472">
        <f>((AU26-O26)/O26)/32</f>
        <v>-1.0019287415689353E-2</v>
      </c>
    </row>
    <row r="27" spans="1:48" s="280" customFormat="1" ht="12.9" customHeight="1">
      <c r="A27" s="280" t="s">
        <v>28</v>
      </c>
      <c r="B27" s="302">
        <v>5.7916291168298292E-3</v>
      </c>
      <c r="C27" s="302">
        <v>5.937280546527866E-3</v>
      </c>
      <c r="D27" s="302">
        <v>4.6383811532224864E-3</v>
      </c>
      <c r="E27" s="302">
        <v>4.5054708417700783E-3</v>
      </c>
      <c r="F27" s="302">
        <v>3.9347383278862062E-3</v>
      </c>
      <c r="G27" s="302">
        <v>4.7206076136545039E-3</v>
      </c>
      <c r="H27" s="302">
        <v>5.7059771640775303E-3</v>
      </c>
      <c r="I27" s="302">
        <v>4.8527091402502031E-3</v>
      </c>
      <c r="J27" s="302">
        <v>5.1223040924863253E-3</v>
      </c>
      <c r="K27" s="302">
        <v>5.9017030994009557E-3</v>
      </c>
      <c r="L27" s="302">
        <v>4.5262296530922588E-3</v>
      </c>
      <c r="M27" s="302">
        <v>5.7189246855607377E-3</v>
      </c>
      <c r="N27" s="302">
        <v>5.3797127967070927E-3</v>
      </c>
      <c r="O27" s="302">
        <v>5.3011956504467666E-3</v>
      </c>
      <c r="P27" s="302">
        <v>5.237917920397306E-3</v>
      </c>
      <c r="Q27" s="302">
        <v>5.3814145942823674E-3</v>
      </c>
      <c r="R27" s="302">
        <v>5.5168777976391118E-3</v>
      </c>
      <c r="S27" s="302">
        <v>5.6209692699835138E-3</v>
      </c>
      <c r="T27" s="302">
        <v>5.7191628432583623E-3</v>
      </c>
      <c r="U27" s="302">
        <v>5.8059187340780425E-3</v>
      </c>
      <c r="V27" s="302">
        <v>5.8844514539004847E-3</v>
      </c>
      <c r="W27" s="302">
        <v>5.9532854329948197E-3</v>
      </c>
      <c r="X27" s="302">
        <v>6.0074843438338004E-3</v>
      </c>
      <c r="Y27" s="302">
        <v>6.0703765357989553E-3</v>
      </c>
      <c r="Z27" s="302">
        <v>6.1189367777635889E-3</v>
      </c>
      <c r="AA27" s="302">
        <v>6.1486184869664106E-3</v>
      </c>
      <c r="AB27" s="302">
        <v>6.1970121906537402E-3</v>
      </c>
      <c r="AC27" s="302">
        <v>6.2393910977726367E-3</v>
      </c>
      <c r="AD27" s="302">
        <v>6.288262109194539E-3</v>
      </c>
      <c r="AE27" s="302">
        <v>6.3414389204687269E-3</v>
      </c>
      <c r="AF27" s="302">
        <v>6.3878358936876661E-3</v>
      </c>
      <c r="AG27" s="302">
        <v>6.438104776543687E-3</v>
      </c>
      <c r="AH27" s="302">
        <v>6.491152299633614E-3</v>
      </c>
      <c r="AI27" s="302">
        <v>6.5451813611705524E-3</v>
      </c>
      <c r="AJ27" s="302">
        <v>6.5991901140743606E-3</v>
      </c>
      <c r="AK27" s="302">
        <v>6.6620986868066558E-3</v>
      </c>
      <c r="AL27" s="302">
        <v>6.7266169396684537E-3</v>
      </c>
      <c r="AM27" s="302">
        <v>6.7829325511607553E-3</v>
      </c>
      <c r="AN27" s="302">
        <v>6.8361708096209796E-3</v>
      </c>
      <c r="AO27" s="302">
        <v>6.8837290771457688E-3</v>
      </c>
      <c r="AP27" s="302">
        <v>6.926944594161411E-3</v>
      </c>
      <c r="AQ27" s="302">
        <v>6.9701902018654439E-3</v>
      </c>
      <c r="AR27" s="302">
        <v>7.0152082510642842E-3</v>
      </c>
      <c r="AS27" s="302">
        <v>7.0658483783795824E-3</v>
      </c>
      <c r="AT27" s="302">
        <v>7.1105886558731971E-3</v>
      </c>
      <c r="AU27" s="302">
        <v>7.1585754677254377E-3</v>
      </c>
      <c r="AV27" s="472">
        <f t="shared" ref="AV27:AV29" si="2">((AU27-O27)/O27)/32</f>
        <v>1.0949061894191134E-2</v>
      </c>
    </row>
    <row r="28" spans="1:48" s="132" customFormat="1" ht="12.9" customHeight="1">
      <c r="A28" s="5" t="s">
        <v>23</v>
      </c>
      <c r="B28" s="302">
        <v>1.7955278939008688E-2</v>
      </c>
      <c r="C28" s="302">
        <v>1.855505988597872E-2</v>
      </c>
      <c r="D28" s="302">
        <v>1.6026866600000002E-2</v>
      </c>
      <c r="E28" s="302">
        <v>1.4883080470000001E-2</v>
      </c>
      <c r="F28" s="302">
        <v>1.5386824700000001E-2</v>
      </c>
      <c r="G28" s="302">
        <v>1.6241572800000003E-2</v>
      </c>
      <c r="H28" s="302">
        <v>1.7688801300000001E-2</v>
      </c>
      <c r="I28" s="302">
        <v>1.7801590000000003E-2</v>
      </c>
      <c r="J28" s="302">
        <v>1.8345150000000001E-2</v>
      </c>
      <c r="K28" s="302">
        <v>1.870077413E-2</v>
      </c>
      <c r="L28" s="302">
        <v>1.781205353E-2</v>
      </c>
      <c r="M28" s="302">
        <v>1.5444662204402574E-2</v>
      </c>
      <c r="N28" s="302">
        <v>1.6434783251468729E-2</v>
      </c>
      <c r="O28" s="302">
        <v>1.7213502231445299E-2</v>
      </c>
      <c r="P28" s="302">
        <v>1.7715635952360559E-2</v>
      </c>
      <c r="Q28" s="302">
        <v>1.8010916983610691E-2</v>
      </c>
      <c r="R28" s="302">
        <v>1.8270492362032729E-2</v>
      </c>
      <c r="S28" s="302">
        <v>1.8551325448281107E-2</v>
      </c>
      <c r="T28" s="302">
        <v>1.8794949467310869E-2</v>
      </c>
      <c r="U28" s="302">
        <v>1.9006248856264306E-2</v>
      </c>
      <c r="V28" s="302">
        <v>1.918891406955733E-2</v>
      </c>
      <c r="W28" s="302">
        <v>1.9371487368006451E-2</v>
      </c>
      <c r="X28" s="302">
        <v>1.9563062487170935E-2</v>
      </c>
      <c r="Y28" s="302">
        <v>1.9736969304313796E-2</v>
      </c>
      <c r="Z28" s="302">
        <v>1.9983583831591906E-2</v>
      </c>
      <c r="AA28" s="302">
        <v>2.0179975097880398E-2</v>
      </c>
      <c r="AB28" s="302">
        <v>2.0444894820877958E-2</v>
      </c>
      <c r="AC28" s="302">
        <v>2.0666926496980726E-2</v>
      </c>
      <c r="AD28" s="302">
        <v>2.0939615427603267E-2</v>
      </c>
      <c r="AE28" s="302">
        <v>2.1191374846634504E-2</v>
      </c>
      <c r="AF28" s="302">
        <v>2.1480877154437004E-2</v>
      </c>
      <c r="AG28" s="302">
        <v>2.186095057530001E-2</v>
      </c>
      <c r="AH28" s="302">
        <v>2.2045499906395594E-2</v>
      </c>
      <c r="AI28" s="302">
        <v>2.244717223675527E-2</v>
      </c>
      <c r="AJ28" s="302">
        <v>2.2773800977609355E-2</v>
      </c>
      <c r="AK28" s="302">
        <v>2.3136418541943808E-2</v>
      </c>
      <c r="AL28" s="302">
        <v>2.3557356062785376E-2</v>
      </c>
      <c r="AM28" s="302">
        <v>2.3954696258494598E-2</v>
      </c>
      <c r="AN28" s="302">
        <v>2.4282747908954013E-2</v>
      </c>
      <c r="AO28" s="302">
        <v>2.4640940370910573E-2</v>
      </c>
      <c r="AP28" s="302">
        <v>2.4972579535474545E-2</v>
      </c>
      <c r="AQ28" s="302">
        <v>2.5355970196417298E-2</v>
      </c>
      <c r="AR28" s="302">
        <v>2.5709798541094658E-2</v>
      </c>
      <c r="AS28" s="302">
        <v>2.6143484314155491E-2</v>
      </c>
      <c r="AT28" s="302">
        <v>2.6409285913999693E-2</v>
      </c>
      <c r="AU28" s="302">
        <v>2.6797310002802784E-2</v>
      </c>
      <c r="AV28" s="472">
        <f t="shared" si="2"/>
        <v>1.7398783166147992E-2</v>
      </c>
    </row>
    <row r="29" spans="1:48" s="280" customFormat="1" ht="12.9" customHeight="1">
      <c r="A29" s="280" t="s">
        <v>29</v>
      </c>
      <c r="B29" s="302">
        <v>8.2412061777782316E-4</v>
      </c>
      <c r="C29" s="302">
        <v>8.7316280655768319E-4</v>
      </c>
      <c r="D29" s="302">
        <v>8.6287806388219627E-4</v>
      </c>
      <c r="E29" s="302">
        <v>8.9692965689903504E-4</v>
      </c>
      <c r="F29" s="302">
        <v>1.0299269783155885E-3</v>
      </c>
      <c r="G29" s="302">
        <v>9.6984641890891495E-4</v>
      </c>
      <c r="H29" s="302">
        <v>9.9302289583137054E-4</v>
      </c>
      <c r="I29" s="302">
        <v>7.1312236684479039E-4</v>
      </c>
      <c r="J29" s="302">
        <v>7.1312236684479039E-4</v>
      </c>
      <c r="K29" s="302">
        <v>4.5372410590499785E-4</v>
      </c>
      <c r="L29" s="302">
        <v>3.7331955904324772E-4</v>
      </c>
      <c r="M29" s="302">
        <v>4.0743217948383914E-4</v>
      </c>
      <c r="N29" s="302">
        <v>4.8337337819376574E-4</v>
      </c>
      <c r="O29" s="302">
        <v>4.6940387330936907E-4</v>
      </c>
      <c r="P29" s="302">
        <v>4.9457377448712742E-4</v>
      </c>
      <c r="Q29" s="302">
        <v>3.5226371862881538E-4</v>
      </c>
      <c r="R29" s="302">
        <v>3.6867477547903899E-4</v>
      </c>
      <c r="S29" s="302">
        <v>3.7908999351526202E-4</v>
      </c>
      <c r="T29" s="302">
        <v>3.8850563803610603E-4</v>
      </c>
      <c r="U29" s="302">
        <v>3.9806875100179576E-4</v>
      </c>
      <c r="V29" s="302">
        <v>4.0718974786786027E-4</v>
      </c>
      <c r="W29" s="302">
        <v>4.1603447739024411E-4</v>
      </c>
      <c r="X29" s="302">
        <v>4.2139369389151851E-4</v>
      </c>
      <c r="Y29" s="302">
        <v>4.250098124078392E-4</v>
      </c>
      <c r="Z29" s="302">
        <v>4.2855730782775855E-4</v>
      </c>
      <c r="AA29" s="302">
        <v>4.2877908898981287E-4</v>
      </c>
      <c r="AB29" s="302">
        <v>4.3118929640557468E-4</v>
      </c>
      <c r="AC29" s="302">
        <v>4.3212035731627388E-4</v>
      </c>
      <c r="AD29" s="302">
        <v>4.3350520881563399E-4</v>
      </c>
      <c r="AE29" s="302">
        <v>4.3498388359859003E-4</v>
      </c>
      <c r="AF29" s="302">
        <v>4.3573170791483517E-4</v>
      </c>
      <c r="AG29" s="302">
        <v>4.3729863765238188E-4</v>
      </c>
      <c r="AH29" s="302">
        <v>4.3912605877143181E-4</v>
      </c>
      <c r="AI29" s="302">
        <v>4.4107849118941447E-4</v>
      </c>
      <c r="AJ29" s="302">
        <v>4.4248870386752958E-4</v>
      </c>
      <c r="AK29" s="302">
        <v>4.4523944299149071E-4</v>
      </c>
      <c r="AL29" s="302">
        <v>4.4639963647250322E-4</v>
      </c>
      <c r="AM29" s="302">
        <v>4.4633622786419759E-4</v>
      </c>
      <c r="AN29" s="302">
        <v>4.4583217194575577E-4</v>
      </c>
      <c r="AO29" s="302">
        <v>4.4474790733361151E-4</v>
      </c>
      <c r="AP29" s="302">
        <v>4.4397996220646674E-4</v>
      </c>
      <c r="AQ29" s="302">
        <v>4.4354273406648582E-4</v>
      </c>
      <c r="AR29" s="302">
        <v>4.4182746645977027E-4</v>
      </c>
      <c r="AS29" s="302">
        <v>4.4161932121147054E-4</v>
      </c>
      <c r="AT29" s="302">
        <v>4.399941256991138E-4</v>
      </c>
      <c r="AU29" s="302">
        <v>4.3972207054234391E-4</v>
      </c>
      <c r="AV29" s="472">
        <f t="shared" si="2"/>
        <v>-1.9760304275508464E-3</v>
      </c>
    </row>
    <row r="30" spans="1:48" s="280" customFormat="1" ht="12.9" customHeight="1">
      <c r="A30" s="280" t="s">
        <v>58</v>
      </c>
      <c r="B30" s="302">
        <v>6.7804572629369363E-3</v>
      </c>
      <c r="C30" s="302">
        <v>7.084609643170898E-3</v>
      </c>
      <c r="D30" s="302">
        <v>6.6965625211192169E-3</v>
      </c>
      <c r="E30" s="302">
        <v>5.7652291992522772E-3</v>
      </c>
      <c r="F30" s="302">
        <v>2.1334181483211668E-3</v>
      </c>
      <c r="G30" s="302">
        <v>0</v>
      </c>
      <c r="H30" s="302">
        <v>0</v>
      </c>
      <c r="I30" s="302">
        <v>0</v>
      </c>
      <c r="J30" s="302">
        <v>0</v>
      </c>
      <c r="K30" s="302">
        <v>0</v>
      </c>
      <c r="L30" s="302">
        <v>0</v>
      </c>
      <c r="M30" s="302"/>
      <c r="N30" s="302">
        <v>0</v>
      </c>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472"/>
    </row>
    <row r="31" spans="1:48" s="212" customFormat="1" ht="12.9" customHeight="1">
      <c r="A31" s="473" t="s">
        <v>31</v>
      </c>
      <c r="B31" s="302">
        <v>0.1068870445352794</v>
      </c>
      <c r="C31" s="302">
        <v>0.10739627155380832</v>
      </c>
      <c r="D31" s="302">
        <v>9.611717890950533E-2</v>
      </c>
      <c r="E31" s="302">
        <v>9.0873015177546229E-2</v>
      </c>
      <c r="F31" s="302">
        <v>7.5575866736152603E-2</v>
      </c>
      <c r="G31" s="302">
        <v>7.8573746918458962E-2</v>
      </c>
      <c r="H31" s="302">
        <v>7.3637634514515535E-2</v>
      </c>
      <c r="I31" s="302">
        <v>7.3671052311440319E-2</v>
      </c>
      <c r="J31" s="302">
        <v>7.9595116311741695E-2</v>
      </c>
      <c r="K31" s="302">
        <v>7.5019764215508933E-2</v>
      </c>
      <c r="L31" s="302">
        <v>7.2497480043072909E-2</v>
      </c>
      <c r="M31" s="302">
        <v>9.1572079810057286E-2</v>
      </c>
      <c r="N31" s="302">
        <v>8.8145152495871612E-2</v>
      </c>
      <c r="O31" s="302">
        <v>8.6484463651335747E-2</v>
      </c>
      <c r="P31" s="302">
        <v>8.823596145997277E-2</v>
      </c>
      <c r="Q31" s="302">
        <v>7.942595252094603E-2</v>
      </c>
      <c r="R31" s="302">
        <v>7.722563197255114E-2</v>
      </c>
      <c r="S31" s="302">
        <v>7.4075805612166576E-2</v>
      </c>
      <c r="T31" s="302">
        <v>7.3329427314525755E-2</v>
      </c>
      <c r="U31" s="302">
        <v>7.4717862106300742E-2</v>
      </c>
      <c r="V31" s="302">
        <v>7.1776096137069312E-2</v>
      </c>
      <c r="W31" s="302">
        <v>7.1586928663630756E-2</v>
      </c>
      <c r="X31" s="302">
        <v>6.9439647866035611E-2</v>
      </c>
      <c r="Y31" s="302">
        <v>7.002922919602747E-2</v>
      </c>
      <c r="Z31" s="302">
        <v>7.0801829993854495E-2</v>
      </c>
      <c r="AA31" s="302">
        <v>7.0830982404751552E-2</v>
      </c>
      <c r="AB31" s="302">
        <v>7.0828870167856467E-2</v>
      </c>
      <c r="AC31" s="302">
        <v>7.1872852710246529E-2</v>
      </c>
      <c r="AD31" s="302">
        <v>7.4847648450190027E-2</v>
      </c>
      <c r="AE31" s="302">
        <v>7.6948244505163632E-2</v>
      </c>
      <c r="AF31" s="302">
        <v>7.7719455184802749E-2</v>
      </c>
      <c r="AG31" s="302">
        <v>7.6606876577738528E-2</v>
      </c>
      <c r="AH31" s="302">
        <v>7.7542071338313243E-2</v>
      </c>
      <c r="AI31" s="302">
        <v>7.9197395570411389E-2</v>
      </c>
      <c r="AJ31" s="302">
        <v>8.1135613293829068E-2</v>
      </c>
      <c r="AK31" s="302">
        <v>8.0898669014212735E-2</v>
      </c>
      <c r="AL31" s="302">
        <v>8.2329453279710904E-2</v>
      </c>
      <c r="AM31" s="302">
        <v>8.1251314127790464E-2</v>
      </c>
      <c r="AN31" s="302">
        <v>8.398654698393096E-2</v>
      </c>
      <c r="AO31" s="302">
        <v>8.4734321796352985E-2</v>
      </c>
      <c r="AP31" s="302">
        <v>8.6737838690683827E-2</v>
      </c>
      <c r="AQ31" s="302">
        <v>8.7136032973660002E-2</v>
      </c>
      <c r="AR31" s="302">
        <v>8.8599516072758969E-2</v>
      </c>
      <c r="AS31" s="302">
        <v>8.8521194433504508E-2</v>
      </c>
      <c r="AT31" s="302">
        <v>9.7452809171188925E-2</v>
      </c>
      <c r="AU31" s="302">
        <v>9.9241280031093768E-2</v>
      </c>
      <c r="AV31" s="472">
        <f>((AU31-O31)/O31)/32</f>
        <v>4.6095043553094983E-3</v>
      </c>
    </row>
    <row r="32" spans="1:48" s="44" customFormat="1" ht="12.9" customHeight="1">
      <c r="A32" s="473" t="s">
        <v>24</v>
      </c>
      <c r="B32" s="302">
        <v>6.8849999999999995E-2</v>
      </c>
      <c r="C32" s="302">
        <v>7.2876999999999997E-2</v>
      </c>
      <c r="D32" s="302">
        <v>7.5440999999999994E-2</v>
      </c>
      <c r="E32" s="302">
        <v>7.8029000000000001E-2</v>
      </c>
      <c r="F32" s="302">
        <v>7.3422000000000001E-2</v>
      </c>
      <c r="G32" s="302">
        <v>7.3613999999999999E-2</v>
      </c>
      <c r="H32" s="302">
        <v>7.8514E-2</v>
      </c>
      <c r="I32" s="302">
        <v>8.0490999999999993E-2</v>
      </c>
      <c r="J32" s="302">
        <v>8.3570000000000005E-2</v>
      </c>
      <c r="K32" s="302">
        <v>8.2968E-2</v>
      </c>
      <c r="L32" s="302">
        <v>8.1389000000000003E-2</v>
      </c>
      <c r="M32" s="302">
        <v>8.5515999999999995E-2</v>
      </c>
      <c r="N32" s="302">
        <v>8.0656000000000005E-2</v>
      </c>
      <c r="O32" s="302">
        <v>7.8219999999999998E-2</v>
      </c>
      <c r="P32" s="302">
        <v>7.276333066532932E-2</v>
      </c>
      <c r="Q32" s="302">
        <v>7.9093223888812139E-2</v>
      </c>
      <c r="R32" s="302">
        <v>7.9828601880291644E-2</v>
      </c>
      <c r="S32" s="302">
        <v>8.1953955832681433E-2</v>
      </c>
      <c r="T32" s="302">
        <v>8.3323900633450493E-2</v>
      </c>
      <c r="U32" s="302">
        <v>9.1150818633036382E-2</v>
      </c>
      <c r="V32" s="302">
        <v>9.2161959354050318E-2</v>
      </c>
      <c r="W32" s="302">
        <v>9.6376887656443394E-2</v>
      </c>
      <c r="X32" s="302">
        <v>9.5804397911325084E-2</v>
      </c>
      <c r="Y32" s="302">
        <v>9.7534850681985405E-2</v>
      </c>
      <c r="Z32" s="302">
        <v>9.4340027025815523E-2</v>
      </c>
      <c r="AA32" s="302">
        <v>9.5828800761311478E-2</v>
      </c>
      <c r="AB32" s="302">
        <v>9.6282093611913894E-2</v>
      </c>
      <c r="AC32" s="302">
        <v>9.694646270036672E-2</v>
      </c>
      <c r="AD32" s="302">
        <v>9.6329900560564577E-2</v>
      </c>
      <c r="AE32" s="302">
        <v>9.7891918323134569E-2</v>
      </c>
      <c r="AF32" s="302">
        <v>9.8012353183182632E-2</v>
      </c>
      <c r="AG32" s="302">
        <v>9.9426677626477861E-2</v>
      </c>
      <c r="AH32" s="302">
        <v>0.10031587077987325</v>
      </c>
      <c r="AI32" s="302">
        <v>0.10232370593503669</v>
      </c>
      <c r="AJ32" s="302">
        <v>0.10312553633746289</v>
      </c>
      <c r="AK32" s="302">
        <v>0.10447437731143261</v>
      </c>
      <c r="AL32" s="302">
        <v>0.10623271026377706</v>
      </c>
      <c r="AM32" s="302">
        <v>0.10688710930998516</v>
      </c>
      <c r="AN32" s="302">
        <v>0.10908504529703406</v>
      </c>
      <c r="AO32" s="302">
        <v>0.11182548607403289</v>
      </c>
      <c r="AP32" s="302">
        <v>0.11325869298173034</v>
      </c>
      <c r="AQ32" s="302">
        <v>0.11431925574471383</v>
      </c>
      <c r="AR32" s="302">
        <v>0.11611924206250866</v>
      </c>
      <c r="AS32" s="302">
        <v>0.11790804840538878</v>
      </c>
      <c r="AT32" s="302">
        <v>0.11806621490255742</v>
      </c>
      <c r="AU32" s="302">
        <v>0.11980385878757892</v>
      </c>
      <c r="AV32" s="472">
        <f>((AU32-O32)/O32)/32</f>
        <v>1.6613341691534663E-2</v>
      </c>
    </row>
    <row r="33" spans="1:48" s="280" customFormat="1" ht="12.9" customHeight="1">
      <c r="A33" s="280" t="s">
        <v>59</v>
      </c>
      <c r="B33" s="302">
        <v>0</v>
      </c>
      <c r="C33" s="302">
        <v>0</v>
      </c>
      <c r="D33" s="302">
        <v>0</v>
      </c>
      <c r="E33" s="302">
        <v>0</v>
      </c>
      <c r="F33" s="302">
        <v>0</v>
      </c>
      <c r="G33" s="302">
        <v>0</v>
      </c>
      <c r="H33" s="302">
        <v>0</v>
      </c>
      <c r="I33" s="302">
        <v>0</v>
      </c>
      <c r="J33" s="302">
        <v>0</v>
      </c>
      <c r="K33" s="302">
        <v>0</v>
      </c>
      <c r="L33" s="302">
        <v>0</v>
      </c>
      <c r="M33" s="302"/>
      <c r="N33" s="302">
        <v>0</v>
      </c>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472"/>
    </row>
    <row r="34" spans="1:48" s="280" customFormat="1" ht="12.9" customHeight="1">
      <c r="A34" s="280" t="s">
        <v>33</v>
      </c>
      <c r="B34" s="302">
        <v>0</v>
      </c>
      <c r="C34" s="302">
        <v>0</v>
      </c>
      <c r="D34" s="302">
        <v>0</v>
      </c>
      <c r="E34" s="302">
        <v>0</v>
      </c>
      <c r="F34" s="302">
        <v>0</v>
      </c>
      <c r="G34" s="302">
        <v>0</v>
      </c>
      <c r="H34" s="302">
        <v>0</v>
      </c>
      <c r="I34" s="302">
        <v>0</v>
      </c>
      <c r="J34" s="302">
        <v>0</v>
      </c>
      <c r="K34" s="302">
        <v>0</v>
      </c>
      <c r="L34" s="302">
        <v>0</v>
      </c>
      <c r="M34" s="302"/>
      <c r="N34" s="302">
        <v>0</v>
      </c>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472"/>
    </row>
    <row r="35" spans="1:48" s="280" customFormat="1" ht="12.9" customHeight="1">
      <c r="A35" s="280" t="s">
        <v>60</v>
      </c>
      <c r="B35" s="302">
        <v>6.8849999999999995E-2</v>
      </c>
      <c r="C35" s="302">
        <v>7.2876999999999997E-2</v>
      </c>
      <c r="D35" s="302">
        <v>7.5440999999999994E-2</v>
      </c>
      <c r="E35" s="302">
        <v>7.8029000000000001E-2</v>
      </c>
      <c r="F35" s="302">
        <v>7.3422000000000001E-2</v>
      </c>
      <c r="G35" s="302">
        <v>7.3613999999999999E-2</v>
      </c>
      <c r="H35" s="302">
        <v>7.8514E-2</v>
      </c>
      <c r="I35" s="302">
        <v>8.0490999999999993E-2</v>
      </c>
      <c r="J35" s="302">
        <v>8.3570000000000005E-2</v>
      </c>
      <c r="K35" s="302">
        <v>8.2968E-2</v>
      </c>
      <c r="L35" s="302">
        <v>8.1389000000000003E-2</v>
      </c>
      <c r="M35" s="302">
        <v>8.5515999999999995E-2</v>
      </c>
      <c r="N35" s="302">
        <v>8.0656000000000005E-2</v>
      </c>
      <c r="O35" s="302">
        <v>7.8219999999999998E-2</v>
      </c>
      <c r="P35" s="302">
        <v>7.276333066532932E-2</v>
      </c>
      <c r="Q35" s="302">
        <v>7.9093223888812139E-2</v>
      </c>
      <c r="R35" s="302">
        <v>7.9828601880291644E-2</v>
      </c>
      <c r="S35" s="302">
        <v>8.1953955832681433E-2</v>
      </c>
      <c r="T35" s="302">
        <v>8.3323900633450493E-2</v>
      </c>
      <c r="U35" s="302">
        <v>9.1150818633036382E-2</v>
      </c>
      <c r="V35" s="302">
        <v>9.2161959354050318E-2</v>
      </c>
      <c r="W35" s="302">
        <v>9.6376887656443394E-2</v>
      </c>
      <c r="X35" s="302">
        <v>9.5804397911325084E-2</v>
      </c>
      <c r="Y35" s="302">
        <v>9.7534850681985405E-2</v>
      </c>
      <c r="Z35" s="302">
        <v>9.4340027025815523E-2</v>
      </c>
      <c r="AA35" s="302">
        <v>9.5828800761311478E-2</v>
      </c>
      <c r="AB35" s="302">
        <v>9.6282093611913894E-2</v>
      </c>
      <c r="AC35" s="302">
        <v>9.694646270036672E-2</v>
      </c>
      <c r="AD35" s="302">
        <v>9.6329900560564577E-2</v>
      </c>
      <c r="AE35" s="302">
        <v>9.7891918323134569E-2</v>
      </c>
      <c r="AF35" s="302">
        <v>9.8012353183182632E-2</v>
      </c>
      <c r="AG35" s="302">
        <v>9.9426677626477861E-2</v>
      </c>
      <c r="AH35" s="302">
        <v>0.10031587077987325</v>
      </c>
      <c r="AI35" s="302">
        <v>0.10232370593503669</v>
      </c>
      <c r="AJ35" s="302">
        <v>0.10312553633746289</v>
      </c>
      <c r="AK35" s="302">
        <v>0.10447437731143261</v>
      </c>
      <c r="AL35" s="302">
        <v>0.10623271026377706</v>
      </c>
      <c r="AM35" s="302">
        <v>0.10688710930998516</v>
      </c>
      <c r="AN35" s="302">
        <v>0.10908504529703406</v>
      </c>
      <c r="AO35" s="302">
        <v>0.11182548607403289</v>
      </c>
      <c r="AP35" s="302">
        <v>0.11325869298173034</v>
      </c>
      <c r="AQ35" s="302">
        <v>0.11431925574471383</v>
      </c>
      <c r="AR35" s="302">
        <v>0.11611924206250866</v>
      </c>
      <c r="AS35" s="302">
        <v>0.11790804840538878</v>
      </c>
      <c r="AT35" s="302">
        <v>0.11806621490255742</v>
      </c>
      <c r="AU35" s="302">
        <v>0.11980385878757892</v>
      </c>
      <c r="AV35" s="472">
        <f>((AU35-O35)/O35)/32</f>
        <v>1.6613341691534663E-2</v>
      </c>
    </row>
    <row r="36" spans="1:48" s="280" customFormat="1" ht="12.9" customHeight="1">
      <c r="A36" s="280" t="s">
        <v>34</v>
      </c>
      <c r="B36" s="302">
        <v>0</v>
      </c>
      <c r="C36" s="302">
        <v>0</v>
      </c>
      <c r="D36" s="302">
        <v>0</v>
      </c>
      <c r="E36" s="302">
        <v>0</v>
      </c>
      <c r="F36" s="302">
        <v>9.0112102968652682E-6</v>
      </c>
      <c r="G36" s="302">
        <v>0</v>
      </c>
      <c r="H36" s="302">
        <v>0</v>
      </c>
      <c r="I36" s="302">
        <v>0</v>
      </c>
      <c r="J36" s="302">
        <v>0</v>
      </c>
      <c r="K36" s="302">
        <v>0</v>
      </c>
      <c r="L36" s="302">
        <v>0</v>
      </c>
      <c r="M36" s="302"/>
      <c r="N36" s="302">
        <v>0</v>
      </c>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472"/>
    </row>
    <row r="37" spans="1:48" s="280" customFormat="1" ht="12.9" customHeight="1">
      <c r="A37" s="280" t="s">
        <v>35</v>
      </c>
      <c r="B37" s="302">
        <v>3.578721760051585E-3</v>
      </c>
      <c r="C37" s="302">
        <v>3.5378419884432365E-3</v>
      </c>
      <c r="D37" s="302">
        <v>3.601623417064563E-3</v>
      </c>
      <c r="E37" s="302">
        <v>3.4036628607016814E-3</v>
      </c>
      <c r="F37" s="302">
        <v>2.7784565082001247E-3</v>
      </c>
      <c r="G37" s="302">
        <v>2.8077787004359561E-3</v>
      </c>
      <c r="H37" s="302">
        <v>2.9050425576084703E-3</v>
      </c>
      <c r="I37" s="302">
        <v>2.5746315133900765E-3</v>
      </c>
      <c r="J37" s="302">
        <v>2.360078887274237E-3</v>
      </c>
      <c r="K37" s="302">
        <v>2.549671891218601E-3</v>
      </c>
      <c r="L37" s="302">
        <v>2.522852812954121E-3</v>
      </c>
      <c r="M37" s="302">
        <v>1.0173769018919877E-3</v>
      </c>
      <c r="N37" s="302">
        <v>1.7967467372497011E-3</v>
      </c>
      <c r="O37" s="302">
        <v>1.6403479487919937E-3</v>
      </c>
      <c r="P37" s="302">
        <v>1.6397938217237711E-3</v>
      </c>
      <c r="Q37" s="302">
        <v>1.6927496638626264E-3</v>
      </c>
      <c r="R37" s="302">
        <v>1.7383576924533729E-3</v>
      </c>
      <c r="S37" s="302">
        <v>1.7582790354424703E-3</v>
      </c>
      <c r="T37" s="302">
        <v>1.7786153571335281E-3</v>
      </c>
      <c r="U37" s="302">
        <v>1.7987965357694176E-3</v>
      </c>
      <c r="V37" s="302">
        <v>1.8196152229477875E-3</v>
      </c>
      <c r="W37" s="302">
        <v>1.8290878010054025E-3</v>
      </c>
      <c r="X37" s="302">
        <v>1.8287065976620039E-3</v>
      </c>
      <c r="Y37" s="302">
        <v>1.8335751346784499E-3</v>
      </c>
      <c r="Z37" s="302">
        <v>1.8351780338873296E-3</v>
      </c>
      <c r="AA37" s="302">
        <v>1.8232385845439131E-3</v>
      </c>
      <c r="AB37" s="302">
        <v>1.8148842071495166E-3</v>
      </c>
      <c r="AC37" s="302">
        <v>1.8060606207112597E-3</v>
      </c>
      <c r="AD37" s="302">
        <v>1.797594444729413E-3</v>
      </c>
      <c r="AE37" s="302">
        <v>1.7964466385273924E-3</v>
      </c>
      <c r="AF37" s="302">
        <v>1.7923162327802826E-3</v>
      </c>
      <c r="AG37" s="302">
        <v>1.8033153131354644E-3</v>
      </c>
      <c r="AH37" s="302">
        <v>1.818188324751417E-3</v>
      </c>
      <c r="AI37" s="302">
        <v>1.8349282352719501E-3</v>
      </c>
      <c r="AJ37" s="302">
        <v>1.8500304257512267E-3</v>
      </c>
      <c r="AK37" s="302">
        <v>1.8669060835588137E-3</v>
      </c>
      <c r="AL37" s="302">
        <v>1.8862858667047784E-3</v>
      </c>
      <c r="AM37" s="302">
        <v>1.9033101954581797E-3</v>
      </c>
      <c r="AN37" s="302">
        <v>1.9207368994498615E-3</v>
      </c>
      <c r="AO37" s="302">
        <v>1.9384037137312941E-3</v>
      </c>
      <c r="AP37" s="302">
        <v>1.9576260271606189E-3</v>
      </c>
      <c r="AQ37" s="302">
        <v>1.9754763720339083E-3</v>
      </c>
      <c r="AR37" s="302">
        <v>1.9930785504505117E-3</v>
      </c>
      <c r="AS37" s="302">
        <v>2.0118297709401148E-3</v>
      </c>
      <c r="AT37" s="302">
        <v>2.029916944125867E-3</v>
      </c>
      <c r="AU37" s="302">
        <v>2.0489854985073345E-3</v>
      </c>
      <c r="AV37" s="472">
        <f>((AU37-O37)/O37)/32</f>
        <v>7.784887004009481E-3</v>
      </c>
    </row>
    <row r="38" spans="1:48" s="280" customFormat="1" ht="12.9" customHeight="1">
      <c r="A38" s="280" t="s">
        <v>61</v>
      </c>
      <c r="B38" s="302">
        <v>0</v>
      </c>
      <c r="C38" s="302">
        <v>0</v>
      </c>
      <c r="D38" s="302">
        <v>0</v>
      </c>
      <c r="E38" s="302">
        <v>0</v>
      </c>
      <c r="F38" s="302">
        <v>0</v>
      </c>
      <c r="G38" s="302">
        <v>0</v>
      </c>
      <c r="H38" s="302">
        <v>0</v>
      </c>
      <c r="I38" s="302">
        <v>0</v>
      </c>
      <c r="J38" s="302">
        <v>0</v>
      </c>
      <c r="K38" s="302">
        <v>0</v>
      </c>
      <c r="L38" s="302">
        <v>0</v>
      </c>
      <c r="M38" s="302"/>
      <c r="N38" s="302">
        <v>0</v>
      </c>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472"/>
    </row>
    <row r="39" spans="1:48" s="280" customFormat="1" ht="12.9" customHeight="1">
      <c r="A39" s="280" t="s">
        <v>62</v>
      </c>
      <c r="B39" s="302">
        <v>0</v>
      </c>
      <c r="C39" s="302">
        <v>0</v>
      </c>
      <c r="D39" s="302">
        <v>0</v>
      </c>
      <c r="E39" s="302">
        <v>0</v>
      </c>
      <c r="F39" s="302">
        <v>0</v>
      </c>
      <c r="G39" s="302">
        <v>0</v>
      </c>
      <c r="H39" s="302">
        <v>0</v>
      </c>
      <c r="I39" s="302">
        <v>0</v>
      </c>
      <c r="J39" s="302">
        <v>0</v>
      </c>
      <c r="K39" s="302">
        <v>0</v>
      </c>
      <c r="L39" s="302">
        <v>0</v>
      </c>
      <c r="M39" s="302"/>
      <c r="N39" s="302">
        <v>0</v>
      </c>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472"/>
    </row>
    <row r="40" spans="1:48" s="280" customFormat="1" ht="12.9" customHeight="1">
      <c r="A40" s="280" t="s">
        <v>63</v>
      </c>
      <c r="B40" s="302">
        <v>3.578721760051585E-3</v>
      </c>
      <c r="C40" s="302">
        <v>3.5378419884432365E-3</v>
      </c>
      <c r="D40" s="302">
        <v>3.601623417064563E-3</v>
      </c>
      <c r="E40" s="302">
        <v>3.4036628607016814E-3</v>
      </c>
      <c r="F40" s="302">
        <v>2.7874677184969894E-3</v>
      </c>
      <c r="G40" s="302">
        <v>2.8077787004359561E-3</v>
      </c>
      <c r="H40" s="302">
        <v>2.9050425576084703E-3</v>
      </c>
      <c r="I40" s="302">
        <v>2.5746315133900765E-3</v>
      </c>
      <c r="J40" s="302">
        <v>2.360078887274237E-3</v>
      </c>
      <c r="K40" s="302">
        <v>2.549671891218601E-3</v>
      </c>
      <c r="L40" s="302">
        <v>2.522852812954121E-3</v>
      </c>
      <c r="M40" s="302">
        <v>1.6812374124580017E-3</v>
      </c>
      <c r="N40" s="302">
        <v>1.7967467372497011E-3</v>
      </c>
      <c r="O40" s="302">
        <v>1.6403479487919937E-3</v>
      </c>
      <c r="P40" s="302">
        <v>1.6397938217237711E-3</v>
      </c>
      <c r="Q40" s="302">
        <v>1.6927496638626264E-3</v>
      </c>
      <c r="R40" s="302">
        <v>1.7383576924533729E-3</v>
      </c>
      <c r="S40" s="302">
        <v>1.7582790354424703E-3</v>
      </c>
      <c r="T40" s="302">
        <v>1.7786153571335281E-3</v>
      </c>
      <c r="U40" s="302">
        <v>1.7987965357694176E-3</v>
      </c>
      <c r="V40" s="302">
        <v>1.8196152229477875E-3</v>
      </c>
      <c r="W40" s="302">
        <v>1.8290878010054025E-3</v>
      </c>
      <c r="X40" s="302">
        <v>1.8287065976620039E-3</v>
      </c>
      <c r="Y40" s="302">
        <v>1.8335751346784499E-3</v>
      </c>
      <c r="Z40" s="302">
        <v>1.8351780338873296E-3</v>
      </c>
      <c r="AA40" s="302">
        <v>1.8232385845439131E-3</v>
      </c>
      <c r="AB40" s="302">
        <v>1.8148842071495166E-3</v>
      </c>
      <c r="AC40" s="302">
        <v>1.8060606207112597E-3</v>
      </c>
      <c r="AD40" s="302">
        <v>1.797594444729413E-3</v>
      </c>
      <c r="AE40" s="302">
        <v>1.7964466385273924E-3</v>
      </c>
      <c r="AF40" s="302">
        <v>1.7923162327802826E-3</v>
      </c>
      <c r="AG40" s="302">
        <v>1.8033153131354644E-3</v>
      </c>
      <c r="AH40" s="302">
        <v>1.818188324751417E-3</v>
      </c>
      <c r="AI40" s="302">
        <v>1.8349282352719501E-3</v>
      </c>
      <c r="AJ40" s="302">
        <v>1.8500304257512267E-3</v>
      </c>
      <c r="AK40" s="302">
        <v>1.8669060835588137E-3</v>
      </c>
      <c r="AL40" s="302">
        <v>1.8862858667047784E-3</v>
      </c>
      <c r="AM40" s="302">
        <v>1.9033101954581797E-3</v>
      </c>
      <c r="AN40" s="302">
        <v>1.9207368994498615E-3</v>
      </c>
      <c r="AO40" s="302">
        <v>1.9384037137312941E-3</v>
      </c>
      <c r="AP40" s="302">
        <v>1.9576260271606189E-3</v>
      </c>
      <c r="AQ40" s="302">
        <v>1.9754763720339083E-3</v>
      </c>
      <c r="AR40" s="302">
        <v>1.9930785504505117E-3</v>
      </c>
      <c r="AS40" s="302">
        <v>2.0118297709401148E-3</v>
      </c>
      <c r="AT40" s="302">
        <v>2.029916944125867E-3</v>
      </c>
      <c r="AU40" s="302">
        <v>2.0489854985073345E-3</v>
      </c>
      <c r="AV40" s="472">
        <f>((AU40-O40)/O40)/32</f>
        <v>7.784887004009481E-3</v>
      </c>
    </row>
    <row r="41" spans="1:48" s="280" customFormat="1" ht="12.9" customHeight="1">
      <c r="A41" s="280" t="s">
        <v>64</v>
      </c>
      <c r="B41" s="302">
        <v>1.5117250181316221E-4</v>
      </c>
      <c r="C41" s="302">
        <v>3.3037776342387145E-4</v>
      </c>
      <c r="D41" s="302">
        <v>4.8742678527615536E-4</v>
      </c>
      <c r="E41" s="302">
        <v>6.5784096757521247E-3</v>
      </c>
      <c r="F41" s="302">
        <v>4.1496094140132276E-3</v>
      </c>
      <c r="G41" s="302">
        <v>2.2961283206401749E-2</v>
      </c>
      <c r="H41" s="302">
        <v>1.2303822477270977E-2</v>
      </c>
      <c r="I41" s="302">
        <v>1.9445217497718964E-2</v>
      </c>
      <c r="J41" s="302">
        <v>1.9260024950121642E-2</v>
      </c>
      <c r="K41" s="302">
        <v>1.993060716497155E-2</v>
      </c>
      <c r="L41" s="302">
        <v>2.2542748048831798E-2</v>
      </c>
      <c r="M41" s="302">
        <v>1.6021667371164956E-2</v>
      </c>
      <c r="N41" s="302">
        <v>1.8509990455494323E-2</v>
      </c>
      <c r="O41" s="302">
        <v>1.8464276103544501E-2</v>
      </c>
      <c r="P41" s="302">
        <v>1.9836643661231276E-2</v>
      </c>
      <c r="Q41" s="302">
        <v>1.9881592849186679E-2</v>
      </c>
      <c r="R41" s="302">
        <v>1.9822149787409191E-2</v>
      </c>
      <c r="S41" s="302">
        <v>1.965289178184277E-2</v>
      </c>
      <c r="T41" s="302">
        <v>1.9377926639280837E-2</v>
      </c>
      <c r="U41" s="302">
        <v>1.9105449753377669E-2</v>
      </c>
      <c r="V41" s="302">
        <v>1.8650337086299516E-2</v>
      </c>
      <c r="W41" s="302">
        <v>1.8414397382525538E-2</v>
      </c>
      <c r="X41" s="302">
        <v>1.8210549898899062E-2</v>
      </c>
      <c r="Y41" s="302">
        <v>1.8006744241297636E-2</v>
      </c>
      <c r="Z41" s="302">
        <v>1.7732854589539923E-2</v>
      </c>
      <c r="AA41" s="302">
        <v>1.7509105435232819E-2</v>
      </c>
      <c r="AB41" s="302">
        <v>1.7065836481412015E-2</v>
      </c>
      <c r="AC41" s="302">
        <v>1.6883414531673215E-2</v>
      </c>
      <c r="AD41" s="302">
        <v>1.6665483966545498E-2</v>
      </c>
      <c r="AE41" s="302">
        <v>1.6656144523520097E-2</v>
      </c>
      <c r="AF41" s="302">
        <v>1.6429773816579441E-2</v>
      </c>
      <c r="AG41" s="302">
        <v>1.6194635916882343E-2</v>
      </c>
      <c r="AH41" s="302">
        <v>1.6195309239426216E-2</v>
      </c>
      <c r="AI41" s="302">
        <v>1.6216734380102436E-2</v>
      </c>
      <c r="AJ41" s="302">
        <v>1.6233165406886772E-2</v>
      </c>
      <c r="AK41" s="302">
        <v>1.6241680770410778E-2</v>
      </c>
      <c r="AL41" s="302">
        <v>1.6281371477858918E-2</v>
      </c>
      <c r="AM41" s="302">
        <v>1.6303712908250518E-2</v>
      </c>
      <c r="AN41" s="302">
        <v>1.5902915992156725E-2</v>
      </c>
      <c r="AO41" s="302">
        <v>1.6115203589702823E-2</v>
      </c>
      <c r="AP41" s="302">
        <v>1.6110452010254801E-2</v>
      </c>
      <c r="AQ41" s="302">
        <v>1.6191762706744061E-2</v>
      </c>
      <c r="AR41" s="302">
        <v>1.6191539250903351E-2</v>
      </c>
      <c r="AS41" s="302">
        <v>1.6361711361541208E-2</v>
      </c>
      <c r="AT41" s="302">
        <v>1.6315522382539704E-2</v>
      </c>
      <c r="AU41" s="302">
        <v>1.6262542330404296E-2</v>
      </c>
      <c r="AV41" s="472">
        <f t="shared" ref="AV41:AV43" si="3">((AU41-O41)/O41)/32</f>
        <v>-3.7263405304810951E-3</v>
      </c>
    </row>
    <row r="42" spans="1:48" s="280" customFormat="1" ht="12.9" customHeight="1">
      <c r="A42" s="280" t="s">
        <v>65</v>
      </c>
      <c r="B42" s="531">
        <v>5.7077000000000003E-2</v>
      </c>
      <c r="C42" s="531">
        <v>8.1279000000000004E-2</v>
      </c>
      <c r="D42" s="531">
        <v>5.5065999999999997E-2</v>
      </c>
      <c r="E42" s="531">
        <v>5.5499E-2</v>
      </c>
      <c r="F42" s="531">
        <v>5.6826000000000002E-2</v>
      </c>
      <c r="G42" s="531">
        <v>7.6332999999999998E-2</v>
      </c>
      <c r="H42" s="531">
        <v>7.4995999999999993E-2</v>
      </c>
      <c r="I42" s="531">
        <v>7.8010999999999997E-2</v>
      </c>
      <c r="J42" s="531">
        <v>7.8285999999999994E-2</v>
      </c>
      <c r="K42" s="531">
        <v>7.8298000000000006E-2</v>
      </c>
      <c r="L42" s="531">
        <v>7.8807000000000002E-2</v>
      </c>
      <c r="M42" s="531">
        <v>8.4869E-2</v>
      </c>
      <c r="N42" s="302">
        <v>8.540103855387475E-2</v>
      </c>
      <c r="O42" s="302">
        <v>8.5583858738779425E-2</v>
      </c>
      <c r="P42" s="302">
        <v>8.1731675584816421E-2</v>
      </c>
      <c r="Q42" s="302">
        <v>8.480599550687945E-2</v>
      </c>
      <c r="R42" s="302">
        <v>8.7744053516956633E-2</v>
      </c>
      <c r="S42" s="302">
        <v>8.9983123922882116E-2</v>
      </c>
      <c r="T42" s="302">
        <v>9.2274848864889278E-2</v>
      </c>
      <c r="U42" s="302">
        <v>9.4915789271971099E-2</v>
      </c>
      <c r="V42" s="302">
        <v>9.80179598666093E-2</v>
      </c>
      <c r="W42" s="302">
        <v>0.10090951724034121</v>
      </c>
      <c r="X42" s="302">
        <v>0.1030578265478653</v>
      </c>
      <c r="Y42" s="302">
        <v>0.10547765350818566</v>
      </c>
      <c r="Z42" s="302">
        <v>0.10800304521848822</v>
      </c>
      <c r="AA42" s="302">
        <v>0.11034326507374462</v>
      </c>
      <c r="AB42" s="302">
        <v>0.11311569900449354</v>
      </c>
      <c r="AC42" s="302">
        <v>0.11588570221118701</v>
      </c>
      <c r="AD42" s="302">
        <v>0.1189650300807799</v>
      </c>
      <c r="AE42" s="302">
        <v>0.12297941209343242</v>
      </c>
      <c r="AF42" s="302">
        <v>0.1270714313977569</v>
      </c>
      <c r="AG42" s="302">
        <v>0.13114905254520956</v>
      </c>
      <c r="AH42" s="302">
        <v>0.13539180909938767</v>
      </c>
      <c r="AI42" s="302">
        <v>0.1398538729393824</v>
      </c>
      <c r="AJ42" s="302">
        <v>0.14410913572328587</v>
      </c>
      <c r="AK42" s="302">
        <v>0.1485872587260984</v>
      </c>
      <c r="AL42" s="302">
        <v>0.1534268548184434</v>
      </c>
      <c r="AM42" s="302">
        <v>0.15803985048097272</v>
      </c>
      <c r="AN42" s="302">
        <v>0.16241510584125954</v>
      </c>
      <c r="AO42" s="302">
        <v>0.16683887758336427</v>
      </c>
      <c r="AP42" s="302">
        <v>0.17104835866661625</v>
      </c>
      <c r="AQ42" s="302">
        <v>0.17523762519367</v>
      </c>
      <c r="AR42" s="302">
        <v>0.17940787658023788</v>
      </c>
      <c r="AS42" s="302">
        <v>0.18358941082947872</v>
      </c>
      <c r="AT42" s="302">
        <v>0.18746050063391403</v>
      </c>
      <c r="AU42" s="302">
        <v>0.19155733175332723</v>
      </c>
      <c r="AV42" s="472">
        <f t="shared" si="3"/>
        <v>3.8695042272077963E-2</v>
      </c>
    </row>
    <row r="43" spans="1:48" s="280" customFormat="1" ht="12.9" customHeight="1">
      <c r="A43" s="178" t="s">
        <v>25</v>
      </c>
      <c r="B43" s="302">
        <v>7.5468999999999994E-2</v>
      </c>
      <c r="C43" s="302">
        <v>7.5128E-2</v>
      </c>
      <c r="D43" s="302">
        <v>7.0833999999999994E-2</v>
      </c>
      <c r="E43" s="302">
        <v>7.2075E-2</v>
      </c>
      <c r="F43" s="302">
        <v>7.9757999999999996E-2</v>
      </c>
      <c r="G43" s="302">
        <v>9.0898999999999994E-2</v>
      </c>
      <c r="H43" s="302">
        <v>9.5336000000000004E-2</v>
      </c>
      <c r="I43" s="302">
        <v>9.4113000000000002E-2</v>
      </c>
      <c r="J43" s="302">
        <v>9.2924999999999994E-2</v>
      </c>
      <c r="K43" s="302">
        <v>9.5579999999999998E-2</v>
      </c>
      <c r="L43" s="302">
        <v>9.1346999999999998E-2</v>
      </c>
      <c r="M43" s="302">
        <v>8.7614999999999998E-2</v>
      </c>
      <c r="N43" s="302">
        <v>7.9113691602328631E-2</v>
      </c>
      <c r="O43" s="302">
        <v>7.7954661432515573E-2</v>
      </c>
      <c r="P43" s="302">
        <v>7.6752025458178413E-2</v>
      </c>
      <c r="Q43" s="302">
        <v>7.7126403264409726E-2</v>
      </c>
      <c r="R43" s="302">
        <v>7.7667531049300881E-2</v>
      </c>
      <c r="S43" s="302">
        <v>7.8198788753099435E-2</v>
      </c>
      <c r="T43" s="302">
        <v>7.8785154950282557E-2</v>
      </c>
      <c r="U43" s="302">
        <v>7.9442426141063602E-2</v>
      </c>
      <c r="V43" s="302">
        <v>8.0167909367696119E-2</v>
      </c>
      <c r="W43" s="302">
        <v>8.0897593021131878E-2</v>
      </c>
      <c r="X43" s="302">
        <v>8.1679270870043535E-2</v>
      </c>
      <c r="Y43" s="302">
        <v>8.2424902624204877E-2</v>
      </c>
      <c r="Z43" s="302">
        <v>8.3391899465860855E-2</v>
      </c>
      <c r="AA43" s="302">
        <v>8.4586700660909939E-2</v>
      </c>
      <c r="AB43" s="302">
        <v>8.4860235445374327E-2</v>
      </c>
      <c r="AC43" s="302">
        <v>8.612515460883996E-2</v>
      </c>
      <c r="AD43" s="302">
        <v>8.740133693918567E-2</v>
      </c>
      <c r="AE43" s="302">
        <v>8.8691843127832695E-2</v>
      </c>
      <c r="AF43" s="302">
        <v>9.0064827165391381E-2</v>
      </c>
      <c r="AG43" s="302">
        <v>9.0971180114601757E-2</v>
      </c>
      <c r="AH43" s="302">
        <v>9.2118655483176798E-2</v>
      </c>
      <c r="AI43" s="302">
        <v>9.3266130851752227E-2</v>
      </c>
      <c r="AJ43" s="302">
        <v>9.4413606220327254E-2</v>
      </c>
      <c r="AK43" s="302">
        <v>9.556108158890228E-2</v>
      </c>
      <c r="AL43" s="302">
        <v>9.6708556957477321E-2</v>
      </c>
      <c r="AM43" s="302">
        <v>9.7856032326052347E-2</v>
      </c>
      <c r="AN43" s="302">
        <v>9.9003507694627374E-2</v>
      </c>
      <c r="AO43" s="302">
        <v>0.10015098306320241</v>
      </c>
      <c r="AP43" s="302">
        <v>0.10129845843177783</v>
      </c>
      <c r="AQ43" s="302">
        <v>0.10244593380035287</v>
      </c>
      <c r="AR43" s="302">
        <v>0.1035934091689279</v>
      </c>
      <c r="AS43" s="302">
        <v>0.10474088453750292</v>
      </c>
      <c r="AT43" s="302">
        <v>0.10588835990607796</v>
      </c>
      <c r="AU43" s="302">
        <v>0.10703583527465299</v>
      </c>
      <c r="AV43" s="472">
        <f t="shared" si="3"/>
        <v>1.1657887621685332E-2</v>
      </c>
    </row>
    <row r="44" spans="1:48" customFormat="1" ht="12.9" customHeight="1">
      <c r="B44" s="532"/>
      <c r="C44" s="532"/>
      <c r="D44" s="532"/>
      <c r="E44" s="532"/>
      <c r="F44" s="532"/>
      <c r="G44" s="532"/>
      <c r="H44" s="532"/>
      <c r="I44" s="532"/>
      <c r="J44" s="532"/>
      <c r="K44" s="532"/>
      <c r="L44" s="532"/>
      <c r="M44" s="532"/>
      <c r="N44" s="165"/>
      <c r="O44" s="165"/>
      <c r="P44" s="165"/>
      <c r="Q44" s="165"/>
      <c r="R44" s="165"/>
      <c r="S44" s="165"/>
      <c r="T44" s="165"/>
      <c r="U44" s="165"/>
      <c r="V44" s="165"/>
      <c r="W44" s="165"/>
      <c r="X44" s="165"/>
      <c r="Y44" s="165"/>
      <c r="Z44" s="165"/>
      <c r="AA44" s="165"/>
      <c r="AB44" s="165"/>
      <c r="AC44" s="165"/>
      <c r="AD44" s="165"/>
      <c r="AE44" s="165"/>
      <c r="AF44" s="165"/>
      <c r="AG44" s="465"/>
      <c r="AH44" s="465"/>
      <c r="AI44" s="465"/>
      <c r="AJ44" s="465"/>
      <c r="AK44" s="465"/>
      <c r="AL44" s="465"/>
      <c r="AM44" s="465"/>
      <c r="AN44" s="465"/>
      <c r="AO44" s="465"/>
      <c r="AP44" s="465"/>
      <c r="AQ44" s="465"/>
      <c r="AR44" s="465"/>
      <c r="AS44" s="465"/>
      <c r="AT44" s="465"/>
      <c r="AU44" s="465"/>
      <c r="AV44" s="470"/>
    </row>
    <row r="45" spans="1:48" s="280" customFormat="1" ht="12.9" customHeight="1">
      <c r="A45" s="178" t="s">
        <v>79</v>
      </c>
      <c r="B45" s="532"/>
      <c r="C45" s="532"/>
      <c r="D45" s="532"/>
      <c r="E45" s="532"/>
      <c r="F45" s="532"/>
      <c r="G45" s="532"/>
      <c r="H45" s="532"/>
      <c r="I45" s="532"/>
      <c r="J45" s="532"/>
      <c r="K45" s="532"/>
      <c r="L45" s="532"/>
      <c r="M45" s="532"/>
      <c r="N45" s="532"/>
      <c r="O45" s="532"/>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70"/>
    </row>
    <row r="46" spans="1:48" s="280" customFormat="1" ht="12.9" customHeight="1">
      <c r="A46" s="178" t="s">
        <v>22</v>
      </c>
      <c r="B46" s="302">
        <v>4.2423761954981981E-4</v>
      </c>
      <c r="C46" s="302">
        <v>6.351856816031574E-4</v>
      </c>
      <c r="D46" s="302">
        <v>1.212686392762524E-3</v>
      </c>
      <c r="E46" s="302">
        <v>8.6348350479425789E-4</v>
      </c>
      <c r="F46" s="302">
        <v>1.6922451315234894E-3</v>
      </c>
      <c r="G46" s="302">
        <v>1.4259779294476865E-3</v>
      </c>
      <c r="H46" s="302">
        <v>1.7364907247149229E-3</v>
      </c>
      <c r="I46" s="302">
        <v>1.5872858544012094E-3</v>
      </c>
      <c r="J46" s="302">
        <v>1.3888751226010583E-3</v>
      </c>
      <c r="K46" s="302">
        <v>3.1130643819443719E-4</v>
      </c>
      <c r="L46" s="302">
        <v>3.3590936893765594E-4</v>
      </c>
      <c r="M46" s="302">
        <v>1.491881664744835E-4</v>
      </c>
      <c r="N46" s="302">
        <v>1.9733397214914304E-4</v>
      </c>
      <c r="O46" s="302">
        <v>2.1323096106095376E-4</v>
      </c>
      <c r="P46" s="302">
        <v>2.1087155825484438E-4</v>
      </c>
      <c r="Q46" s="302">
        <v>2.1425383216946682E-4</v>
      </c>
      <c r="R46" s="302">
        <v>2.122938646752336E-4</v>
      </c>
      <c r="S46" s="302">
        <v>2.1021653826867545E-4</v>
      </c>
      <c r="T46" s="302">
        <v>2.0834839425378478E-4</v>
      </c>
      <c r="U46" s="302">
        <v>2.0578836243116631E-4</v>
      </c>
      <c r="V46" s="302">
        <v>2.0252869308256285E-4</v>
      </c>
      <c r="W46" s="302">
        <v>2.0004816756684311E-4</v>
      </c>
      <c r="X46" s="302">
        <v>2.0003396294227248E-4</v>
      </c>
      <c r="Y46" s="302">
        <v>1.9944590046798785E-4</v>
      </c>
      <c r="Z46" s="302">
        <v>2.0002189788817371E-4</v>
      </c>
      <c r="AA46" s="302">
        <v>1.9946666914535382E-4</v>
      </c>
      <c r="AB46" s="302">
        <v>1.9914100749082104E-4</v>
      </c>
      <c r="AC46" s="302">
        <v>1.9987077848750343E-4</v>
      </c>
      <c r="AD46" s="302">
        <v>2.0065535583273968E-4</v>
      </c>
      <c r="AE46" s="302">
        <v>2.022803657177774E-4</v>
      </c>
      <c r="AF46" s="302">
        <v>2.0413352730206763E-4</v>
      </c>
      <c r="AG46" s="302">
        <v>2.0739942760965017E-4</v>
      </c>
      <c r="AH46" s="302">
        <v>2.1076895001033403E-4</v>
      </c>
      <c r="AI46" s="302">
        <v>2.1470342630531601E-4</v>
      </c>
      <c r="AJ46" s="302">
        <v>2.1877795401356367E-4</v>
      </c>
      <c r="AK46" s="302">
        <v>2.2309888047370108E-4</v>
      </c>
      <c r="AL46" s="302">
        <v>2.2800847853895207E-4</v>
      </c>
      <c r="AM46" s="302">
        <v>2.3286165348532272E-4</v>
      </c>
      <c r="AN46" s="302">
        <v>2.3763801273033665E-4</v>
      </c>
      <c r="AO46" s="302">
        <v>2.4256516781640864E-4</v>
      </c>
      <c r="AP46" s="302">
        <v>2.4787633334353117E-4</v>
      </c>
      <c r="AQ46" s="302">
        <v>2.5311738896724998E-4</v>
      </c>
      <c r="AR46" s="302">
        <v>2.5931072084793371E-4</v>
      </c>
      <c r="AS46" s="302">
        <v>2.6463017653123496E-4</v>
      </c>
      <c r="AT46" s="302">
        <v>2.7032332833068886E-4</v>
      </c>
      <c r="AU46" s="302">
        <v>2.7695295430650579E-4</v>
      </c>
      <c r="AV46" s="472">
        <f>((AU46-O46)/O46)/32</f>
        <v>9.3387577442577332E-3</v>
      </c>
    </row>
    <row r="47" spans="1:48" s="280" customFormat="1" ht="12.9" customHeight="1">
      <c r="A47" s="178" t="s">
        <v>66</v>
      </c>
      <c r="B47" s="302">
        <v>3.23656049637422E-5</v>
      </c>
      <c r="C47" s="302">
        <v>2.7250798186578767E-5</v>
      </c>
      <c r="D47" s="302">
        <v>3.5721331171286214E-5</v>
      </c>
      <c r="E47" s="302">
        <v>5.688453492182183E-5</v>
      </c>
      <c r="F47" s="302">
        <v>4.9605471211446521E-5</v>
      </c>
      <c r="G47" s="302">
        <v>1.4719884392092283E-4</v>
      </c>
      <c r="H47" s="302">
        <v>3.531693874293204E-5</v>
      </c>
      <c r="I47" s="302">
        <v>1.3479747611806121E-4</v>
      </c>
      <c r="J47" s="302">
        <v>4.0439242835418361E-4</v>
      </c>
      <c r="K47" s="302">
        <v>6.4230997370256159E-4</v>
      </c>
      <c r="L47" s="302">
        <v>7.8088177915192861E-4</v>
      </c>
      <c r="M47" s="302">
        <v>1.670670376527204E-4</v>
      </c>
      <c r="N47" s="302">
        <v>1.9427243093761786E-4</v>
      </c>
      <c r="O47" s="302">
        <v>1.2392400083535229E-3</v>
      </c>
      <c r="P47" s="302">
        <v>1.1572397405383563E-3</v>
      </c>
      <c r="Q47" s="302">
        <v>1.2299287987607025E-3</v>
      </c>
      <c r="R47" s="302">
        <v>1.5674359556275817E-3</v>
      </c>
      <c r="S47" s="302">
        <v>1.9219342583981106E-3</v>
      </c>
      <c r="T47" s="302">
        <v>2.112673660948841E-3</v>
      </c>
      <c r="U47" s="302">
        <v>2.4513285062786501E-3</v>
      </c>
      <c r="V47" s="302">
        <v>3.4686585310092833E-3</v>
      </c>
      <c r="W47" s="302">
        <v>3.5118257828859068E-3</v>
      </c>
      <c r="X47" s="302">
        <v>3.8558152036414872E-3</v>
      </c>
      <c r="Y47" s="302">
        <v>4.2406571095672044E-3</v>
      </c>
      <c r="Z47" s="302">
        <v>5.2745154212873787E-3</v>
      </c>
      <c r="AA47" s="302">
        <v>5.8625706866210847E-3</v>
      </c>
      <c r="AB47" s="302">
        <v>6.0739782763970145E-3</v>
      </c>
      <c r="AC47" s="302">
        <v>6.221801451529862E-3</v>
      </c>
      <c r="AD47" s="302">
        <v>6.4279766693719296E-3</v>
      </c>
      <c r="AE47" s="302">
        <v>6.6829460277446889E-3</v>
      </c>
      <c r="AF47" s="302">
        <v>6.8019803393190286E-3</v>
      </c>
      <c r="AG47" s="302">
        <v>6.9187604454544541E-3</v>
      </c>
      <c r="AH47" s="302">
        <v>6.8541371670135312E-3</v>
      </c>
      <c r="AI47" s="302">
        <v>6.6899718931134645E-3</v>
      </c>
      <c r="AJ47" s="302">
        <v>6.410625075936368E-3</v>
      </c>
      <c r="AK47" s="302">
        <v>5.940141930483693E-3</v>
      </c>
      <c r="AL47" s="302">
        <v>5.2892676111003026E-3</v>
      </c>
      <c r="AM47" s="302">
        <v>4.5483086061061835E-3</v>
      </c>
      <c r="AN47" s="302">
        <v>4.2760006258621376E-3</v>
      </c>
      <c r="AO47" s="302">
        <v>4.2372744553158493E-3</v>
      </c>
      <c r="AP47" s="302">
        <v>4.1219665439413593E-3</v>
      </c>
      <c r="AQ47" s="302">
        <v>4.0045638415387094E-3</v>
      </c>
      <c r="AR47" s="302">
        <v>3.8142650853482682E-3</v>
      </c>
      <c r="AS47" s="302">
        <v>3.7725256657636231E-3</v>
      </c>
      <c r="AT47" s="302">
        <v>3.7210775272487474E-3</v>
      </c>
      <c r="AU47" s="302">
        <v>3.813771297454323E-3</v>
      </c>
      <c r="AV47" s="472">
        <f t="shared" ref="AV47:AV56" si="4">((AU47-O47)/O47)/32</f>
        <v>6.4922131501623168E-2</v>
      </c>
    </row>
    <row r="48" spans="1:48" s="280" customFormat="1" ht="12.9" customHeight="1">
      <c r="A48" s="474" t="s">
        <v>28</v>
      </c>
      <c r="B48" s="302">
        <v>0.33172400000000002</v>
      </c>
      <c r="C48" s="302">
        <v>0.33359499999999997</v>
      </c>
      <c r="D48" s="302">
        <v>0.33381499999999997</v>
      </c>
      <c r="E48" s="302">
        <v>0.32218200000000002</v>
      </c>
      <c r="F48" s="302">
        <v>0.32433600000000001</v>
      </c>
      <c r="G48" s="302">
        <v>0.317909</v>
      </c>
      <c r="H48" s="302">
        <v>0.31439299999999998</v>
      </c>
      <c r="I48" s="302">
        <v>0.31125399999999998</v>
      </c>
      <c r="J48" s="302">
        <v>0.32394099999999998</v>
      </c>
      <c r="K48" s="302">
        <v>0.32282100000000002</v>
      </c>
      <c r="L48" s="302">
        <v>0.32627099999999998</v>
      </c>
      <c r="M48" s="302">
        <v>0.31780999999999998</v>
      </c>
      <c r="N48" s="302">
        <v>0.30657252640873284</v>
      </c>
      <c r="O48" s="302">
        <v>0.30667021501383362</v>
      </c>
      <c r="P48" s="302">
        <v>0.30735904619465609</v>
      </c>
      <c r="Q48" s="302">
        <v>0.30542008309319646</v>
      </c>
      <c r="R48" s="302">
        <v>0.30105943089220732</v>
      </c>
      <c r="S48" s="302">
        <v>0.29597118120062532</v>
      </c>
      <c r="T48" s="302">
        <v>0.29158713849992091</v>
      </c>
      <c r="U48" s="302">
        <v>0.28757420147115359</v>
      </c>
      <c r="V48" s="302">
        <v>0.2823560750723999</v>
      </c>
      <c r="W48" s="302">
        <v>0.27753779305835163</v>
      </c>
      <c r="X48" s="302">
        <v>0.27327534551845889</v>
      </c>
      <c r="Y48" s="302">
        <v>0.2690631272389763</v>
      </c>
      <c r="Z48" s="302">
        <v>0.2648026242451475</v>
      </c>
      <c r="AA48" s="302">
        <v>0.2605376908271253</v>
      </c>
      <c r="AB48" s="302">
        <v>0.25683317010073176</v>
      </c>
      <c r="AC48" s="302">
        <v>0.25403598655008069</v>
      </c>
      <c r="AD48" s="302">
        <v>0.25142120156188941</v>
      </c>
      <c r="AE48" s="302">
        <v>0.24871841648015028</v>
      </c>
      <c r="AF48" s="302">
        <v>0.24675020049428936</v>
      </c>
      <c r="AG48" s="302">
        <v>0.24542766416704992</v>
      </c>
      <c r="AH48" s="302">
        <v>0.24458752982130311</v>
      </c>
      <c r="AI48" s="302">
        <v>0.24415333150765928</v>
      </c>
      <c r="AJ48" s="302">
        <v>0.24391629341150467</v>
      </c>
      <c r="AK48" s="302">
        <v>0.24411935342732077</v>
      </c>
      <c r="AL48" s="302">
        <v>0.24485380811024537</v>
      </c>
      <c r="AM48" s="302">
        <v>0.24566590579248787</v>
      </c>
      <c r="AN48" s="302">
        <v>0.2463545709473475</v>
      </c>
      <c r="AO48" s="302">
        <v>0.2469889831971763</v>
      </c>
      <c r="AP48" s="302">
        <v>0.24766377978738272</v>
      </c>
      <c r="AQ48" s="302">
        <v>0.2484332997612631</v>
      </c>
      <c r="AR48" s="302">
        <v>0.24915504523759502</v>
      </c>
      <c r="AS48" s="302">
        <v>0.24977272731668979</v>
      </c>
      <c r="AT48" s="302">
        <v>0.25038206017605968</v>
      </c>
      <c r="AU48" s="302">
        <v>0.25082863411424072</v>
      </c>
      <c r="AV48" s="472">
        <f t="shared" si="4"/>
        <v>-5.6903126475245092E-3</v>
      </c>
    </row>
    <row r="49" spans="1:48" s="280" customFormat="1" ht="12.9" customHeight="1">
      <c r="A49" s="11" t="s">
        <v>37</v>
      </c>
      <c r="B49" s="302">
        <v>0.104784</v>
      </c>
      <c r="C49" s="302">
        <v>0.105393</v>
      </c>
      <c r="D49" s="302">
        <v>0.115957</v>
      </c>
      <c r="E49" s="302">
        <v>0.114024</v>
      </c>
      <c r="F49" s="302">
        <v>0.10371900000000001</v>
      </c>
      <c r="G49" s="302">
        <v>0.109197</v>
      </c>
      <c r="H49" s="302">
        <v>9.2909000000000005E-2</v>
      </c>
      <c r="I49" s="302">
        <v>0.109749</v>
      </c>
      <c r="J49" s="302">
        <v>8.9675000000000005E-2</v>
      </c>
      <c r="K49" s="302">
        <v>9.5005000000000006E-2</v>
      </c>
      <c r="L49" s="302">
        <v>0.106268</v>
      </c>
      <c r="M49" s="302">
        <v>0.11816</v>
      </c>
      <c r="N49" s="302">
        <v>9.9726189097694637E-2</v>
      </c>
      <c r="O49" s="302">
        <v>0.10125774361841978</v>
      </c>
      <c r="P49" s="302">
        <v>0.10356763286571108</v>
      </c>
      <c r="Q49" s="302">
        <v>0.10560397634647668</v>
      </c>
      <c r="R49" s="302">
        <v>0.10706388467188786</v>
      </c>
      <c r="S49" s="302">
        <v>0.10829424042514667</v>
      </c>
      <c r="T49" s="302">
        <v>0.10934340440425189</v>
      </c>
      <c r="U49" s="302">
        <v>0.11057252583360028</v>
      </c>
      <c r="V49" s="302">
        <v>0.11209691333477596</v>
      </c>
      <c r="W49" s="302">
        <v>0.11368052600879455</v>
      </c>
      <c r="X49" s="302">
        <v>0.11518747201098788</v>
      </c>
      <c r="Y49" s="302">
        <v>0.1171667111456664</v>
      </c>
      <c r="Z49" s="302">
        <v>0.1187659421112543</v>
      </c>
      <c r="AA49" s="302">
        <v>0.12038526797993521</v>
      </c>
      <c r="AB49" s="302">
        <v>0.12195137003351832</v>
      </c>
      <c r="AC49" s="302">
        <v>0.12347325566706252</v>
      </c>
      <c r="AD49" s="302">
        <v>0.12506531198038312</v>
      </c>
      <c r="AE49" s="302">
        <v>0.12673025928612397</v>
      </c>
      <c r="AF49" s="302">
        <v>0.12835782817629945</v>
      </c>
      <c r="AG49" s="302">
        <v>0.13000427286773114</v>
      </c>
      <c r="AH49" s="302">
        <v>0.13169236593956732</v>
      </c>
      <c r="AI49" s="302">
        <v>0.13348993611857493</v>
      </c>
      <c r="AJ49" s="302">
        <v>0.13536299295440554</v>
      </c>
      <c r="AK49" s="302">
        <v>0.13733101919859214</v>
      </c>
      <c r="AL49" s="302">
        <v>0.13935768372203924</v>
      </c>
      <c r="AM49" s="302">
        <v>0.14127212730391092</v>
      </c>
      <c r="AN49" s="302">
        <v>0.14323825568940893</v>
      </c>
      <c r="AO49" s="302">
        <v>0.14508904557301786</v>
      </c>
      <c r="AP49" s="302">
        <v>0.14683208411380444</v>
      </c>
      <c r="AQ49" s="302">
        <v>0.14849973286046517</v>
      </c>
      <c r="AR49" s="302">
        <v>0.15009031250050356</v>
      </c>
      <c r="AS49" s="302">
        <v>0.15161883273708718</v>
      </c>
      <c r="AT49" s="302">
        <v>0.15314797251195073</v>
      </c>
      <c r="AU49" s="302">
        <v>0.15494711427893668</v>
      </c>
      <c r="AV49" s="472">
        <f t="shared" si="4"/>
        <v>1.6569526173363651E-2</v>
      </c>
    </row>
    <row r="50" spans="1:48" s="178" customFormat="1" ht="12.9" customHeight="1">
      <c r="A50" s="11" t="s">
        <v>38</v>
      </c>
      <c r="B50" s="302">
        <v>0.113703</v>
      </c>
      <c r="C50" s="302">
        <v>0.13883400000000001</v>
      </c>
      <c r="D50" s="302">
        <v>0.14222000000000001</v>
      </c>
      <c r="E50" s="302">
        <v>0.130879</v>
      </c>
      <c r="F50" s="302">
        <v>0.114241</v>
      </c>
      <c r="G50" s="302">
        <v>0.11047999999999999</v>
      </c>
      <c r="H50" s="302">
        <v>0.120783</v>
      </c>
      <c r="I50" s="302">
        <v>0.11111</v>
      </c>
      <c r="J50" s="302">
        <v>0.10649</v>
      </c>
      <c r="K50" s="302">
        <v>0.113272</v>
      </c>
      <c r="L50" s="302">
        <v>0.121181</v>
      </c>
      <c r="M50" s="302">
        <v>0.12658900000000001</v>
      </c>
      <c r="N50" s="302">
        <v>0.12295469742182499</v>
      </c>
      <c r="O50" s="302">
        <v>0.12477149420657534</v>
      </c>
      <c r="P50" s="302">
        <v>0.12884207693585739</v>
      </c>
      <c r="Q50" s="302">
        <v>0.14305097889968946</v>
      </c>
      <c r="R50" s="302">
        <v>0.14287353321549395</v>
      </c>
      <c r="S50" s="302">
        <v>0.13890733991335649</v>
      </c>
      <c r="T50" s="302">
        <v>0.13830928418716484</v>
      </c>
      <c r="U50" s="302">
        <v>0.13802588415655864</v>
      </c>
      <c r="V50" s="302">
        <v>0.13811623688190566</v>
      </c>
      <c r="W50" s="302">
        <v>0.13870641778634618</v>
      </c>
      <c r="X50" s="302">
        <v>0.1393529007826364</v>
      </c>
      <c r="Y50" s="302">
        <v>0.13908178980064581</v>
      </c>
      <c r="Z50" s="302">
        <v>0.13871001204823291</v>
      </c>
      <c r="AA50" s="302">
        <v>0.13929162732089853</v>
      </c>
      <c r="AB50" s="302">
        <v>0.13866632503128695</v>
      </c>
      <c r="AC50" s="302">
        <v>0.13842279842389738</v>
      </c>
      <c r="AD50" s="302">
        <v>0.1379772240314496</v>
      </c>
      <c r="AE50" s="302">
        <v>0.13878284932705501</v>
      </c>
      <c r="AF50" s="302">
        <v>0.13934594931765751</v>
      </c>
      <c r="AG50" s="302">
        <v>0.14013987455699228</v>
      </c>
      <c r="AH50" s="302">
        <v>0.14051156577395363</v>
      </c>
      <c r="AI50" s="302">
        <v>0.14146353643459697</v>
      </c>
      <c r="AJ50" s="302">
        <v>0.14261030939784697</v>
      </c>
      <c r="AK50" s="302">
        <v>0.14348055883438177</v>
      </c>
      <c r="AL50" s="302">
        <v>0.14442182988125593</v>
      </c>
      <c r="AM50" s="302">
        <v>0.14561719663108533</v>
      </c>
      <c r="AN50" s="302">
        <v>0.14663621226614562</v>
      </c>
      <c r="AO50" s="302">
        <v>0.14749948482621331</v>
      </c>
      <c r="AP50" s="302">
        <v>0.14878971219386913</v>
      </c>
      <c r="AQ50" s="302">
        <v>0.14993233497407463</v>
      </c>
      <c r="AR50" s="302">
        <v>0.15076607758198701</v>
      </c>
      <c r="AS50" s="302">
        <v>0.15180524980657617</v>
      </c>
      <c r="AT50" s="302">
        <v>0.15268046256024465</v>
      </c>
      <c r="AU50" s="302">
        <v>0.1536960049697739</v>
      </c>
      <c r="AV50" s="472">
        <f t="shared" si="4"/>
        <v>7.2443707362632578E-3</v>
      </c>
    </row>
    <row r="51" spans="1:48" s="212" customFormat="1" ht="12.9" customHeight="1">
      <c r="A51" s="475" t="s">
        <v>29</v>
      </c>
      <c r="B51" s="302">
        <v>4.7050949345592286E-2</v>
      </c>
      <c r="C51" s="302">
        <v>4.7278247000739647E-2</v>
      </c>
      <c r="D51" s="302">
        <v>6.3369836323745182E-2</v>
      </c>
      <c r="E51" s="302">
        <v>5.9616316745857635E-2</v>
      </c>
      <c r="F51" s="302">
        <v>5.3657109687319141E-2</v>
      </c>
      <c r="G51" s="302">
        <v>4.0648999999999998E-2</v>
      </c>
      <c r="H51" s="302">
        <v>4.8829999999999998E-2</v>
      </c>
      <c r="I51" s="302">
        <v>6.2197000000000002E-2</v>
      </c>
      <c r="J51" s="302">
        <v>6.0212000000000002E-2</v>
      </c>
      <c r="K51" s="302">
        <v>4.0807000000000003E-2</v>
      </c>
      <c r="L51" s="302">
        <v>5.4953000000000002E-2</v>
      </c>
      <c r="M51" s="302">
        <v>0.112543</v>
      </c>
      <c r="N51" s="302">
        <v>6.6456064410435889E-2</v>
      </c>
      <c r="O51" s="302">
        <v>6.1852891439622269E-2</v>
      </c>
      <c r="P51" s="302">
        <v>6.5126729001350928E-2</v>
      </c>
      <c r="Q51" s="302">
        <v>3.5115431829890284E-2</v>
      </c>
      <c r="R51" s="302">
        <v>4.107325722256009E-2</v>
      </c>
      <c r="S51" s="302">
        <v>5.6590075947689375E-2</v>
      </c>
      <c r="T51" s="302">
        <v>5.8835837110909985E-2</v>
      </c>
      <c r="U51" s="302">
        <v>5.9737129562983014E-2</v>
      </c>
      <c r="V51" s="302">
        <v>6.0926077163602162E-2</v>
      </c>
      <c r="W51" s="302">
        <v>6.0143527545363056E-2</v>
      </c>
      <c r="X51" s="302">
        <v>5.5677268236170974E-2</v>
      </c>
      <c r="Y51" s="302">
        <v>5.6858507579686295E-2</v>
      </c>
      <c r="Z51" s="302">
        <v>5.7767305131751753E-2</v>
      </c>
      <c r="AA51" s="302">
        <v>5.3474772284363835E-2</v>
      </c>
      <c r="AB51" s="302">
        <v>5.5153524268334697E-2</v>
      </c>
      <c r="AC51" s="302">
        <v>5.4986449610673636E-2</v>
      </c>
      <c r="AD51" s="302">
        <v>5.6162505701203451E-2</v>
      </c>
      <c r="AE51" s="302">
        <v>5.197240022220026E-2</v>
      </c>
      <c r="AF51" s="302">
        <v>5.1667039294242177E-2</v>
      </c>
      <c r="AG51" s="302">
        <v>5.0967156447684007E-2</v>
      </c>
      <c r="AH51" s="302">
        <v>5.264269643059008E-2</v>
      </c>
      <c r="AI51" s="302">
        <v>5.256112085634948E-2</v>
      </c>
      <c r="AJ51" s="302">
        <v>5.0630684382075616E-2</v>
      </c>
      <c r="AK51" s="302">
        <v>5.04865100781055E-2</v>
      </c>
      <c r="AL51" s="302">
        <v>5.1204950432039681E-2</v>
      </c>
      <c r="AM51" s="302">
        <v>4.8611607582405063E-2</v>
      </c>
      <c r="AN51" s="302">
        <v>4.8540007150771211E-2</v>
      </c>
      <c r="AO51" s="302">
        <v>5.0505179947283783E-2</v>
      </c>
      <c r="AP51" s="302">
        <v>4.8624931575085267E-2</v>
      </c>
      <c r="AQ51" s="302">
        <v>4.8083688026432703E-2</v>
      </c>
      <c r="AR51" s="302">
        <v>4.789612841877975E-2</v>
      </c>
      <c r="AS51" s="302">
        <v>4.7873473212294744E-2</v>
      </c>
      <c r="AT51" s="302">
        <v>4.8201637534342742E-2</v>
      </c>
      <c r="AU51" s="302">
        <v>4.8560972868069915E-2</v>
      </c>
      <c r="AV51" s="472">
        <f t="shared" si="4"/>
        <v>-6.7154896997253088E-3</v>
      </c>
    </row>
    <row r="52" spans="1:48" s="280" customFormat="1" ht="12.9" customHeight="1">
      <c r="A52" s="178" t="s">
        <v>67</v>
      </c>
      <c r="B52" s="302">
        <v>5.4660960326839078E-3</v>
      </c>
      <c r="C52" s="302">
        <v>5.3572287190000178E-3</v>
      </c>
      <c r="D52" s="302">
        <v>5.4529945640031897E-3</v>
      </c>
      <c r="E52" s="302">
        <v>5.3444717311111585E-3</v>
      </c>
      <c r="F52" s="302">
        <v>4.7609300136319923E-3</v>
      </c>
      <c r="G52" s="302">
        <v>5.2840989605944305E-3</v>
      </c>
      <c r="H52" s="302">
        <v>5.0794611954993888E-3</v>
      </c>
      <c r="I52" s="302">
        <v>4.6298136899330872E-3</v>
      </c>
      <c r="J52" s="302">
        <v>4.6298136899330872E-3</v>
      </c>
      <c r="K52" s="302">
        <v>4.7251878519457089E-3</v>
      </c>
      <c r="L52" s="302">
        <v>4.7577817403228369E-3</v>
      </c>
      <c r="M52" s="302">
        <v>3.5240396970298319E-3</v>
      </c>
      <c r="N52" s="302">
        <v>7.5773318206592073E-4</v>
      </c>
      <c r="O52" s="302">
        <v>7.5578407475312113E-4</v>
      </c>
      <c r="P52" s="302">
        <v>7.5525824148830524E-4</v>
      </c>
      <c r="Q52" s="302">
        <v>7.5526771248409983E-4</v>
      </c>
      <c r="R52" s="302">
        <v>7.5512698632767801E-4</v>
      </c>
      <c r="S52" s="302">
        <v>7.5389766886393354E-4</v>
      </c>
      <c r="T52" s="302">
        <v>7.5268646735857255E-4</v>
      </c>
      <c r="U52" s="302">
        <v>7.5190475605199419E-4</v>
      </c>
      <c r="V52" s="302">
        <v>7.5082438708025769E-4</v>
      </c>
      <c r="W52" s="302">
        <v>7.4999265323837897E-4</v>
      </c>
      <c r="X52" s="302">
        <v>7.4939549485361211E-4</v>
      </c>
      <c r="Y52" s="302">
        <v>7.4906405723695457E-4</v>
      </c>
      <c r="Z52" s="302">
        <v>7.4911950171768521E-4</v>
      </c>
      <c r="AA52" s="302">
        <v>7.4986606344499076E-4</v>
      </c>
      <c r="AB52" s="302">
        <v>7.508068506563106E-4</v>
      </c>
      <c r="AC52" s="302">
        <v>7.5141502716959336E-4</v>
      </c>
      <c r="AD52" s="302">
        <v>7.5212645485224776E-4</v>
      </c>
      <c r="AE52" s="302">
        <v>7.5347553542697162E-4</v>
      </c>
      <c r="AF52" s="302">
        <v>7.5478922679028595E-4</v>
      </c>
      <c r="AG52" s="302">
        <v>7.5613904770170551E-4</v>
      </c>
      <c r="AH52" s="302">
        <v>7.5761134503167114E-4</v>
      </c>
      <c r="AI52" s="302">
        <v>7.5910433641004904E-4</v>
      </c>
      <c r="AJ52" s="302">
        <v>7.606677020625816E-4</v>
      </c>
      <c r="AK52" s="302">
        <v>7.6265897904432927E-4</v>
      </c>
      <c r="AL52" s="302">
        <v>7.6462112718918133E-4</v>
      </c>
      <c r="AM52" s="302">
        <v>7.6599331864584427E-4</v>
      </c>
      <c r="AN52" s="302">
        <v>7.6696226375452012E-4</v>
      </c>
      <c r="AO52" s="302">
        <v>7.6756783419060822E-4</v>
      </c>
      <c r="AP52" s="302">
        <v>7.6801860552515658E-4</v>
      </c>
      <c r="AQ52" s="302">
        <v>7.6821988551786075E-4</v>
      </c>
      <c r="AR52" s="302">
        <v>7.6775037612136321E-4</v>
      </c>
      <c r="AS52" s="302">
        <v>7.6665849173350627E-4</v>
      </c>
      <c r="AT52" s="302">
        <v>7.6553194161200512E-4</v>
      </c>
      <c r="AU52" s="302">
        <v>7.6431524987581297E-4</v>
      </c>
      <c r="AV52" s="472">
        <f t="shared" si="4"/>
        <v>3.5274522378789903E-4</v>
      </c>
    </row>
    <row r="53" spans="1:48" s="280" customFormat="1" ht="12.9" customHeight="1">
      <c r="A53" s="178" t="s">
        <v>68</v>
      </c>
      <c r="B53" s="302">
        <v>8.6381205803119539E-3</v>
      </c>
      <c r="C53" s="302">
        <v>8.4491107344529335E-3</v>
      </c>
      <c r="D53" s="302">
        <v>8.3943832865140591E-3</v>
      </c>
      <c r="E53" s="302">
        <v>8.4112704645730174E-3</v>
      </c>
      <c r="F53" s="302">
        <v>7.0786391891273217E-3</v>
      </c>
      <c r="G53" s="302">
        <v>8.0444110791542765E-3</v>
      </c>
      <c r="H53" s="302">
        <v>7.4620945943626241E-3</v>
      </c>
      <c r="I53" s="302">
        <v>9.025905514270606E-3</v>
      </c>
      <c r="J53" s="302">
        <v>1.0481696726249734E-2</v>
      </c>
      <c r="K53" s="302">
        <v>7.6542590343438698E-3</v>
      </c>
      <c r="L53" s="302">
        <v>1.0491304948248799E-2</v>
      </c>
      <c r="M53" s="302">
        <v>9.5635689109968107E-3</v>
      </c>
      <c r="N53" s="302">
        <v>9.0417074370035162E-3</v>
      </c>
      <c r="O53" s="302">
        <v>9.3110276036370791E-3</v>
      </c>
      <c r="P53" s="302">
        <v>8.9639205784723761E-3</v>
      </c>
      <c r="Q53" s="302">
        <v>9.0223584814741811E-3</v>
      </c>
      <c r="R53" s="302">
        <v>9.3047502447548367E-3</v>
      </c>
      <c r="S53" s="302">
        <v>9.1861485659751711E-3</v>
      </c>
      <c r="T53" s="302">
        <v>9.2306034170528545E-3</v>
      </c>
      <c r="U53" s="302">
        <v>9.2265429366191597E-3</v>
      </c>
      <c r="V53" s="302">
        <v>9.3161623472292933E-3</v>
      </c>
      <c r="W53" s="302">
        <v>9.3824383455281459E-3</v>
      </c>
      <c r="X53" s="302">
        <v>9.5239549244080964E-3</v>
      </c>
      <c r="Y53" s="302">
        <v>9.625134744408903E-3</v>
      </c>
      <c r="Z53" s="302">
        <v>9.5202109332102637E-3</v>
      </c>
      <c r="AA53" s="302">
        <v>9.6103184365687339E-3</v>
      </c>
      <c r="AB53" s="302">
        <v>9.6518565385891129E-3</v>
      </c>
      <c r="AC53" s="302">
        <v>9.7805388902102892E-3</v>
      </c>
      <c r="AD53" s="302">
        <v>9.8508338363230679E-3</v>
      </c>
      <c r="AE53" s="302">
        <v>1.0017699085105842E-2</v>
      </c>
      <c r="AF53" s="302">
        <v>1.014419127684198E-2</v>
      </c>
      <c r="AG53" s="302">
        <v>1.0218296839479493E-2</v>
      </c>
      <c r="AH53" s="302">
        <v>1.032239179734165E-2</v>
      </c>
      <c r="AI53" s="302">
        <v>1.0455007731168484E-2</v>
      </c>
      <c r="AJ53" s="302">
        <v>1.0614628789918486E-2</v>
      </c>
      <c r="AK53" s="302">
        <v>1.0701836931764177E-2</v>
      </c>
      <c r="AL53" s="302">
        <v>1.0783834574075394E-2</v>
      </c>
      <c r="AM53" s="302">
        <v>1.093705429094771E-2</v>
      </c>
      <c r="AN53" s="302">
        <v>1.1036413983647915E-2</v>
      </c>
      <c r="AO53" s="302">
        <v>1.1078231260592727E-2</v>
      </c>
      <c r="AP53" s="302">
        <v>1.1230110920735E-2</v>
      </c>
      <c r="AQ53" s="302">
        <v>1.1322864208507083E-2</v>
      </c>
      <c r="AR53" s="302">
        <v>1.1430007929418796E-2</v>
      </c>
      <c r="AS53" s="302">
        <v>1.148445944306207E-2</v>
      </c>
      <c r="AT53" s="302">
        <v>1.1562984953079891E-2</v>
      </c>
      <c r="AU53" s="302">
        <v>1.1623748581889125E-2</v>
      </c>
      <c r="AV53" s="472">
        <f t="shared" si="4"/>
        <v>7.7620359048388285E-3</v>
      </c>
    </row>
    <row r="54" spans="1:48" s="280" customFormat="1" ht="12.9" customHeight="1">
      <c r="A54" s="178" t="s">
        <v>69</v>
      </c>
      <c r="B54" s="302">
        <v>6.4141530715026635E-5</v>
      </c>
      <c r="C54" s="302">
        <v>8.7799011018190325E-5</v>
      </c>
      <c r="D54" s="302">
        <v>1.9140456863198728E-4</v>
      </c>
      <c r="E54" s="302">
        <v>2.0314737129663481E-4</v>
      </c>
      <c r="F54" s="302">
        <v>2.5195631499823356E-4</v>
      </c>
      <c r="G54" s="302">
        <v>2.4329716608371889E-4</v>
      </c>
      <c r="H54" s="302">
        <v>2.7257630270114249E-4</v>
      </c>
      <c r="I54" s="302">
        <v>2.4918414142488174E-4</v>
      </c>
      <c r="J54" s="302">
        <v>3.1148017678110212E-4</v>
      </c>
      <c r="K54" s="302">
        <v>2.7980264280246404E-4</v>
      </c>
      <c r="L54" s="302">
        <v>3.1085721642753989E-4</v>
      </c>
      <c r="M54" s="302">
        <v>1.0680664930692984E-3</v>
      </c>
      <c r="N54" s="302">
        <v>2.7782797493708204E-3</v>
      </c>
      <c r="O54" s="302">
        <v>3.2612067404497636E-3</v>
      </c>
      <c r="P54" s="302">
        <v>3.7375208960182724E-3</v>
      </c>
      <c r="Q54" s="302">
        <v>3.9922879093457486E-3</v>
      </c>
      <c r="R54" s="302">
        <v>6.2253093557144085E-3</v>
      </c>
      <c r="S54" s="302">
        <v>5.6051641427736039E-3</v>
      </c>
      <c r="T54" s="302">
        <v>5.7889526129752669E-3</v>
      </c>
      <c r="U54" s="302">
        <v>6.0734844334299019E-3</v>
      </c>
      <c r="V54" s="302">
        <v>6.1898598082979475E-3</v>
      </c>
      <c r="W54" s="302">
        <v>6.2734426814728857E-3</v>
      </c>
      <c r="X54" s="302">
        <v>7.0653327227908451E-3</v>
      </c>
      <c r="Y54" s="302">
        <v>7.2284248227855894E-3</v>
      </c>
      <c r="Z54" s="302">
        <v>7.3176463725349097E-3</v>
      </c>
      <c r="AA54" s="302">
        <v>8.0534223985520969E-3</v>
      </c>
      <c r="AB54" s="302">
        <v>8.2830897998731612E-3</v>
      </c>
      <c r="AC54" s="302">
        <v>8.6303182796778379E-3</v>
      </c>
      <c r="AD54" s="302">
        <v>8.7189648244956272E-3</v>
      </c>
      <c r="AE54" s="302">
        <v>9.5374197549992715E-3</v>
      </c>
      <c r="AF54" s="302">
        <v>9.9133256604376011E-3</v>
      </c>
      <c r="AG54" s="302">
        <v>1.0357568678955646E-2</v>
      </c>
      <c r="AH54" s="302">
        <v>1.0483899091775283E-2</v>
      </c>
      <c r="AI54" s="302">
        <v>1.0811683704163241E-2</v>
      </c>
      <c r="AJ54" s="302">
        <v>1.1451412779588967E-2</v>
      </c>
      <c r="AK54" s="302">
        <v>1.1832853580939455E-2</v>
      </c>
      <c r="AL54" s="302">
        <v>1.2122473624445611E-2</v>
      </c>
      <c r="AM54" s="302">
        <v>1.2890189825104538E-2</v>
      </c>
      <c r="AN54" s="302">
        <v>1.3250777246427538E-2</v>
      </c>
      <c r="AO54" s="302">
        <v>1.3244979744946726E-2</v>
      </c>
      <c r="AP54" s="302">
        <v>1.386182162346707E-2</v>
      </c>
      <c r="AQ54" s="302">
        <v>1.4164153171627336E-2</v>
      </c>
      <c r="AR54" s="302">
        <v>1.4607725945392443E-2</v>
      </c>
      <c r="AS54" s="302">
        <v>1.4802763179195728E-2</v>
      </c>
      <c r="AT54" s="302">
        <v>1.4980956582874867E-2</v>
      </c>
      <c r="AU54" s="302">
        <v>1.5193304919695044E-2</v>
      </c>
      <c r="AV54" s="472">
        <f t="shared" si="4"/>
        <v>0.1143374516790034</v>
      </c>
    </row>
    <row r="55" spans="1:48" s="280" customFormat="1" ht="12.9" customHeight="1">
      <c r="A55" s="178" t="s">
        <v>70</v>
      </c>
      <c r="B55" s="302">
        <v>0</v>
      </c>
      <c r="C55" s="302">
        <v>0</v>
      </c>
      <c r="D55" s="302">
        <v>0</v>
      </c>
      <c r="E55" s="302">
        <v>0</v>
      </c>
      <c r="F55" s="302">
        <v>0</v>
      </c>
      <c r="G55" s="302">
        <v>0</v>
      </c>
      <c r="H55" s="302">
        <v>0</v>
      </c>
      <c r="I55" s="302">
        <v>0</v>
      </c>
      <c r="J55" s="302">
        <v>0</v>
      </c>
      <c r="K55" s="302">
        <v>1.8519254759732349E-7</v>
      </c>
      <c r="L55" s="302">
        <v>8.5188571894768807E-6</v>
      </c>
      <c r="M55" s="302">
        <v>7.6812258118750917E-6</v>
      </c>
      <c r="N55" s="302">
        <v>1.4185013268816159E-5</v>
      </c>
      <c r="O55" s="302">
        <v>2.9356823768875926E-5</v>
      </c>
      <c r="P55" s="302">
        <v>5.0560871348939491E-5</v>
      </c>
      <c r="Q55" s="302">
        <v>7.8424600072105375E-5</v>
      </c>
      <c r="R55" s="302">
        <v>1.2355646207001862E-4</v>
      </c>
      <c r="S55" s="302">
        <v>1.8096562887856579E-4</v>
      </c>
      <c r="T55" s="302">
        <v>2.3373988219327352E-4</v>
      </c>
      <c r="U55" s="302">
        <v>2.8416668765723994E-4</v>
      </c>
      <c r="V55" s="302">
        <v>3.3391912831649481E-4</v>
      </c>
      <c r="W55" s="302">
        <v>3.8439757729817603E-4</v>
      </c>
      <c r="X55" s="302">
        <v>4.3046752770470678E-4</v>
      </c>
      <c r="Y55" s="302">
        <v>4.694889115568871E-4</v>
      </c>
      <c r="Z55" s="302">
        <v>5.0494878087386597E-4</v>
      </c>
      <c r="AA55" s="302">
        <v>5.3614931188385856E-4</v>
      </c>
      <c r="AB55" s="302">
        <v>5.6463596033754079E-4</v>
      </c>
      <c r="AC55" s="302">
        <v>5.8688156368639089E-4</v>
      </c>
      <c r="AD55" s="302">
        <v>6.0462077709646427E-4</v>
      </c>
      <c r="AE55" s="302">
        <v>6.2048467437396209E-4</v>
      </c>
      <c r="AF55" s="302">
        <v>6.3527367698466017E-4</v>
      </c>
      <c r="AG55" s="302">
        <v>6.5692725610627038E-4</v>
      </c>
      <c r="AH55" s="302">
        <v>6.763805865661474E-4</v>
      </c>
      <c r="AI55" s="302">
        <v>6.950468593922665E-4</v>
      </c>
      <c r="AJ55" s="302">
        <v>7.1333694320229141E-4</v>
      </c>
      <c r="AK55" s="302">
        <v>7.3247642377147551E-4</v>
      </c>
      <c r="AL55" s="302">
        <v>7.5042391361982601E-4</v>
      </c>
      <c r="AM55" s="302">
        <v>7.6734040047756553E-4</v>
      </c>
      <c r="AN55" s="302">
        <v>7.8384702844325508E-4</v>
      </c>
      <c r="AO55" s="302">
        <v>8.0072222152565808E-4</v>
      </c>
      <c r="AP55" s="302">
        <v>8.1798025665317164E-4</v>
      </c>
      <c r="AQ55" s="302">
        <v>8.3610238439665277E-4</v>
      </c>
      <c r="AR55" s="302">
        <v>8.5506886810696214E-4</v>
      </c>
      <c r="AS55" s="302">
        <v>8.7581637425968874E-4</v>
      </c>
      <c r="AT55" s="302">
        <v>8.9768622903870106E-4</v>
      </c>
      <c r="AU55" s="302">
        <v>9.2050490290484469E-4</v>
      </c>
      <c r="AV55" s="472">
        <f t="shared" si="4"/>
        <v>0.9486168426205509</v>
      </c>
    </row>
    <row r="56" spans="1:48" s="280" customFormat="1" ht="12.9" customHeight="1">
      <c r="A56" s="280" t="s">
        <v>25</v>
      </c>
      <c r="B56" s="302">
        <v>5.6235595390524971E-6</v>
      </c>
      <c r="C56" s="302">
        <v>3.8583013230900555E-6</v>
      </c>
      <c r="D56" s="302">
        <v>5.2343149807938542E-6</v>
      </c>
      <c r="E56" s="302">
        <v>5.3367477592829711E-6</v>
      </c>
      <c r="F56" s="302">
        <v>8.9594536918480589E-6</v>
      </c>
      <c r="G56" s="302">
        <v>2.3726845924029026E-5</v>
      </c>
      <c r="H56" s="302">
        <v>2.4184379001280413E-5</v>
      </c>
      <c r="I56" s="302">
        <v>2.3805377720870681E-5</v>
      </c>
      <c r="J56" s="302">
        <v>2.9188476312419975E-4</v>
      </c>
      <c r="K56" s="302">
        <v>5.7637900128040972E-4</v>
      </c>
      <c r="L56" s="302">
        <v>1.1620145113102858E-4</v>
      </c>
      <c r="M56" s="302">
        <v>1.3979172001707217E-4</v>
      </c>
      <c r="N56" s="302">
        <v>3.2084489970123775E-4</v>
      </c>
      <c r="O56" s="302">
        <v>6.4775868544600943E-4</v>
      </c>
      <c r="P56" s="302">
        <v>1.1288348271446863E-3</v>
      </c>
      <c r="Q56" s="302">
        <v>1.4242055484421682E-3</v>
      </c>
      <c r="R56" s="302">
        <v>1.7494842509603072E-3</v>
      </c>
      <c r="S56" s="302">
        <v>2.0987107127614169E-3</v>
      </c>
      <c r="T56" s="302">
        <v>2.468246180110969E-3</v>
      </c>
      <c r="U56" s="302">
        <v>2.8554704225352114E-3</v>
      </c>
      <c r="V56" s="302">
        <v>3.2612732394366197E-3</v>
      </c>
      <c r="W56" s="302">
        <v>3.6836431924882631E-3</v>
      </c>
      <c r="X56" s="302">
        <v>4.1007153222364498E-3</v>
      </c>
      <c r="Y56" s="302">
        <v>4.5081075544174138E-3</v>
      </c>
      <c r="Z56" s="302">
        <v>4.9006675202731536E-3</v>
      </c>
      <c r="AA56" s="302">
        <v>5.2743320529236026E-3</v>
      </c>
      <c r="AB56" s="302">
        <v>5.567743918053778E-3</v>
      </c>
      <c r="AC56" s="302">
        <v>5.8514246692274868E-3</v>
      </c>
      <c r="AD56" s="302">
        <v>6.0934221084080241E-3</v>
      </c>
      <c r="AE56" s="302">
        <v>6.3314622279129328E-3</v>
      </c>
      <c r="AF56" s="302">
        <v>6.4979496372172428E-3</v>
      </c>
      <c r="AG56" s="302">
        <v>6.8011797979797822E-3</v>
      </c>
      <c r="AH56" s="302">
        <v>7.048358091986247E-3</v>
      </c>
      <c r="AI56" s="302">
        <v>7.2955363859927127E-3</v>
      </c>
      <c r="AJ56" s="302">
        <v>7.5427146799991775E-3</v>
      </c>
      <c r="AK56" s="302">
        <v>7.7898929740056423E-3</v>
      </c>
      <c r="AL56" s="302">
        <v>8.0370712680121071E-3</v>
      </c>
      <c r="AM56" s="302">
        <v>8.284249562018571E-3</v>
      </c>
      <c r="AN56" s="302">
        <v>8.5314278560250367E-3</v>
      </c>
      <c r="AO56" s="302">
        <v>8.7786061500315007E-3</v>
      </c>
      <c r="AP56" s="302">
        <v>9.0257844440379664E-3</v>
      </c>
      <c r="AQ56" s="302">
        <v>9.272962738044432E-3</v>
      </c>
      <c r="AR56" s="302">
        <v>9.520141032050896E-3</v>
      </c>
      <c r="AS56" s="302">
        <v>9.7673193260573599E-3</v>
      </c>
      <c r="AT56" s="302">
        <v>1.0014497620063824E-2</v>
      </c>
      <c r="AU56" s="302">
        <v>1.026167591407029E-2</v>
      </c>
      <c r="AV56" s="472">
        <f t="shared" si="4"/>
        <v>0.46380684681618206</v>
      </c>
    </row>
    <row r="57" spans="1:48" customFormat="1" ht="12.9" customHeight="1">
      <c r="B57" s="532"/>
      <c r="C57" s="532"/>
      <c r="D57" s="532"/>
      <c r="E57" s="532"/>
      <c r="F57" s="532"/>
      <c r="G57" s="532"/>
      <c r="H57" s="532"/>
      <c r="I57" s="532"/>
      <c r="J57" s="532"/>
      <c r="K57" s="532"/>
      <c r="L57" s="532"/>
      <c r="M57" s="532"/>
      <c r="N57" s="532"/>
      <c r="O57" s="532"/>
      <c r="P57" s="465"/>
      <c r="Q57" s="465"/>
      <c r="R57" s="465"/>
      <c r="S57" s="465"/>
      <c r="T57" s="465"/>
      <c r="U57" s="465"/>
      <c r="V57" s="465"/>
      <c r="W57" s="465"/>
      <c r="X57" s="465"/>
      <c r="Y57" s="465"/>
      <c r="Z57" s="465"/>
      <c r="AA57" s="465"/>
      <c r="AB57" s="465"/>
      <c r="AC57" s="465"/>
      <c r="AD57" s="465"/>
      <c r="AE57" s="465"/>
      <c r="AF57" s="465"/>
      <c r="AG57" s="465"/>
      <c r="AH57" s="465"/>
      <c r="AI57" s="465"/>
      <c r="AJ57" s="465"/>
      <c r="AK57" s="465"/>
      <c r="AL57" s="465"/>
      <c r="AM57" s="465"/>
      <c r="AN57" s="465"/>
      <c r="AO57" s="465"/>
      <c r="AP57" s="465"/>
      <c r="AQ57" s="465"/>
      <c r="AR57" s="465"/>
      <c r="AS57" s="465"/>
      <c r="AT57" s="465"/>
      <c r="AU57" s="465"/>
      <c r="AV57" s="504"/>
    </row>
    <row r="58" spans="1:48" s="280" customFormat="1" ht="12.9" customHeight="1">
      <c r="A58" s="280" t="s">
        <v>417</v>
      </c>
      <c r="B58" s="532"/>
      <c r="C58" s="532"/>
      <c r="D58" s="532"/>
      <c r="E58" s="532"/>
      <c r="F58" s="532"/>
      <c r="G58" s="532"/>
      <c r="H58" s="532"/>
      <c r="I58" s="532"/>
      <c r="J58" s="532"/>
      <c r="K58" s="532"/>
      <c r="L58" s="532"/>
      <c r="M58" s="532"/>
      <c r="N58" s="532"/>
      <c r="O58" s="532"/>
      <c r="P58" s="465"/>
      <c r="Q58" s="465"/>
      <c r="R58" s="465"/>
      <c r="S58" s="465"/>
      <c r="T58" s="465"/>
      <c r="U58" s="465"/>
      <c r="V58" s="465"/>
      <c r="W58" s="465"/>
      <c r="X58" s="465"/>
      <c r="Y58" s="465"/>
      <c r="Z58" s="465"/>
      <c r="AA58" s="465"/>
      <c r="AB58" s="465"/>
      <c r="AC58" s="465"/>
      <c r="AD58" s="465"/>
      <c r="AE58" s="465"/>
      <c r="AF58" s="465"/>
      <c r="AG58" s="465"/>
      <c r="AH58" s="465"/>
      <c r="AI58" s="465"/>
      <c r="AJ58" s="465"/>
      <c r="AK58" s="465"/>
      <c r="AL58" s="465"/>
      <c r="AM58" s="465"/>
      <c r="AN58" s="465"/>
      <c r="AO58" s="465"/>
      <c r="AP58" s="465"/>
      <c r="AQ58" s="465"/>
      <c r="AR58" s="465"/>
      <c r="AS58" s="465"/>
      <c r="AT58" s="465"/>
      <c r="AU58" s="465"/>
      <c r="AV58" s="504"/>
    </row>
    <row r="59" spans="1:48" s="280" customFormat="1" ht="12.9" customHeight="1">
      <c r="A59" s="51" t="s">
        <v>352</v>
      </c>
      <c r="B59" s="303">
        <v>0.17707664852868418</v>
      </c>
      <c r="C59" s="303">
        <v>0.16294122913948395</v>
      </c>
      <c r="D59" s="303">
        <v>0.16837681974754837</v>
      </c>
      <c r="E59" s="303">
        <v>0.16853914684150373</v>
      </c>
      <c r="F59" s="303">
        <v>0.1650957382302197</v>
      </c>
      <c r="G59" s="303">
        <v>0.1801941786271056</v>
      </c>
      <c r="H59" s="303">
        <v>0.14159989334378195</v>
      </c>
      <c r="I59" s="303">
        <v>0.13384734537709814</v>
      </c>
      <c r="J59" s="303">
        <v>0.147774079401124</v>
      </c>
      <c r="K59" s="303">
        <v>0.14582134568044081</v>
      </c>
      <c r="L59" s="303">
        <v>0.15126427946266485</v>
      </c>
      <c r="M59" s="303">
        <v>0.1380687655730129</v>
      </c>
      <c r="N59" s="303">
        <v>0.11607775898525645</v>
      </c>
      <c r="O59" s="303">
        <v>0.12373124811838079</v>
      </c>
      <c r="P59" s="303">
        <v>0.1192672481183808</v>
      </c>
      <c r="Q59" s="303">
        <v>0.1148032481183808</v>
      </c>
      <c r="R59" s="303">
        <v>9.9406228176310119E-2</v>
      </c>
      <c r="S59" s="303">
        <v>9.9406228176310119E-2</v>
      </c>
      <c r="T59" s="303">
        <v>7.7950756462839027E-2</v>
      </c>
      <c r="U59" s="303">
        <v>6.8348227041470977E-2</v>
      </c>
      <c r="V59" s="303">
        <v>6.8348227041470977E-2</v>
      </c>
      <c r="W59" s="303">
        <v>5.2630435850607171E-2</v>
      </c>
      <c r="X59" s="303">
        <v>5.2630435850607171E-2</v>
      </c>
      <c r="Y59" s="303">
        <v>5.2630435850607171E-2</v>
      </c>
      <c r="Z59" s="303">
        <v>4.285407234915542E-2</v>
      </c>
      <c r="AA59" s="303">
        <v>4.285407234915542E-2</v>
      </c>
      <c r="AB59" s="303">
        <v>4.285407234915542E-2</v>
      </c>
      <c r="AC59" s="303">
        <v>4.285407234915542E-2</v>
      </c>
      <c r="AD59" s="303">
        <v>4.285407234915542E-2</v>
      </c>
      <c r="AE59" s="303">
        <v>4.285407234915542E-2</v>
      </c>
      <c r="AF59" s="303">
        <v>4.285407234915542E-2</v>
      </c>
      <c r="AG59" s="303">
        <v>4.285407234915542E-2</v>
      </c>
      <c r="AH59" s="303">
        <v>4.285407234915542E-2</v>
      </c>
      <c r="AI59" s="303">
        <v>4.285407234915542E-2</v>
      </c>
      <c r="AJ59" s="303">
        <v>4.285407234915542E-2</v>
      </c>
      <c r="AK59" s="303">
        <v>4.285407234915542E-2</v>
      </c>
      <c r="AL59" s="303">
        <v>4.285407234915542E-2</v>
      </c>
      <c r="AM59" s="303">
        <v>4.285407234915542E-2</v>
      </c>
      <c r="AN59" s="303">
        <v>4.285407234915542E-2</v>
      </c>
      <c r="AO59" s="303">
        <v>4.285407234915542E-2</v>
      </c>
      <c r="AP59" s="303">
        <v>4.285407234915542E-2</v>
      </c>
      <c r="AQ59" s="303">
        <v>4.285407234915542E-2</v>
      </c>
      <c r="AR59" s="303">
        <v>4.285407234915542E-2</v>
      </c>
      <c r="AS59" s="303">
        <v>4.285407234915542E-2</v>
      </c>
      <c r="AT59" s="303">
        <v>4.285407234915542E-2</v>
      </c>
      <c r="AU59" s="303">
        <v>4.285407234915542E-2</v>
      </c>
      <c r="AV59" s="504"/>
    </row>
    <row r="60" spans="1:48" s="280" customFormat="1" ht="12.9" customHeight="1">
      <c r="A60" s="51" t="s">
        <v>393</v>
      </c>
      <c r="B60" s="303">
        <v>6.3460039434900681E-2</v>
      </c>
      <c r="C60" s="303">
        <v>5.2083846100893581E-2</v>
      </c>
      <c r="D60" s="303">
        <v>7.1380310094665556E-2</v>
      </c>
      <c r="E60" s="303">
        <v>8.2793252002603471E-2</v>
      </c>
      <c r="F60" s="303">
        <v>0.11228449273090349</v>
      </c>
      <c r="G60" s="303">
        <v>0.11831655880145736</v>
      </c>
      <c r="H60" s="303">
        <v>6.2391137116694979E-2</v>
      </c>
      <c r="I60" s="303">
        <v>7.6450212788032365E-2</v>
      </c>
      <c r="J60" s="303">
        <v>0.11813893240177065</v>
      </c>
      <c r="K60" s="303">
        <v>9.3812913829426164E-2</v>
      </c>
      <c r="L60" s="303">
        <v>0.11767080130174574</v>
      </c>
      <c r="M60" s="303">
        <v>0.10222464113641812</v>
      </c>
      <c r="N60" s="303">
        <v>8.3741046001379604E-2</v>
      </c>
      <c r="O60" s="303">
        <v>7.8418968293970492E-2</v>
      </c>
      <c r="P60" s="303">
        <v>7.2280968293970502E-2</v>
      </c>
      <c r="Q60" s="303">
        <v>6.6142968293970497E-2</v>
      </c>
      <c r="R60" s="303">
        <v>7.6648226691945806E-2</v>
      </c>
      <c r="S60" s="303">
        <v>7.6648226691945806E-2</v>
      </c>
      <c r="T60" s="303">
        <v>9.1287116246449529E-2</v>
      </c>
      <c r="U60" s="303">
        <v>9.7786003511830893E-2</v>
      </c>
      <c r="V60" s="303">
        <v>9.7786003511830893E-2</v>
      </c>
      <c r="W60" s="303">
        <v>0.10785020144271565</v>
      </c>
      <c r="X60" s="303">
        <v>0.10785020144271565</v>
      </c>
      <c r="Y60" s="303">
        <v>0.10785020144271565</v>
      </c>
      <c r="Z60" s="303">
        <v>0.11411006684798192</v>
      </c>
      <c r="AA60" s="303">
        <v>0.11411006684798192</v>
      </c>
      <c r="AB60" s="303">
        <v>0.11411006684798192</v>
      </c>
      <c r="AC60" s="303">
        <v>0.11411006684798192</v>
      </c>
      <c r="AD60" s="303">
        <v>0.11411006684798192</v>
      </c>
      <c r="AE60" s="303">
        <v>0.11411006684798192</v>
      </c>
      <c r="AF60" s="303">
        <v>0.11411006684798192</v>
      </c>
      <c r="AG60" s="303">
        <v>0.11411006684798192</v>
      </c>
      <c r="AH60" s="303">
        <v>0.11411006684798192</v>
      </c>
      <c r="AI60" s="303">
        <v>0.11411006684798192</v>
      </c>
      <c r="AJ60" s="303">
        <v>0.11411006684798192</v>
      </c>
      <c r="AK60" s="303">
        <v>0.11411006684798192</v>
      </c>
      <c r="AL60" s="303">
        <v>0.11411006684798192</v>
      </c>
      <c r="AM60" s="303">
        <v>0.11411006684798192</v>
      </c>
      <c r="AN60" s="303">
        <v>0.11411006684798192</v>
      </c>
      <c r="AO60" s="303">
        <v>0.11411006684798192</v>
      </c>
      <c r="AP60" s="303">
        <v>0.11411006684798192</v>
      </c>
      <c r="AQ60" s="303">
        <v>0.11411006684798192</v>
      </c>
      <c r="AR60" s="303">
        <v>0.11411006684798192</v>
      </c>
      <c r="AS60" s="303">
        <v>0.11411006684798192</v>
      </c>
      <c r="AT60" s="303">
        <v>0.11411006684798192</v>
      </c>
      <c r="AU60" s="303">
        <v>0.11411006684798192</v>
      </c>
      <c r="AV60" s="504"/>
    </row>
    <row r="61" spans="1:48" s="280" customFormat="1" ht="12.9" customHeight="1">
      <c r="A61" s="51" t="s">
        <v>394</v>
      </c>
      <c r="B61" s="303">
        <v>3.1705263572331638E-2</v>
      </c>
      <c r="C61" s="303">
        <v>3.1644319659083285E-2</v>
      </c>
      <c r="D61" s="303">
        <v>2.443320621631288E-2</v>
      </c>
      <c r="E61" s="303">
        <v>1.8331428718513114E-2</v>
      </c>
      <c r="F61" s="303">
        <v>2.1010896514468837E-2</v>
      </c>
      <c r="G61" s="303">
        <v>1.9557756702993961E-2</v>
      </c>
      <c r="H61" s="303">
        <v>1.4478201728221231E-2</v>
      </c>
      <c r="I61" s="303">
        <v>5.3683677687399733E-3</v>
      </c>
      <c r="J61" s="303">
        <v>1.2336356954421038E-2</v>
      </c>
      <c r="K61" s="303">
        <v>1.0333425362330442E-2</v>
      </c>
      <c r="L61" s="303">
        <v>0</v>
      </c>
      <c r="M61" s="303">
        <v>0</v>
      </c>
      <c r="N61" s="303">
        <v>0</v>
      </c>
      <c r="O61" s="303">
        <v>9.3810078819085256E-3</v>
      </c>
      <c r="P61" s="303">
        <v>9.3810078819085256E-3</v>
      </c>
      <c r="Q61" s="303">
        <v>9.3810078819085256E-3</v>
      </c>
      <c r="R61" s="303">
        <v>9.3810078819085256E-3</v>
      </c>
      <c r="S61" s="303">
        <v>9.3810078819085256E-3</v>
      </c>
      <c r="T61" s="303">
        <v>9.3810078819085256E-3</v>
      </c>
      <c r="U61" s="303">
        <v>9.3810078819085256E-3</v>
      </c>
      <c r="V61" s="303">
        <v>9.3810078819085256E-3</v>
      </c>
      <c r="W61" s="303">
        <v>9.3810078819085256E-3</v>
      </c>
      <c r="X61" s="303">
        <v>9.3810078819085256E-3</v>
      </c>
      <c r="Y61" s="303">
        <v>9.3810078819085256E-3</v>
      </c>
      <c r="Z61" s="303">
        <v>9.3810078819085256E-3</v>
      </c>
      <c r="AA61" s="303">
        <v>9.3810078819085256E-3</v>
      </c>
      <c r="AB61" s="303">
        <v>9.3810078819085256E-3</v>
      </c>
      <c r="AC61" s="303">
        <v>9.3810078819085256E-3</v>
      </c>
      <c r="AD61" s="303">
        <v>9.3810078819085256E-3</v>
      </c>
      <c r="AE61" s="303">
        <v>9.3810078819085256E-3</v>
      </c>
      <c r="AF61" s="303">
        <v>9.3810078819085256E-3</v>
      </c>
      <c r="AG61" s="303">
        <v>9.3810078819085256E-3</v>
      </c>
      <c r="AH61" s="303">
        <v>9.3810078819085256E-3</v>
      </c>
      <c r="AI61" s="303">
        <v>9.3810078819085256E-3</v>
      </c>
      <c r="AJ61" s="303">
        <v>9.3810078819085256E-3</v>
      </c>
      <c r="AK61" s="303">
        <v>9.3810078819085256E-3</v>
      </c>
      <c r="AL61" s="303">
        <v>9.3810078819085256E-3</v>
      </c>
      <c r="AM61" s="303">
        <v>9.3810078819085256E-3</v>
      </c>
      <c r="AN61" s="303">
        <v>9.3810078819085256E-3</v>
      </c>
      <c r="AO61" s="303">
        <v>9.3810078819085256E-3</v>
      </c>
      <c r="AP61" s="303">
        <v>9.3810078819085256E-3</v>
      </c>
      <c r="AQ61" s="303">
        <v>9.3810078819085256E-3</v>
      </c>
      <c r="AR61" s="303">
        <v>9.3810078819085256E-3</v>
      </c>
      <c r="AS61" s="303">
        <v>9.3810078819085256E-3</v>
      </c>
      <c r="AT61" s="303">
        <v>9.3810078819085256E-3</v>
      </c>
      <c r="AU61" s="303">
        <v>9.3810078819085256E-3</v>
      </c>
      <c r="AV61" s="504"/>
    </row>
    <row r="62" spans="1:48" s="280" customFormat="1" ht="12.9" customHeight="1">
      <c r="A62" s="51" t="s">
        <v>395</v>
      </c>
      <c r="B62" s="303">
        <v>5.2709437643101535E-4</v>
      </c>
      <c r="C62" s="303">
        <v>7.1182717775411812E-4</v>
      </c>
      <c r="D62" s="303">
        <v>7.8450837860507443E-4</v>
      </c>
      <c r="E62" s="303">
        <v>7.8398006222402583E-4</v>
      </c>
      <c r="F62" s="303">
        <v>1.0617143960275869E-3</v>
      </c>
      <c r="G62" s="303">
        <v>9.1900213334896103E-4</v>
      </c>
      <c r="H62" s="303">
        <v>7.5230271045485266E-4</v>
      </c>
      <c r="I62" s="303">
        <v>7.4555115730218745E-4</v>
      </c>
      <c r="J62" s="303">
        <v>7.075488201951129E-4</v>
      </c>
      <c r="K62" s="303">
        <v>6.5016534241318816E-4</v>
      </c>
      <c r="L62" s="303">
        <v>5.333664907916666E-4</v>
      </c>
      <c r="M62" s="303">
        <v>7.0767476992851508E-4</v>
      </c>
      <c r="N62" s="303">
        <v>1.0979239385978455E-3</v>
      </c>
      <c r="O62" s="303">
        <v>7.3996231116258489E-4</v>
      </c>
      <c r="P62" s="303">
        <v>7.3996231116258489E-4</v>
      </c>
      <c r="Q62" s="303">
        <v>7.3996231116258489E-4</v>
      </c>
      <c r="R62" s="303">
        <v>7.3996231116258489E-4</v>
      </c>
      <c r="S62" s="303">
        <v>7.3996231116258489E-4</v>
      </c>
      <c r="T62" s="303">
        <v>7.3996231116258489E-4</v>
      </c>
      <c r="U62" s="303">
        <v>7.3996231116258489E-4</v>
      </c>
      <c r="V62" s="303">
        <v>7.3996231116258489E-4</v>
      </c>
      <c r="W62" s="303">
        <v>7.3996231116258489E-4</v>
      </c>
      <c r="X62" s="303">
        <v>7.3996231116258489E-4</v>
      </c>
      <c r="Y62" s="303">
        <v>7.3996231116258489E-4</v>
      </c>
      <c r="Z62" s="303">
        <v>7.3996231116258489E-4</v>
      </c>
      <c r="AA62" s="303">
        <v>7.3996231116258489E-4</v>
      </c>
      <c r="AB62" s="303">
        <v>7.3996231116258489E-4</v>
      </c>
      <c r="AC62" s="303">
        <v>7.3996231116258489E-4</v>
      </c>
      <c r="AD62" s="303">
        <v>7.3996231116258489E-4</v>
      </c>
      <c r="AE62" s="303">
        <v>7.3996231116258489E-4</v>
      </c>
      <c r="AF62" s="303">
        <v>7.3996231116258489E-4</v>
      </c>
      <c r="AG62" s="303">
        <v>7.3996231116258489E-4</v>
      </c>
      <c r="AH62" s="303">
        <v>7.3996231116258489E-4</v>
      </c>
      <c r="AI62" s="303">
        <v>7.3996231116258489E-4</v>
      </c>
      <c r="AJ62" s="303">
        <v>7.3996231116258489E-4</v>
      </c>
      <c r="AK62" s="303">
        <v>7.3996231116258489E-4</v>
      </c>
      <c r="AL62" s="303">
        <v>7.3996231116258489E-4</v>
      </c>
      <c r="AM62" s="303">
        <v>7.3996231116258489E-4</v>
      </c>
      <c r="AN62" s="303">
        <v>7.3996231116258489E-4</v>
      </c>
      <c r="AO62" s="303">
        <v>7.3996231116258489E-4</v>
      </c>
      <c r="AP62" s="303">
        <v>7.3996231116258489E-4</v>
      </c>
      <c r="AQ62" s="303">
        <v>7.3996231116258489E-4</v>
      </c>
      <c r="AR62" s="303">
        <v>7.3996231116258489E-4</v>
      </c>
      <c r="AS62" s="303">
        <v>7.3996231116258489E-4</v>
      </c>
      <c r="AT62" s="303">
        <v>7.3996231116258489E-4</v>
      </c>
      <c r="AU62" s="303">
        <v>7.3996231116258489E-4</v>
      </c>
      <c r="AV62" s="504"/>
    </row>
    <row r="63" spans="1:48" s="280" customFormat="1" ht="12.9" customHeight="1">
      <c r="A63" s="51" t="s">
        <v>396</v>
      </c>
      <c r="B63" s="303">
        <v>5.2473935503038555E-2</v>
      </c>
      <c r="C63" s="303">
        <v>5.1623675476377369E-2</v>
      </c>
      <c r="D63" s="303">
        <v>4.8998488500467688E-2</v>
      </c>
      <c r="E63" s="303">
        <v>5.6987135137738953E-2</v>
      </c>
      <c r="F63" s="303">
        <v>4.1108509403607239E-2</v>
      </c>
      <c r="G63" s="303">
        <v>6.1332206404646573E-2</v>
      </c>
      <c r="H63" s="303">
        <v>2.6235788852649596E-2</v>
      </c>
      <c r="I63" s="303">
        <v>4.6746665879421445E-2</v>
      </c>
      <c r="J63" s="303">
        <v>4.6478941790418171E-2</v>
      </c>
      <c r="K63" s="303">
        <v>4.9432570308524083E-2</v>
      </c>
      <c r="L63" s="303">
        <v>4.4081045603367099E-2</v>
      </c>
      <c r="M63" s="303">
        <v>4.8231650677883778E-2</v>
      </c>
      <c r="N63" s="303">
        <v>3.9687033462008636E-2</v>
      </c>
      <c r="O63" s="303">
        <v>4.3742327742272734E-2</v>
      </c>
      <c r="P63" s="303">
        <v>4.3184327742272731E-2</v>
      </c>
      <c r="Q63" s="303">
        <v>4.2626327742272735E-2</v>
      </c>
      <c r="R63" s="303">
        <v>4.2706520554471016E-2</v>
      </c>
      <c r="S63" s="303">
        <v>4.2706520554471016E-2</v>
      </c>
      <c r="T63" s="303">
        <v>4.2818267802978677E-2</v>
      </c>
      <c r="U63" s="303">
        <v>4.2864936765798965E-2</v>
      </c>
      <c r="V63" s="303">
        <v>4.2864936765798965E-2</v>
      </c>
      <c r="W63" s="303">
        <v>4.2905033171898109E-2</v>
      </c>
      <c r="X63" s="303">
        <v>4.2905033171898109E-2</v>
      </c>
      <c r="Y63" s="303">
        <v>4.2905033171898109E-2</v>
      </c>
      <c r="Z63" s="303">
        <v>4.2929972874707935E-2</v>
      </c>
      <c r="AA63" s="303">
        <v>4.2929972874707935E-2</v>
      </c>
      <c r="AB63" s="303">
        <v>4.2929972874707935E-2</v>
      </c>
      <c r="AC63" s="303">
        <v>4.2929972874707935E-2</v>
      </c>
      <c r="AD63" s="303">
        <v>4.2929972874707935E-2</v>
      </c>
      <c r="AE63" s="303">
        <v>4.2929972874707935E-2</v>
      </c>
      <c r="AF63" s="303">
        <v>4.2929972874707935E-2</v>
      </c>
      <c r="AG63" s="303">
        <v>4.2929972874707935E-2</v>
      </c>
      <c r="AH63" s="303">
        <v>4.2929972874707935E-2</v>
      </c>
      <c r="AI63" s="303">
        <v>4.2929972874707935E-2</v>
      </c>
      <c r="AJ63" s="303">
        <v>4.2929972874707935E-2</v>
      </c>
      <c r="AK63" s="303">
        <v>4.2929972874707935E-2</v>
      </c>
      <c r="AL63" s="303">
        <v>4.2929972874707935E-2</v>
      </c>
      <c r="AM63" s="303">
        <v>4.2929972874707935E-2</v>
      </c>
      <c r="AN63" s="303">
        <v>4.2929972874707935E-2</v>
      </c>
      <c r="AO63" s="303">
        <v>4.2929972874707935E-2</v>
      </c>
      <c r="AP63" s="303">
        <v>4.2929972874707935E-2</v>
      </c>
      <c r="AQ63" s="303">
        <v>4.2929972874707935E-2</v>
      </c>
      <c r="AR63" s="303">
        <v>4.2929972874707935E-2</v>
      </c>
      <c r="AS63" s="303">
        <v>4.2929972874707935E-2</v>
      </c>
      <c r="AT63" s="303">
        <v>4.2929972874707935E-2</v>
      </c>
      <c r="AU63" s="303">
        <v>4.2929972874707935E-2</v>
      </c>
      <c r="AV63" s="504"/>
    </row>
    <row r="64" spans="1:48" s="280" customFormat="1" ht="12.9" customHeight="1">
      <c r="A64" s="51" t="s">
        <v>243</v>
      </c>
      <c r="B64" s="303">
        <v>0.65947597669635838</v>
      </c>
      <c r="C64" s="303">
        <v>0.68183374790741358</v>
      </c>
      <c r="D64" s="303">
        <v>0.67052971020389363</v>
      </c>
      <c r="E64" s="303">
        <v>0.65281192951749456</v>
      </c>
      <c r="F64" s="303">
        <v>0.64376284587438182</v>
      </c>
      <c r="G64" s="303">
        <v>0.60322481669586725</v>
      </c>
      <c r="H64" s="303">
        <v>0.73373002968949896</v>
      </c>
      <c r="I64" s="303">
        <v>0.69485785965413127</v>
      </c>
      <c r="J64" s="303">
        <v>0.63596816340219686</v>
      </c>
      <c r="K64" s="303">
        <v>0.65070798217051784</v>
      </c>
      <c r="L64" s="303">
        <v>0.62619566318968123</v>
      </c>
      <c r="M64" s="303">
        <v>0.6368912385248412</v>
      </c>
      <c r="N64" s="303">
        <v>0.67681656462700568</v>
      </c>
      <c r="O64" s="303">
        <v>0.650837893113558</v>
      </c>
      <c r="P64" s="303">
        <v>0.650837893113558</v>
      </c>
      <c r="Q64" s="303">
        <v>0.650837893113558</v>
      </c>
      <c r="R64" s="303">
        <v>0.65564946184545503</v>
      </c>
      <c r="S64" s="303">
        <v>0.65564946184545503</v>
      </c>
      <c r="T64" s="303">
        <v>0.66235429675591473</v>
      </c>
      <c r="U64" s="303">
        <v>0.66534706109309383</v>
      </c>
      <c r="V64" s="303">
        <v>0.66534706109309383</v>
      </c>
      <c r="W64" s="303">
        <v>0.67015862982499097</v>
      </c>
      <c r="X64" s="303">
        <v>0.67015862982499097</v>
      </c>
      <c r="Y64" s="303">
        <v>0.67015862982499097</v>
      </c>
      <c r="Z64" s="303">
        <v>0.67315139416217007</v>
      </c>
      <c r="AA64" s="303">
        <v>0.67315139416217007</v>
      </c>
      <c r="AB64" s="303">
        <v>0.67315139416217007</v>
      </c>
      <c r="AC64" s="303">
        <v>0.67315139416217007</v>
      </c>
      <c r="AD64" s="303">
        <v>0.67315139416217007</v>
      </c>
      <c r="AE64" s="303">
        <v>0.67315139416217007</v>
      </c>
      <c r="AF64" s="303">
        <v>0.67315139416217007</v>
      </c>
      <c r="AG64" s="303">
        <v>0.67315139416217007</v>
      </c>
      <c r="AH64" s="303">
        <v>0.67315139416217007</v>
      </c>
      <c r="AI64" s="303">
        <v>0.67315139416217007</v>
      </c>
      <c r="AJ64" s="303">
        <v>0.67315139416217007</v>
      </c>
      <c r="AK64" s="303">
        <v>0.67315139416217007</v>
      </c>
      <c r="AL64" s="303">
        <v>0.67315139416217007</v>
      </c>
      <c r="AM64" s="303">
        <v>0.67315139416217007</v>
      </c>
      <c r="AN64" s="303">
        <v>0.67315139416217007</v>
      </c>
      <c r="AO64" s="303">
        <v>0.67315139416217007</v>
      </c>
      <c r="AP64" s="303">
        <v>0.67315139416217007</v>
      </c>
      <c r="AQ64" s="303">
        <v>0.67315139416217007</v>
      </c>
      <c r="AR64" s="303">
        <v>0.67315139416217007</v>
      </c>
      <c r="AS64" s="303">
        <v>0.67315139416217007</v>
      </c>
      <c r="AT64" s="303">
        <v>0.67315139416217007</v>
      </c>
      <c r="AU64" s="303">
        <v>0.67315139416217007</v>
      </c>
      <c r="AV64" s="504"/>
    </row>
    <row r="65" spans="1:49" s="280" customFormat="1" ht="12.9" customHeight="1">
      <c r="A65" s="51" t="s">
        <v>397</v>
      </c>
      <c r="B65" s="303">
        <v>6.9958899913413674E-3</v>
      </c>
      <c r="C65" s="303">
        <v>4.491971322373914E-3</v>
      </c>
      <c r="D65" s="303">
        <v>5.2210093982710476E-3</v>
      </c>
      <c r="E65" s="303">
        <v>4.65461977481464E-3</v>
      </c>
      <c r="F65" s="303">
        <v>5.0078614945081052E-3</v>
      </c>
      <c r="G65" s="303">
        <v>5.5607354900667335E-3</v>
      </c>
      <c r="H65" s="303">
        <v>4.9051469486321962E-3</v>
      </c>
      <c r="I65" s="303">
        <v>3.4289364429422329E-3</v>
      </c>
      <c r="J65" s="303">
        <v>2.8578791645998201E-3</v>
      </c>
      <c r="K65" s="303">
        <v>3.2731184687870823E-3</v>
      </c>
      <c r="L65" s="303">
        <v>4.5448241558907476E-3</v>
      </c>
      <c r="M65" s="303">
        <v>7.7258879043987736E-3</v>
      </c>
      <c r="N65" s="303">
        <v>5.9797635488444186E-3</v>
      </c>
      <c r="O65" s="303">
        <v>5.7599999999999995E-3</v>
      </c>
      <c r="P65" s="303">
        <v>6.4799999999999996E-3</v>
      </c>
      <c r="Q65" s="303">
        <v>7.1999999999999998E-3</v>
      </c>
      <c r="R65" s="303">
        <v>7.1999999999999998E-3</v>
      </c>
      <c r="S65" s="303">
        <v>7.1999999999999998E-3</v>
      </c>
      <c r="T65" s="303">
        <v>7.1999999999999998E-3</v>
      </c>
      <c r="U65" s="303">
        <v>7.1999999999999998E-3</v>
      </c>
      <c r="V65" s="303">
        <v>7.1999999999999998E-3</v>
      </c>
      <c r="W65" s="303">
        <v>7.1999999999999998E-3</v>
      </c>
      <c r="X65" s="303">
        <v>7.1999999999999998E-3</v>
      </c>
      <c r="Y65" s="303">
        <v>7.1999999999999998E-3</v>
      </c>
      <c r="Z65" s="303">
        <v>7.1999999999999998E-3</v>
      </c>
      <c r="AA65" s="303">
        <v>7.1999999999999998E-3</v>
      </c>
      <c r="AB65" s="303">
        <v>7.1999999999999998E-3</v>
      </c>
      <c r="AC65" s="303">
        <v>7.1999999999999998E-3</v>
      </c>
      <c r="AD65" s="303">
        <v>7.1999999999999998E-3</v>
      </c>
      <c r="AE65" s="303">
        <v>7.1999999999999998E-3</v>
      </c>
      <c r="AF65" s="303">
        <v>7.1999999999999998E-3</v>
      </c>
      <c r="AG65" s="303">
        <v>7.1999999999999998E-3</v>
      </c>
      <c r="AH65" s="303">
        <v>7.1999999999999998E-3</v>
      </c>
      <c r="AI65" s="303">
        <v>7.1999999999999998E-3</v>
      </c>
      <c r="AJ65" s="303">
        <v>7.1999999999999998E-3</v>
      </c>
      <c r="AK65" s="303">
        <v>7.1999999999999998E-3</v>
      </c>
      <c r="AL65" s="303">
        <v>7.1999999999999998E-3</v>
      </c>
      <c r="AM65" s="303">
        <v>7.1999999999999998E-3</v>
      </c>
      <c r="AN65" s="303">
        <v>7.1999999999999998E-3</v>
      </c>
      <c r="AO65" s="303">
        <v>7.1999999999999998E-3</v>
      </c>
      <c r="AP65" s="303">
        <v>7.1999999999999998E-3</v>
      </c>
      <c r="AQ65" s="303">
        <v>7.1999999999999998E-3</v>
      </c>
      <c r="AR65" s="303">
        <v>7.1999999999999998E-3</v>
      </c>
      <c r="AS65" s="303">
        <v>7.1999999999999998E-3</v>
      </c>
      <c r="AT65" s="303">
        <v>7.1999999999999998E-3</v>
      </c>
      <c r="AU65" s="303">
        <v>7.1999999999999998E-3</v>
      </c>
      <c r="AV65" s="504"/>
    </row>
    <row r="66" spans="1:49" s="280" customFormat="1" ht="12.9" customHeight="1">
      <c r="A66" s="51" t="s">
        <v>398</v>
      </c>
      <c r="B66" s="303">
        <v>0</v>
      </c>
      <c r="C66" s="303">
        <v>1.647058439204055E-4</v>
      </c>
      <c r="D66" s="303">
        <v>1.2672518529265126E-4</v>
      </c>
      <c r="E66" s="303">
        <v>1.8906175257190543E-4</v>
      </c>
      <c r="F66" s="303">
        <v>2.164519940101673E-4</v>
      </c>
      <c r="G66" s="303">
        <v>1.9623690612093891E-4</v>
      </c>
      <c r="H66" s="303">
        <v>1.9874598756994066E-4</v>
      </c>
      <c r="I66" s="303">
        <v>1.8758244395432374E-4</v>
      </c>
      <c r="J66" s="303">
        <v>1.7672567922348721E-4</v>
      </c>
      <c r="K66" s="303">
        <v>1.9514548124748826E-4</v>
      </c>
      <c r="L66" s="303">
        <v>1.8211768711012903E-4</v>
      </c>
      <c r="M66" s="303">
        <v>0</v>
      </c>
      <c r="N66" s="303">
        <v>0</v>
      </c>
      <c r="O66" s="303">
        <v>1.2293595967897714E-4</v>
      </c>
      <c r="P66" s="303">
        <v>1.2293595967897714E-4</v>
      </c>
      <c r="Q66" s="303">
        <v>1.2293595967897714E-4</v>
      </c>
      <c r="R66" s="303">
        <v>1.2293595967897714E-4</v>
      </c>
      <c r="S66" s="303">
        <v>1.2293595967897714E-4</v>
      </c>
      <c r="T66" s="303">
        <v>1.2293595967897714E-4</v>
      </c>
      <c r="U66" s="303">
        <v>1.2293595967897714E-4</v>
      </c>
      <c r="V66" s="303">
        <v>1.2293595967897714E-4</v>
      </c>
      <c r="W66" s="303">
        <v>1.2293595967897714E-4</v>
      </c>
      <c r="X66" s="303">
        <v>1.2293595967897714E-4</v>
      </c>
      <c r="Y66" s="303">
        <v>1.2293595967897714E-4</v>
      </c>
      <c r="Z66" s="303">
        <v>1.2293595967897714E-4</v>
      </c>
      <c r="AA66" s="303">
        <v>1.2293595967897714E-4</v>
      </c>
      <c r="AB66" s="303">
        <v>1.2293595967897714E-4</v>
      </c>
      <c r="AC66" s="303">
        <v>1.2293595967897714E-4</v>
      </c>
      <c r="AD66" s="303">
        <v>1.2293595967897714E-4</v>
      </c>
      <c r="AE66" s="303">
        <v>1.2293595967897714E-4</v>
      </c>
      <c r="AF66" s="303">
        <v>1.2293595967897714E-4</v>
      </c>
      <c r="AG66" s="303">
        <v>1.2293595967897714E-4</v>
      </c>
      <c r="AH66" s="303">
        <v>1.2293595967897714E-4</v>
      </c>
      <c r="AI66" s="303">
        <v>1.2293595967897714E-4</v>
      </c>
      <c r="AJ66" s="303">
        <v>1.2293595967897714E-4</v>
      </c>
      <c r="AK66" s="303">
        <v>1.2293595967897714E-4</v>
      </c>
      <c r="AL66" s="303">
        <v>1.2293595967897714E-4</v>
      </c>
      <c r="AM66" s="303">
        <v>1.2293595967897714E-4</v>
      </c>
      <c r="AN66" s="303">
        <v>1.2293595967897714E-4</v>
      </c>
      <c r="AO66" s="303">
        <v>1.2293595967897714E-4</v>
      </c>
      <c r="AP66" s="303">
        <v>1.2293595967897714E-4</v>
      </c>
      <c r="AQ66" s="303">
        <v>1.2293595967897714E-4</v>
      </c>
      <c r="AR66" s="303">
        <v>1.2293595967897714E-4</v>
      </c>
      <c r="AS66" s="303">
        <v>1.2293595967897714E-4</v>
      </c>
      <c r="AT66" s="303">
        <v>1.2293595967897714E-4</v>
      </c>
      <c r="AU66" s="303">
        <v>1.2293595967897714E-4</v>
      </c>
      <c r="AV66" s="504"/>
    </row>
    <row r="67" spans="1:49" s="280" customFormat="1" ht="12.9" customHeight="1">
      <c r="A67" s="51" t="s">
        <v>399</v>
      </c>
      <c r="B67" s="303">
        <v>5.1557964091804333E-3</v>
      </c>
      <c r="C67" s="303">
        <v>9.9215200687948289E-3</v>
      </c>
      <c r="D67" s="303">
        <v>6.1796152784450737E-3</v>
      </c>
      <c r="E67" s="303">
        <v>1.1332353833410377E-2</v>
      </c>
      <c r="F67" s="303">
        <v>6.615925995702425E-3</v>
      </c>
      <c r="G67" s="303">
        <v>6.4067475516769376E-3</v>
      </c>
      <c r="H67" s="303">
        <v>1.1170492693989642E-2</v>
      </c>
      <c r="I67" s="303">
        <v>3.3219463293768882E-2</v>
      </c>
      <c r="J67" s="303">
        <v>3.1313177472848411E-2</v>
      </c>
      <c r="K67" s="303">
        <v>4.0799999999999996E-2</v>
      </c>
      <c r="L67" s="303">
        <v>5.099999999999999E-2</v>
      </c>
      <c r="M67" s="303">
        <v>6.1199999999999991E-2</v>
      </c>
      <c r="N67" s="303">
        <v>7.1399999999999991E-2</v>
      </c>
      <c r="O67" s="303">
        <v>8.1599999999999992E-2</v>
      </c>
      <c r="P67" s="303">
        <v>9.1799999999999993E-2</v>
      </c>
      <c r="Q67" s="303">
        <v>0.10199999999999999</v>
      </c>
      <c r="R67" s="303">
        <v>0.10199999999999999</v>
      </c>
      <c r="S67" s="303">
        <v>0.10199999999999999</v>
      </c>
      <c r="T67" s="303">
        <v>0.10199999999999998</v>
      </c>
      <c r="U67" s="303">
        <v>0.10199999999999998</v>
      </c>
      <c r="V67" s="303">
        <v>0.10199999999999998</v>
      </c>
      <c r="W67" s="303">
        <v>0.10199999999999999</v>
      </c>
      <c r="X67" s="303">
        <v>0.10199999999999999</v>
      </c>
      <c r="Y67" s="303">
        <v>0.10199999999999999</v>
      </c>
      <c r="Z67" s="303">
        <v>0.10199999999999999</v>
      </c>
      <c r="AA67" s="303">
        <v>0.10199999999999999</v>
      </c>
      <c r="AB67" s="303">
        <v>0.10199999999999999</v>
      </c>
      <c r="AC67" s="303">
        <v>0.10199999999999999</v>
      </c>
      <c r="AD67" s="303">
        <v>0.10199999999999999</v>
      </c>
      <c r="AE67" s="303">
        <v>0.10199999999999999</v>
      </c>
      <c r="AF67" s="303">
        <v>0.10199999999999999</v>
      </c>
      <c r="AG67" s="303">
        <v>0.10199999999999999</v>
      </c>
      <c r="AH67" s="303">
        <v>0.10199999999999999</v>
      </c>
      <c r="AI67" s="303">
        <v>0.10199999999999999</v>
      </c>
      <c r="AJ67" s="303">
        <v>0.10199999999999999</v>
      </c>
      <c r="AK67" s="303">
        <v>0.10199999999999999</v>
      </c>
      <c r="AL67" s="303">
        <v>0.10199999999999999</v>
      </c>
      <c r="AM67" s="303">
        <v>0.10199999999999999</v>
      </c>
      <c r="AN67" s="303">
        <v>0.10199999999999999</v>
      </c>
      <c r="AO67" s="303">
        <v>0.10199999999999999</v>
      </c>
      <c r="AP67" s="303">
        <v>0.10199999999999999</v>
      </c>
      <c r="AQ67" s="303">
        <v>0.10199999999999999</v>
      </c>
      <c r="AR67" s="303">
        <v>0.10199999999999999</v>
      </c>
      <c r="AS67" s="303">
        <v>0.10199999999999999</v>
      </c>
      <c r="AT67" s="303">
        <v>0.10199999999999999</v>
      </c>
      <c r="AU67" s="303">
        <v>0.10199999999999999</v>
      </c>
      <c r="AV67" s="504"/>
    </row>
    <row r="68" spans="1:49" s="280" customFormat="1" ht="12.9" customHeight="1">
      <c r="A68" s="51" t="s">
        <v>249</v>
      </c>
      <c r="B68" s="303">
        <v>0</v>
      </c>
      <c r="C68" s="303">
        <v>0</v>
      </c>
      <c r="D68" s="303">
        <v>0</v>
      </c>
      <c r="E68" s="303">
        <v>0</v>
      </c>
      <c r="F68" s="303">
        <v>0</v>
      </c>
      <c r="G68" s="303">
        <v>0</v>
      </c>
      <c r="H68" s="303">
        <v>0</v>
      </c>
      <c r="I68" s="303">
        <v>4.8000000000000001E-4</v>
      </c>
      <c r="J68" s="303">
        <v>7.1999999999999994E-4</v>
      </c>
      <c r="K68" s="303">
        <v>9.5999999999999992E-4</v>
      </c>
      <c r="L68" s="303">
        <v>1.1999999999999999E-3</v>
      </c>
      <c r="M68" s="303">
        <v>1.4399999999999999E-3</v>
      </c>
      <c r="N68" s="303">
        <v>1.6799999999999999E-3</v>
      </c>
      <c r="O68" s="303">
        <v>1.9199999999999998E-3</v>
      </c>
      <c r="P68" s="303">
        <v>2.1599999999999996E-3</v>
      </c>
      <c r="Q68" s="303">
        <v>2.3999999999999998E-3</v>
      </c>
      <c r="R68" s="303">
        <v>2.3999999999999998E-3</v>
      </c>
      <c r="S68" s="303">
        <v>2.3999999999999998E-3</v>
      </c>
      <c r="T68" s="303">
        <v>2.3999999999999998E-3</v>
      </c>
      <c r="U68" s="303">
        <v>2.4642088559872735E-3</v>
      </c>
      <c r="V68" s="303">
        <v>2.4642088559872735E-3</v>
      </c>
      <c r="W68" s="303">
        <v>3.2661369779701213E-3</v>
      </c>
      <c r="X68" s="303">
        <v>3.2661369779701213E-3</v>
      </c>
      <c r="Y68" s="303">
        <v>3.2661369779701213E-3</v>
      </c>
      <c r="Z68" s="303">
        <v>3.7649310341666391E-3</v>
      </c>
      <c r="AA68" s="303">
        <v>3.7649310341666391E-3</v>
      </c>
      <c r="AB68" s="303">
        <v>3.7649310341666391E-3</v>
      </c>
      <c r="AC68" s="303">
        <v>3.7649310341666391E-3</v>
      </c>
      <c r="AD68" s="303">
        <v>3.7649310341666391E-3</v>
      </c>
      <c r="AE68" s="303">
        <v>3.7649310341666391E-3</v>
      </c>
      <c r="AF68" s="303">
        <v>3.7649310341666391E-3</v>
      </c>
      <c r="AG68" s="303">
        <v>3.7649310341666391E-3</v>
      </c>
      <c r="AH68" s="303">
        <v>3.7649310341666391E-3</v>
      </c>
      <c r="AI68" s="303">
        <v>3.7649310341666391E-3</v>
      </c>
      <c r="AJ68" s="303">
        <v>3.7649310341666391E-3</v>
      </c>
      <c r="AK68" s="303">
        <v>3.7649310341666391E-3</v>
      </c>
      <c r="AL68" s="303">
        <v>3.7649310341666391E-3</v>
      </c>
      <c r="AM68" s="303">
        <v>3.7649310341666391E-3</v>
      </c>
      <c r="AN68" s="303">
        <v>3.7649310341666391E-3</v>
      </c>
      <c r="AO68" s="303">
        <v>3.7649310341666391E-3</v>
      </c>
      <c r="AP68" s="303">
        <v>3.7649310341666391E-3</v>
      </c>
      <c r="AQ68" s="303">
        <v>3.7649310341666391E-3</v>
      </c>
      <c r="AR68" s="303">
        <v>3.7649310341666391E-3</v>
      </c>
      <c r="AS68" s="303">
        <v>3.7649310341666391E-3</v>
      </c>
      <c r="AT68" s="303">
        <v>3.7649310341666391E-3</v>
      </c>
      <c r="AU68" s="303">
        <v>3.7649310341666391E-3</v>
      </c>
      <c r="AV68" s="504"/>
    </row>
    <row r="69" spans="1:49" s="280" customFormat="1" ht="12.9" customHeight="1">
      <c r="A69" s="51" t="s">
        <v>354</v>
      </c>
      <c r="B69" s="303">
        <v>9.592633848641679E-4</v>
      </c>
      <c r="C69" s="303">
        <v>6.6179805189737096E-4</v>
      </c>
      <c r="D69" s="303">
        <v>5.5542676186193815E-4</v>
      </c>
      <c r="E69" s="303">
        <v>2.5830910345953057E-4</v>
      </c>
      <c r="F69" s="303">
        <v>1.8068367152797817E-4</v>
      </c>
      <c r="G69" s="303">
        <v>2.1218061970037025E-4</v>
      </c>
      <c r="H69" s="303">
        <v>5.4013262840766458E-4</v>
      </c>
      <c r="I69" s="303">
        <v>9.2300684908240842E-4</v>
      </c>
      <c r="J69" s="303">
        <v>6.6516882400011375E-4</v>
      </c>
      <c r="K69" s="303">
        <v>1.1378056921532269E-3</v>
      </c>
      <c r="L69" s="303">
        <v>1.5073479589894744E-3</v>
      </c>
      <c r="M69" s="303">
        <v>1.6943692538730864E-3</v>
      </c>
      <c r="N69" s="303">
        <v>1.292764921153633E-3</v>
      </c>
      <c r="O69" s="303">
        <v>1.1933598960928769E-3</v>
      </c>
      <c r="P69" s="303">
        <v>1.1933598960928769E-3</v>
      </c>
      <c r="Q69" s="303">
        <v>1.1933598960928769E-3</v>
      </c>
      <c r="R69" s="303">
        <v>1.1933598960928769E-3</v>
      </c>
      <c r="S69" s="303">
        <v>1.1933598960928769E-3</v>
      </c>
      <c r="T69" s="303">
        <v>1.1933598960928769E-3</v>
      </c>
      <c r="U69" s="303">
        <v>1.1933598960928769E-3</v>
      </c>
      <c r="V69" s="303">
        <v>1.1933598960928769E-3</v>
      </c>
      <c r="W69" s="303">
        <v>1.1933598960928769E-3</v>
      </c>
      <c r="X69" s="303">
        <v>1.1933598960928769E-3</v>
      </c>
      <c r="Y69" s="303">
        <v>1.1933598960928769E-3</v>
      </c>
      <c r="Z69" s="303">
        <v>1.1933598960928769E-3</v>
      </c>
      <c r="AA69" s="303">
        <v>1.1933598960928769E-3</v>
      </c>
      <c r="AB69" s="303">
        <v>1.1933598960928769E-3</v>
      </c>
      <c r="AC69" s="303">
        <v>1.1933598960928769E-3</v>
      </c>
      <c r="AD69" s="303">
        <v>1.1933598960928769E-3</v>
      </c>
      <c r="AE69" s="303">
        <v>1.1933598960928769E-3</v>
      </c>
      <c r="AF69" s="303">
        <v>1.1933598960928769E-3</v>
      </c>
      <c r="AG69" s="303">
        <v>1.1933598960928769E-3</v>
      </c>
      <c r="AH69" s="303">
        <v>1.1933598960928769E-3</v>
      </c>
      <c r="AI69" s="303">
        <v>1.1933598960928769E-3</v>
      </c>
      <c r="AJ69" s="303">
        <v>1.1933598960928769E-3</v>
      </c>
      <c r="AK69" s="303">
        <v>1.1933598960928769E-3</v>
      </c>
      <c r="AL69" s="303">
        <v>1.1933598960928769E-3</v>
      </c>
      <c r="AM69" s="303">
        <v>1.1933598960928769E-3</v>
      </c>
      <c r="AN69" s="303">
        <v>1.1933598960928769E-3</v>
      </c>
      <c r="AO69" s="303">
        <v>1.1933598960928769E-3</v>
      </c>
      <c r="AP69" s="303">
        <v>1.1933598960928769E-3</v>
      </c>
      <c r="AQ69" s="303">
        <v>1.1933598960928769E-3</v>
      </c>
      <c r="AR69" s="303">
        <v>1.1933598960928769E-3</v>
      </c>
      <c r="AS69" s="303">
        <v>1.1933598960928769E-3</v>
      </c>
      <c r="AT69" s="303">
        <v>1.1933598960928769E-3</v>
      </c>
      <c r="AU69" s="303">
        <v>1.1933598960928769E-3</v>
      </c>
      <c r="AV69" s="504"/>
    </row>
    <row r="70" spans="1:49" s="280" customFormat="1" ht="12.9" customHeight="1">
      <c r="A70" s="51" t="s">
        <v>353</v>
      </c>
      <c r="B70" s="303">
        <v>1.7988273821387636E-3</v>
      </c>
      <c r="C70" s="303">
        <v>3.7971039237130817E-3</v>
      </c>
      <c r="D70" s="303">
        <v>3.2678155152453536E-3</v>
      </c>
      <c r="E70" s="303">
        <v>3.1014176230452096E-3</v>
      </c>
      <c r="F70" s="303">
        <v>3.3325198104813083E-3</v>
      </c>
      <c r="G70" s="303">
        <v>3.757657773227268E-3</v>
      </c>
      <c r="H70" s="303">
        <v>3.6984032984225127E-3</v>
      </c>
      <c r="I70" s="303">
        <v>3.343485915486194E-3</v>
      </c>
      <c r="J70" s="303">
        <v>2.4301587792292067E-3</v>
      </c>
      <c r="K70" s="303">
        <v>2.2222026885845405E-3</v>
      </c>
      <c r="L70" s="303">
        <v>1.2535607064825709E-3</v>
      </c>
      <c r="M70" s="303">
        <v>1.2658171108505154E-3</v>
      </c>
      <c r="N70" s="303">
        <v>1.8524568626935116E-3</v>
      </c>
      <c r="O70" s="303">
        <v>2.0591872218044594E-3</v>
      </c>
      <c r="P70" s="303">
        <v>2.0591872218044594E-3</v>
      </c>
      <c r="Q70" s="303">
        <v>2.0591872218044594E-3</v>
      </c>
      <c r="R70" s="303">
        <v>2.0591872218044594E-3</v>
      </c>
      <c r="S70" s="303">
        <v>2.0591872218044594E-3</v>
      </c>
      <c r="T70" s="303">
        <v>2.0591872218044594E-3</v>
      </c>
      <c r="U70" s="303">
        <v>2.0591872218044594E-3</v>
      </c>
      <c r="V70" s="303">
        <v>2.0591872218044594E-3</v>
      </c>
      <c r="W70" s="303">
        <v>2.0591872218044594E-3</v>
      </c>
      <c r="X70" s="303">
        <v>2.0591872218044594E-3</v>
      </c>
      <c r="Y70" s="303">
        <v>2.0591872218044594E-3</v>
      </c>
      <c r="Z70" s="303">
        <v>2.0591872218044594E-3</v>
      </c>
      <c r="AA70" s="303">
        <v>2.0591872218044594E-3</v>
      </c>
      <c r="AB70" s="303">
        <v>2.0591872218044594E-3</v>
      </c>
      <c r="AC70" s="303">
        <v>2.0591872218044594E-3</v>
      </c>
      <c r="AD70" s="303">
        <v>2.0591872218044594E-3</v>
      </c>
      <c r="AE70" s="303">
        <v>2.0591872218044594E-3</v>
      </c>
      <c r="AF70" s="303">
        <v>2.0591872218044594E-3</v>
      </c>
      <c r="AG70" s="303">
        <v>2.0591872218044594E-3</v>
      </c>
      <c r="AH70" s="303">
        <v>2.0591872218044594E-3</v>
      </c>
      <c r="AI70" s="303">
        <v>2.0591872218044594E-3</v>
      </c>
      <c r="AJ70" s="303">
        <v>2.0591872218044594E-3</v>
      </c>
      <c r="AK70" s="303">
        <v>2.0591872218044594E-3</v>
      </c>
      <c r="AL70" s="303">
        <v>2.0591872218044594E-3</v>
      </c>
      <c r="AM70" s="303">
        <v>2.0591872218044594E-3</v>
      </c>
      <c r="AN70" s="303">
        <v>2.0591872218044594E-3</v>
      </c>
      <c r="AO70" s="303">
        <v>2.0591872218044594E-3</v>
      </c>
      <c r="AP70" s="303">
        <v>2.0591872218044594E-3</v>
      </c>
      <c r="AQ70" s="303">
        <v>2.0591872218044594E-3</v>
      </c>
      <c r="AR70" s="303">
        <v>2.0591872218044594E-3</v>
      </c>
      <c r="AS70" s="303">
        <v>2.0591872218044594E-3</v>
      </c>
      <c r="AT70" s="303">
        <v>2.0591872218044594E-3</v>
      </c>
      <c r="AU70" s="303">
        <v>2.0591872218044594E-3</v>
      </c>
      <c r="AV70" s="504"/>
    </row>
    <row r="71" spans="1:49" s="280" customFormat="1" ht="12.9" customHeight="1">
      <c r="A71" s="51" t="s">
        <v>355</v>
      </c>
      <c r="B71" s="303">
        <v>3.7126472073078278E-4</v>
      </c>
      <c r="C71" s="303">
        <v>1.2425532829452244E-4</v>
      </c>
      <c r="D71" s="303">
        <v>1.4636471939059393E-4</v>
      </c>
      <c r="E71" s="303">
        <v>2.1736563262060333E-4</v>
      </c>
      <c r="F71" s="303">
        <v>3.2235988416141811E-4</v>
      </c>
      <c r="G71" s="303">
        <v>3.2192229378798264E-4</v>
      </c>
      <c r="H71" s="303">
        <v>2.9972500167656517E-4</v>
      </c>
      <c r="I71" s="303">
        <v>4.015224300404352E-4</v>
      </c>
      <c r="J71" s="303">
        <v>4.3286730997305067E-4</v>
      </c>
      <c r="K71" s="303">
        <v>6.5332497557524238E-4</v>
      </c>
      <c r="L71" s="303">
        <v>5.6699344327659773E-4</v>
      </c>
      <c r="M71" s="303">
        <v>5.4995504879307155E-4</v>
      </c>
      <c r="N71" s="303">
        <v>3.7468765306014618E-4</v>
      </c>
      <c r="O71" s="303">
        <v>4.931094611706488E-4</v>
      </c>
      <c r="P71" s="303">
        <v>4.9310946117042675E-4</v>
      </c>
      <c r="Q71" s="303">
        <v>4.931094611706488E-4</v>
      </c>
      <c r="R71" s="303">
        <v>4.931094611706488E-4</v>
      </c>
      <c r="S71" s="303">
        <v>4.931094611706488E-4</v>
      </c>
      <c r="T71" s="303">
        <v>4.9310946117075982E-4</v>
      </c>
      <c r="U71" s="303">
        <v>4.931094611706488E-4</v>
      </c>
      <c r="V71" s="303">
        <v>4.931094611706488E-4</v>
      </c>
      <c r="W71" s="303">
        <v>4.931094611706488E-4</v>
      </c>
      <c r="X71" s="303">
        <v>4.931094611706488E-4</v>
      </c>
      <c r="Y71" s="303">
        <v>4.931094611706488E-4</v>
      </c>
      <c r="Z71" s="303">
        <v>4.931094611706488E-4</v>
      </c>
      <c r="AA71" s="303">
        <v>4.931094611706488E-4</v>
      </c>
      <c r="AB71" s="303">
        <v>4.931094611706488E-4</v>
      </c>
      <c r="AC71" s="303">
        <v>4.931094611706488E-4</v>
      </c>
      <c r="AD71" s="303">
        <v>4.931094611706488E-4</v>
      </c>
      <c r="AE71" s="303">
        <v>4.931094611706488E-4</v>
      </c>
      <c r="AF71" s="303">
        <v>4.931094611706488E-4</v>
      </c>
      <c r="AG71" s="303">
        <v>4.931094611706488E-4</v>
      </c>
      <c r="AH71" s="303">
        <v>4.931094611706488E-4</v>
      </c>
      <c r="AI71" s="303">
        <v>4.931094611706488E-4</v>
      </c>
      <c r="AJ71" s="303">
        <v>4.931094611706488E-4</v>
      </c>
      <c r="AK71" s="303">
        <v>4.931094611706488E-4</v>
      </c>
      <c r="AL71" s="303">
        <v>4.931094611706488E-4</v>
      </c>
      <c r="AM71" s="303">
        <v>4.931094611706488E-4</v>
      </c>
      <c r="AN71" s="303">
        <v>4.931094611706488E-4</v>
      </c>
      <c r="AO71" s="303">
        <v>4.931094611706488E-4</v>
      </c>
      <c r="AP71" s="303">
        <v>4.931094611706488E-4</v>
      </c>
      <c r="AQ71" s="303">
        <v>4.931094611706488E-4</v>
      </c>
      <c r="AR71" s="303">
        <v>4.931094611706488E-4</v>
      </c>
      <c r="AS71" s="303">
        <v>4.931094611706488E-4</v>
      </c>
      <c r="AT71" s="303">
        <v>4.931094611706488E-4</v>
      </c>
      <c r="AU71" s="303">
        <v>4.931094611706488E-4</v>
      </c>
      <c r="AV71" s="504"/>
    </row>
    <row r="72" spans="1:49" s="398" customFormat="1" ht="12.9" customHeight="1">
      <c r="A72" s="104"/>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504"/>
    </row>
    <row r="73" spans="1:49" s="398" customFormat="1" ht="12.9" customHeight="1">
      <c r="A73" s="63" t="s">
        <v>1320</v>
      </c>
      <c r="B73" s="304"/>
      <c r="C73" s="304"/>
      <c r="D73" s="304"/>
      <c r="E73" s="304"/>
      <c r="F73" s="304"/>
      <c r="G73" s="304"/>
      <c r="H73" s="304"/>
      <c r="I73" s="304"/>
      <c r="J73" s="304"/>
      <c r="K73" s="304"/>
      <c r="L73" s="304"/>
      <c r="M73" s="304"/>
      <c r="N73" s="304"/>
      <c r="O73" s="302">
        <v>9.9688725224071698E-3</v>
      </c>
      <c r="P73" s="302">
        <v>9.9688725224071698E-3</v>
      </c>
      <c r="Q73" s="302">
        <v>9.9688725224071698E-3</v>
      </c>
      <c r="R73" s="302">
        <v>4.9844362612035849E-3</v>
      </c>
      <c r="S73" s="302">
        <v>4.9844362612035849E-3</v>
      </c>
      <c r="T73" s="302">
        <v>4.9844362612035849E-3</v>
      </c>
      <c r="U73" s="302">
        <v>4.9844362612035849E-3</v>
      </c>
      <c r="V73" s="302">
        <v>4.9844362612035849E-3</v>
      </c>
      <c r="W73" s="302">
        <v>0</v>
      </c>
      <c r="X73" s="302">
        <v>0</v>
      </c>
      <c r="Y73" s="302">
        <v>0</v>
      </c>
      <c r="Z73" s="302">
        <v>0</v>
      </c>
      <c r="AA73" s="302">
        <v>0</v>
      </c>
      <c r="AB73" s="302">
        <v>0</v>
      </c>
      <c r="AC73" s="302">
        <v>0</v>
      </c>
      <c r="AD73" s="302">
        <v>0</v>
      </c>
      <c r="AE73" s="302">
        <v>0</v>
      </c>
      <c r="AF73" s="302">
        <v>0</v>
      </c>
      <c r="AG73" s="302">
        <v>0</v>
      </c>
      <c r="AH73" s="302">
        <v>0</v>
      </c>
      <c r="AI73" s="302">
        <v>0</v>
      </c>
      <c r="AJ73" s="302">
        <v>0</v>
      </c>
      <c r="AK73" s="302">
        <v>0</v>
      </c>
      <c r="AL73" s="302">
        <v>0</v>
      </c>
      <c r="AM73" s="302">
        <v>0</v>
      </c>
      <c r="AN73" s="302">
        <v>0</v>
      </c>
      <c r="AO73" s="302">
        <v>0</v>
      </c>
      <c r="AP73" s="302">
        <v>0</v>
      </c>
      <c r="AQ73" s="302">
        <v>0</v>
      </c>
      <c r="AR73" s="302">
        <v>0</v>
      </c>
      <c r="AS73" s="302">
        <v>0</v>
      </c>
      <c r="AT73" s="302">
        <v>0</v>
      </c>
      <c r="AU73" s="302">
        <v>0</v>
      </c>
      <c r="AV73" s="504"/>
    </row>
    <row r="74" spans="1:49" customFormat="1" ht="12.9" customHeight="1">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504"/>
    </row>
    <row r="75" spans="1:49" s="280" customFormat="1" ht="12.9" customHeight="1">
      <c r="A75" s="280" t="s">
        <v>456</v>
      </c>
      <c r="N75" s="465"/>
      <c r="O75" s="465"/>
      <c r="P75" s="465"/>
      <c r="Q75" s="98"/>
      <c r="R75" s="465"/>
      <c r="S75" s="465"/>
      <c r="T75" s="465"/>
      <c r="U75" s="465"/>
      <c r="V75" s="465"/>
      <c r="W75" s="465"/>
      <c r="X75" s="465"/>
      <c r="Y75" s="465"/>
      <c r="Z75" s="465"/>
      <c r="AA75" s="465"/>
      <c r="AB75" s="465"/>
      <c r="AC75" s="465"/>
      <c r="AD75" s="465"/>
      <c r="AE75" s="465"/>
      <c r="AF75" s="465"/>
      <c r="AG75" s="465"/>
      <c r="AH75" s="465"/>
      <c r="AI75" s="465"/>
      <c r="AJ75" s="465"/>
      <c r="AK75" s="465"/>
      <c r="AL75" s="465" t="s">
        <v>1393</v>
      </c>
      <c r="AM75" s="465"/>
      <c r="AN75" s="465"/>
      <c r="AO75" s="465"/>
      <c r="AP75" s="465"/>
      <c r="AQ75" s="465"/>
      <c r="AR75" s="465"/>
      <c r="AS75" s="465"/>
      <c r="AT75" s="465"/>
      <c r="AU75" s="465"/>
      <c r="AV75" s="504"/>
    </row>
    <row r="76" spans="1:49" s="280" customFormat="1" ht="12.9" customHeight="1">
      <c r="A76" s="53" t="s">
        <v>449</v>
      </c>
      <c r="B76" s="302">
        <v>0.5</v>
      </c>
      <c r="C76" s="302">
        <v>0.5</v>
      </c>
      <c r="D76" s="302">
        <v>0.5</v>
      </c>
      <c r="E76" s="302">
        <v>0.3</v>
      </c>
      <c r="F76" s="302">
        <v>0.3</v>
      </c>
      <c r="G76" s="302">
        <v>0.3</v>
      </c>
      <c r="H76" s="302">
        <v>0.3</v>
      </c>
      <c r="I76" s="302">
        <v>0.34</v>
      </c>
      <c r="J76" s="302">
        <v>0.29199999999999998</v>
      </c>
      <c r="K76" s="302">
        <v>0.29199999999999998</v>
      </c>
      <c r="L76" s="302">
        <v>0.29799999999999999</v>
      </c>
      <c r="M76" s="302">
        <v>0.30193360000000002</v>
      </c>
      <c r="N76" s="302">
        <v>0.30591912352000006</v>
      </c>
      <c r="O76" s="302">
        <v>0.30995725595046408</v>
      </c>
      <c r="P76" s="302">
        <v>0.31404869172901023</v>
      </c>
      <c r="Q76" s="302">
        <v>0.31819413445983319</v>
      </c>
      <c r="R76" s="302">
        <v>0.32239429703470301</v>
      </c>
      <c r="S76" s="302">
        <v>0.32664990175556113</v>
      </c>
      <c r="T76" s="302">
        <v>0.33096168045873459</v>
      </c>
      <c r="U76" s="302">
        <v>0.33533037464078991</v>
      </c>
      <c r="V76" s="302">
        <v>0.33975673558604835</v>
      </c>
      <c r="W76" s="302">
        <v>0.34424152449578421</v>
      </c>
      <c r="X76" s="302">
        <v>0.3487855126191286</v>
      </c>
      <c r="Y76" s="302">
        <v>0.35338948138570114</v>
      </c>
      <c r="Z76" s="302">
        <v>0.35805422253999242</v>
      </c>
      <c r="AA76" s="302">
        <v>0.36278053827752033</v>
      </c>
      <c r="AB76" s="302">
        <v>0.36756924138278363</v>
      </c>
      <c r="AC76" s="302">
        <v>0.37242115536903642</v>
      </c>
      <c r="AD76" s="302">
        <v>0.37733711461990771</v>
      </c>
      <c r="AE76" s="302">
        <v>0.38231796453289052</v>
      </c>
      <c r="AF76" s="302">
        <v>0.38736456166472472</v>
      </c>
      <c r="AG76" s="302">
        <v>0.39247777387869914</v>
      </c>
      <c r="AH76" s="302">
        <v>0.39765848049389801</v>
      </c>
      <c r="AI76" s="302">
        <v>0.4029075724364175</v>
      </c>
      <c r="AJ76" s="302">
        <v>0.40822595239257825</v>
      </c>
      <c r="AK76" s="302">
        <v>0.41361453496416034</v>
      </c>
      <c r="AL76" s="302">
        <v>0.41907424682568728</v>
      </c>
      <c r="AM76" s="302">
        <v>0.4246060268837864</v>
      </c>
      <c r="AN76" s="302">
        <v>0.43021082643865244</v>
      </c>
      <c r="AO76" s="302">
        <v>0.4358896093476427</v>
      </c>
      <c r="AP76" s="302">
        <v>0.44164335219103162</v>
      </c>
      <c r="AQ76" s="302">
        <v>0.44747304443995328</v>
      </c>
      <c r="AR76" s="302">
        <v>0.4533796886265607</v>
      </c>
      <c r="AS76" s="302">
        <v>0.45936430051643135</v>
      </c>
      <c r="AT76" s="302">
        <v>0.46542790928324829</v>
      </c>
      <c r="AU76" s="302">
        <v>0.47157155768578723</v>
      </c>
      <c r="AV76" s="472">
        <f t="shared" ref="AV76:AV82" si="5">((AU76-O76)/O76)/32</f>
        <v>1.6294010971745043E-2</v>
      </c>
      <c r="AW76" s="513" t="s">
        <v>1468</v>
      </c>
    </row>
    <row r="77" spans="1:49" s="280" customFormat="1" ht="12.9" customHeight="1">
      <c r="A77" s="53" t="s">
        <v>450</v>
      </c>
      <c r="B77" s="302">
        <v>1</v>
      </c>
      <c r="C77" s="302">
        <v>2.1</v>
      </c>
      <c r="D77" s="302">
        <v>0.8</v>
      </c>
      <c r="E77" s="302">
        <v>0.9</v>
      </c>
      <c r="F77" s="302">
        <v>0.5</v>
      </c>
      <c r="G77" s="302">
        <v>0.5</v>
      </c>
      <c r="H77" s="302">
        <v>0.5</v>
      </c>
      <c r="I77" s="302">
        <v>0.64</v>
      </c>
      <c r="J77" s="302">
        <v>0.72599999999999998</v>
      </c>
      <c r="K77" s="302">
        <v>0.72599999999999998</v>
      </c>
      <c r="L77" s="302">
        <v>0.78</v>
      </c>
      <c r="M77" s="302">
        <v>0.79029600000000011</v>
      </c>
      <c r="N77" s="302">
        <v>0.8007279072000002</v>
      </c>
      <c r="O77" s="302">
        <v>0.81129751557504026</v>
      </c>
      <c r="P77" s="302">
        <v>0.82200664278063085</v>
      </c>
      <c r="Q77" s="302">
        <v>0.83285713046533527</v>
      </c>
      <c r="R77" s="302">
        <v>0.84385084458747783</v>
      </c>
      <c r="S77" s="302">
        <v>0.85498967573603257</v>
      </c>
      <c r="T77" s="302">
        <v>0.86627553945574831</v>
      </c>
      <c r="U77" s="302">
        <v>0.87771037657656426</v>
      </c>
      <c r="V77" s="302">
        <v>0.88929615354737501</v>
      </c>
      <c r="W77" s="302">
        <v>0.90103486277420042</v>
      </c>
      <c r="X77" s="302">
        <v>0.9129285229628199</v>
      </c>
      <c r="Y77" s="302">
        <v>0.92497917946592922</v>
      </c>
      <c r="Z77" s="302">
        <v>0.93718890463487958</v>
      </c>
      <c r="AA77" s="302">
        <v>0.94955979817606007</v>
      </c>
      <c r="AB77" s="302">
        <v>0.96209398751198416</v>
      </c>
      <c r="AC77" s="302">
        <v>0.97479362814714243</v>
      </c>
      <c r="AD77" s="302">
        <v>0.98766090403868478</v>
      </c>
      <c r="AE77" s="302">
        <v>1.0006980279719955</v>
      </c>
      <c r="AF77" s="302">
        <v>1.0139072419412258</v>
      </c>
      <c r="AG77" s="302">
        <v>1.0272908175348501</v>
      </c>
      <c r="AH77" s="302">
        <v>1.0408510563263103</v>
      </c>
      <c r="AI77" s="302">
        <v>1.0545902902698177</v>
      </c>
      <c r="AJ77" s="302">
        <v>1.0685108821013793</v>
      </c>
      <c r="AK77" s="302">
        <v>1.0826152257451176</v>
      </c>
      <c r="AL77" s="302">
        <v>1.0969057467249532</v>
      </c>
      <c r="AM77" s="302">
        <v>1.1113849025817226</v>
      </c>
      <c r="AN77" s="302">
        <v>1.1260551832958015</v>
      </c>
      <c r="AO77" s="302">
        <v>1.1409191117153061</v>
      </c>
      <c r="AP77" s="302">
        <v>1.1559792439899483</v>
      </c>
      <c r="AQ77" s="302">
        <v>1.1712381700106158</v>
      </c>
      <c r="AR77" s="302">
        <v>1.1866985138547561</v>
      </c>
      <c r="AS77" s="302">
        <v>1.202362934237639</v>
      </c>
      <c r="AT77" s="302">
        <v>1.2182341249695758</v>
      </c>
      <c r="AU77" s="302">
        <v>1.2343148154191743</v>
      </c>
      <c r="AV77" s="472">
        <f t="shared" si="5"/>
        <v>1.6294010971745029E-2</v>
      </c>
      <c r="AW77" s="513" t="s">
        <v>1468</v>
      </c>
    </row>
    <row r="78" spans="1:49" s="280" customFormat="1" ht="12.9" customHeight="1">
      <c r="A78" s="53" t="s">
        <v>451</v>
      </c>
      <c r="B78" s="302">
        <v>0.03</v>
      </c>
      <c r="C78" s="302">
        <v>2.5000000000000001E-2</v>
      </c>
      <c r="D78" s="302">
        <v>0.02</v>
      </c>
      <c r="E78" s="302">
        <v>0.02</v>
      </c>
      <c r="F78" s="302">
        <v>1.4999999999999999E-2</v>
      </c>
      <c r="G78" s="302">
        <v>0.01</v>
      </c>
      <c r="H78" s="302">
        <v>0.01</v>
      </c>
      <c r="I78" s="302">
        <v>1.4999999999999999E-2</v>
      </c>
      <c r="J78" s="302">
        <v>1.3000000000000001E-2</v>
      </c>
      <c r="K78" s="302">
        <v>1.3000000000000001E-2</v>
      </c>
      <c r="L78" s="302">
        <v>1.1000000000000001E-2</v>
      </c>
      <c r="M78" s="302">
        <v>1.1145200000000003E-2</v>
      </c>
      <c r="N78" s="302">
        <v>1.1292316640000005E-2</v>
      </c>
      <c r="O78" s="302">
        <v>1.1441375219648007E-2</v>
      </c>
      <c r="P78" s="302">
        <v>1.1592401372547361E-2</v>
      </c>
      <c r="Q78" s="302">
        <v>1.1745421070664988E-2</v>
      </c>
      <c r="R78" s="302">
        <v>1.1900460628797767E-2</v>
      </c>
      <c r="S78" s="302">
        <v>1.2057546709097899E-2</v>
      </c>
      <c r="T78" s="302">
        <v>1.2216706325657993E-2</v>
      </c>
      <c r="U78" s="302">
        <v>1.237796684915668E-2</v>
      </c>
      <c r="V78" s="302">
        <v>1.2541356011565549E-2</v>
      </c>
      <c r="W78" s="302">
        <v>1.2706901910918215E-2</v>
      </c>
      <c r="X78" s="302">
        <v>1.2874633016142337E-2</v>
      </c>
      <c r="Y78" s="302">
        <v>1.3044578171955418E-2</v>
      </c>
      <c r="Z78" s="302">
        <v>1.3216766603825231E-2</v>
      </c>
      <c r="AA78" s="302">
        <v>1.3391227922995725E-2</v>
      </c>
      <c r="AB78" s="302">
        <v>1.3567992131579271E-2</v>
      </c>
      <c r="AC78" s="302">
        <v>1.3747089627716119E-2</v>
      </c>
      <c r="AD78" s="302">
        <v>1.3928551210801974E-2</v>
      </c>
      <c r="AE78" s="302">
        <v>1.4112408086784562E-2</v>
      </c>
      <c r="AF78" s="302">
        <v>1.429869187353012E-2</v>
      </c>
      <c r="AG78" s="302">
        <v>1.4487434606260719E-2</v>
      </c>
      <c r="AH78" s="302">
        <v>1.4678668743063361E-2</v>
      </c>
      <c r="AI78" s="302">
        <v>1.4872427170471799E-2</v>
      </c>
      <c r="AJ78" s="302">
        <v>1.5068743209122028E-2</v>
      </c>
      <c r="AK78" s="302">
        <v>1.526765061948244E-2</v>
      </c>
      <c r="AL78" s="302">
        <v>1.5469183607659609E-2</v>
      </c>
      <c r="AM78" s="302">
        <v>1.5673376831280717E-2</v>
      </c>
      <c r="AN78" s="302">
        <v>1.5880265405453623E-2</v>
      </c>
      <c r="AO78" s="302">
        <v>1.6089884908805613E-2</v>
      </c>
      <c r="AP78" s="302">
        <v>1.6302271389601847E-2</v>
      </c>
      <c r="AQ78" s="302">
        <v>1.6517461371944594E-2</v>
      </c>
      <c r="AR78" s="302">
        <v>1.6735491862054263E-2</v>
      </c>
      <c r="AS78" s="302">
        <v>1.6956400354633382E-2</v>
      </c>
      <c r="AT78" s="302">
        <v>1.7180224839314542E-2</v>
      </c>
      <c r="AU78" s="302">
        <v>1.7407003807193497E-2</v>
      </c>
      <c r="AV78" s="472">
        <f t="shared" si="5"/>
        <v>1.6294010971745054E-2</v>
      </c>
      <c r="AW78" s="513" t="s">
        <v>1468</v>
      </c>
    </row>
    <row r="79" spans="1:49" s="280" customFormat="1" ht="12.9" customHeight="1">
      <c r="A79" s="53" t="s">
        <v>452</v>
      </c>
      <c r="B79" s="302">
        <v>0.1</v>
      </c>
      <c r="C79" s="302">
        <v>0.1</v>
      </c>
      <c r="D79" s="302">
        <v>0.1</v>
      </c>
      <c r="E79" s="302">
        <v>0.1</v>
      </c>
      <c r="F79" s="302">
        <v>0.1</v>
      </c>
      <c r="G79" s="302">
        <v>0.1</v>
      </c>
      <c r="H79" s="302">
        <v>0.1</v>
      </c>
      <c r="I79" s="302">
        <v>0.1</v>
      </c>
      <c r="J79" s="302">
        <v>0.09</v>
      </c>
      <c r="K79" s="302">
        <v>0.09</v>
      </c>
      <c r="L79" s="302">
        <v>0.08</v>
      </c>
      <c r="M79" s="302">
        <v>8.1056000000000003E-2</v>
      </c>
      <c r="N79" s="302">
        <v>8.2125939200000012E-2</v>
      </c>
      <c r="O79" s="302">
        <v>8.321000159744002E-2</v>
      </c>
      <c r="P79" s="302">
        <v>8.4308373618526236E-2</v>
      </c>
      <c r="Q79" s="302">
        <v>8.5421244150290787E-2</v>
      </c>
      <c r="R79" s="302">
        <v>8.6548804573074636E-2</v>
      </c>
      <c r="S79" s="302">
        <v>8.769124879343923E-2</v>
      </c>
      <c r="T79" s="302">
        <v>8.8848773277512644E-2</v>
      </c>
      <c r="U79" s="302">
        <v>9.0021577084775817E-2</v>
      </c>
      <c r="V79" s="302">
        <v>9.1209861902294867E-2</v>
      </c>
      <c r="W79" s="302">
        <v>9.2413832079405164E-2</v>
      </c>
      <c r="X79" s="302">
        <v>9.3633694662853317E-2</v>
      </c>
      <c r="Y79" s="302">
        <v>9.4869659432402997E-2</v>
      </c>
      <c r="Z79" s="302">
        <v>9.612193893691072E-2</v>
      </c>
      <c r="AA79" s="302">
        <v>9.7390748530877952E-2</v>
      </c>
      <c r="AB79" s="302">
        <v>9.8676306411485545E-2</v>
      </c>
      <c r="AC79" s="302">
        <v>9.9978833656117164E-2</v>
      </c>
      <c r="AD79" s="302">
        <v>0.10129855426037793</v>
      </c>
      <c r="AE79" s="302">
        <v>0.10263569517661493</v>
      </c>
      <c r="AF79" s="302">
        <v>0.10399048635294626</v>
      </c>
      <c r="AG79" s="302">
        <v>0.10536316077280516</v>
      </c>
      <c r="AH79" s="302">
        <v>0.1067539544950062</v>
      </c>
      <c r="AI79" s="302">
        <v>0.10816310669434029</v>
      </c>
      <c r="AJ79" s="302">
        <v>0.10959085970270559</v>
      </c>
      <c r="AK79" s="302">
        <v>0.11103745905078131</v>
      </c>
      <c r="AL79" s="302">
        <v>0.11250315351025164</v>
      </c>
      <c r="AM79" s="302">
        <v>0.11398819513658698</v>
      </c>
      <c r="AN79" s="302">
        <v>0.11549283931238993</v>
      </c>
      <c r="AO79" s="302">
        <v>0.1170173447913135</v>
      </c>
      <c r="AP79" s="302">
        <v>0.11856197374255885</v>
      </c>
      <c r="AQ79" s="302">
        <v>0.12012699179596063</v>
      </c>
      <c r="AR79" s="302">
        <v>0.12171266808766733</v>
      </c>
      <c r="AS79" s="302">
        <v>0.12331927530642454</v>
      </c>
      <c r="AT79" s="302">
        <v>0.12494708974046936</v>
      </c>
      <c r="AU79" s="302">
        <v>0.12659639132504358</v>
      </c>
      <c r="AV79" s="472">
        <f t="shared" si="5"/>
        <v>1.6294010971745054E-2</v>
      </c>
      <c r="AW79" s="513" t="s">
        <v>1468</v>
      </c>
    </row>
    <row r="80" spans="1:49" s="280" customFormat="1" ht="12.9" customHeight="1">
      <c r="A80" s="53" t="s">
        <v>453</v>
      </c>
      <c r="B80" s="302">
        <v>2.1</v>
      </c>
      <c r="C80" s="302">
        <v>2.2000000000000002</v>
      </c>
      <c r="D80" s="302">
        <v>2.2000000000000002</v>
      </c>
      <c r="E80" s="302">
        <v>2.2000000000000002</v>
      </c>
      <c r="F80" s="302">
        <v>2.2999999999999998</v>
      </c>
      <c r="G80" s="302">
        <v>2.5</v>
      </c>
      <c r="H80" s="302">
        <v>2.6</v>
      </c>
      <c r="I80" s="302">
        <v>2.36</v>
      </c>
      <c r="J80" s="302">
        <v>2.5799999999999996</v>
      </c>
      <c r="K80" s="302">
        <v>2.5799999999999996</v>
      </c>
      <c r="L80" s="302">
        <v>2.8220000000000001</v>
      </c>
      <c r="M80" s="522">
        <v>2.8990834687246143</v>
      </c>
      <c r="N80" s="522">
        <v>2.978272487112807</v>
      </c>
      <c r="O80" s="522">
        <v>3.0596245686555918</v>
      </c>
      <c r="P80" s="522">
        <v>3.1431987978359692</v>
      </c>
      <c r="Q80" s="522">
        <v>3.2290558730408714</v>
      </c>
      <c r="R80" s="522">
        <v>3.3172581506452579</v>
      </c>
      <c r="S80" s="522">
        <v>3.4078696903003731</v>
      </c>
      <c r="T80" s="522">
        <v>3.5009563014590652</v>
      </c>
      <c r="U80" s="522">
        <v>3.5965855911719502</v>
      </c>
      <c r="V80" s="522">
        <v>3.694827013189137</v>
      </c>
      <c r="W80" s="522">
        <v>3.7957519184031785</v>
      </c>
      <c r="X80" s="522">
        <v>3.899433606669878</v>
      </c>
      <c r="Y80" s="522">
        <v>4.0059473800445939</v>
      </c>
      <c r="Z80" s="522">
        <v>4.1153705974727011</v>
      </c>
      <c r="AA80" s="522">
        <v>4.227782730973936</v>
      </c>
      <c r="AB80" s="522">
        <v>4.3432654233614247</v>
      </c>
      <c r="AC80" s="522">
        <v>4.4619025475373206</v>
      </c>
      <c r="AD80" s="522">
        <v>4.5837802674081107</v>
      </c>
      <c r="AE80" s="522">
        <v>4.708987100463836</v>
      </c>
      <c r="AF80" s="522">
        <v>4.8376139820666761</v>
      </c>
      <c r="AG80" s="522">
        <v>4.9697543314955892</v>
      </c>
      <c r="AH80" s="522">
        <v>5.1055041197949711</v>
      </c>
      <c r="AI80" s="522">
        <v>5.2449619394766174</v>
      </c>
      <c r="AJ80" s="522">
        <v>5.3882290761256035</v>
      </c>
      <c r="AK80" s="522">
        <v>5.5354095819620976</v>
      </c>
      <c r="AL80" s="522">
        <v>5.6866103514125248</v>
      </c>
      <c r="AM80" s="522">
        <v>5.8419411987449754</v>
      </c>
      <c r="AN80" s="522">
        <v>6.0015149378252355</v>
      </c>
      <c r="AO80" s="522">
        <v>6.1654474640513719</v>
      </c>
      <c r="AP80" s="522">
        <v>6.3338578385263737</v>
      </c>
      <c r="AQ80" s="522">
        <v>6.5068683745299882</v>
      </c>
      <c r="AR80" s="522">
        <v>6.6846047263525481</v>
      </c>
      <c r="AS80" s="522">
        <v>6.867195980555314</v>
      </c>
      <c r="AT80" s="522">
        <v>7.0547747497236104</v>
      </c>
      <c r="AU80" s="522">
        <v>7.2474772687808455</v>
      </c>
      <c r="AV80" s="472">
        <f t="shared" si="5"/>
        <v>4.2773351416908974E-2</v>
      </c>
      <c r="AW80" s="513" t="s">
        <v>1466</v>
      </c>
    </row>
    <row r="81" spans="1:49" s="280" customFormat="1" ht="12.9" customHeight="1">
      <c r="A81" s="53" t="s">
        <v>454</v>
      </c>
      <c r="B81" s="302">
        <v>0.1</v>
      </c>
      <c r="C81" s="302">
        <v>0.1</v>
      </c>
      <c r="D81" s="302">
        <v>0.1</v>
      </c>
      <c r="E81" s="302">
        <v>0.1</v>
      </c>
      <c r="F81" s="302">
        <v>0.1</v>
      </c>
      <c r="G81" s="302">
        <v>0.1</v>
      </c>
      <c r="H81" s="302">
        <v>0.1</v>
      </c>
      <c r="I81" s="302">
        <v>0.1</v>
      </c>
      <c r="J81" s="302">
        <v>9.1999999999999998E-2</v>
      </c>
      <c r="K81" s="302">
        <v>9.1999999999999998E-2</v>
      </c>
      <c r="L81" s="302">
        <v>8.6000000000000007E-2</v>
      </c>
      <c r="M81" s="302">
        <v>8.713520000000001E-2</v>
      </c>
      <c r="N81" s="302">
        <v>8.828538464000002E-2</v>
      </c>
      <c r="O81" s="302">
        <v>8.9450751717248034E-2</v>
      </c>
      <c r="P81" s="302">
        <v>9.0631501639915721E-2</v>
      </c>
      <c r="Q81" s="302">
        <v>9.1827837461562617E-2</v>
      </c>
      <c r="R81" s="302">
        <v>9.3039964916055248E-2</v>
      </c>
      <c r="S81" s="302">
        <v>9.4268092452947191E-2</v>
      </c>
      <c r="T81" s="302">
        <v>9.5512431273326107E-2</v>
      </c>
      <c r="U81" s="302">
        <v>9.6773195366134018E-2</v>
      </c>
      <c r="V81" s="302">
        <v>9.8050601544967003E-2</v>
      </c>
      <c r="W81" s="302">
        <v>9.9344869485360573E-2</v>
      </c>
      <c r="X81" s="302">
        <v>0.10065622176256735</v>
      </c>
      <c r="Y81" s="302">
        <v>0.10198488388983325</v>
      </c>
      <c r="Z81" s="302">
        <v>0.10333108435717905</v>
      </c>
      <c r="AA81" s="302">
        <v>0.10469505467069383</v>
      </c>
      <c r="AB81" s="302">
        <v>0.10607702939234701</v>
      </c>
      <c r="AC81" s="302">
        <v>0.107477246180326</v>
      </c>
      <c r="AD81" s="302">
        <v>0.10889594582990632</v>
      </c>
      <c r="AE81" s="302">
        <v>0.11033337231486109</v>
      </c>
      <c r="AF81" s="302">
        <v>0.11178977282941727</v>
      </c>
      <c r="AG81" s="302">
        <v>0.11326539783076559</v>
      </c>
      <c r="AH81" s="302">
        <v>0.11476050108213171</v>
      </c>
      <c r="AI81" s="302">
        <v>0.11627533969641586</v>
      </c>
      <c r="AJ81" s="302">
        <v>0.11781017418040857</v>
      </c>
      <c r="AK81" s="302">
        <v>0.11936526847958998</v>
      </c>
      <c r="AL81" s="302">
        <v>0.12094089002352057</v>
      </c>
      <c r="AM81" s="302">
        <v>0.12253730977183105</v>
      </c>
      <c r="AN81" s="302">
        <v>0.12415480226081924</v>
      </c>
      <c r="AO81" s="302">
        <v>0.12579364565066206</v>
      </c>
      <c r="AP81" s="302">
        <v>0.1274541217732508</v>
      </c>
      <c r="AQ81" s="302">
        <v>0.12913651618065772</v>
      </c>
      <c r="AR81" s="302">
        <v>0.13084111819424241</v>
      </c>
      <c r="AS81" s="302">
        <v>0.13256822095440643</v>
      </c>
      <c r="AT81" s="302">
        <v>0.13431812147100461</v>
      </c>
      <c r="AU81" s="302">
        <v>0.13609112067442189</v>
      </c>
      <c r="AV81" s="472">
        <f t="shared" si="5"/>
        <v>1.6294010971745064E-2</v>
      </c>
      <c r="AW81" s="513" t="s">
        <v>1468</v>
      </c>
    </row>
    <row r="82" spans="1:49" s="280" customFormat="1" ht="12.9" customHeight="1">
      <c r="A82" s="53" t="s">
        <v>455</v>
      </c>
      <c r="B82" s="302">
        <v>0.19</v>
      </c>
      <c r="C82" s="302">
        <v>0.18</v>
      </c>
      <c r="D82" s="302">
        <v>0.17</v>
      </c>
      <c r="E82" s="302">
        <v>0.16</v>
      </c>
      <c r="F82" s="302">
        <v>0.15</v>
      </c>
      <c r="G82" s="302">
        <v>0.14000000000000001</v>
      </c>
      <c r="H82" s="302">
        <v>0.13</v>
      </c>
      <c r="I82" s="302">
        <v>0.15</v>
      </c>
      <c r="J82" s="302">
        <v>0.14000000000000001</v>
      </c>
      <c r="K82" s="302">
        <v>0.14000000000000001</v>
      </c>
      <c r="L82" s="302">
        <v>0.13</v>
      </c>
      <c r="M82" s="302">
        <v>0.13171600000000003</v>
      </c>
      <c r="N82" s="302">
        <v>0.13345465120000005</v>
      </c>
      <c r="O82" s="302">
        <v>0.13521625259584005</v>
      </c>
      <c r="P82" s="302">
        <v>0.13700110713010516</v>
      </c>
      <c r="Q82" s="302">
        <v>0.13880952174422256</v>
      </c>
      <c r="R82" s="302">
        <v>0.14064180743124632</v>
      </c>
      <c r="S82" s="302">
        <v>0.14249827928933878</v>
      </c>
      <c r="T82" s="302">
        <v>0.14437925657595807</v>
      </c>
      <c r="U82" s="302">
        <v>0.14628506276276074</v>
      </c>
      <c r="V82" s="302">
        <v>0.14821602559122921</v>
      </c>
      <c r="W82" s="302">
        <v>0.15017247712903345</v>
      </c>
      <c r="X82" s="302">
        <v>0.1521547538271367</v>
      </c>
      <c r="Y82" s="302">
        <v>0.15416319657765493</v>
      </c>
      <c r="Z82" s="302">
        <v>0.15619815077247998</v>
      </c>
      <c r="AA82" s="302">
        <v>0.15825996636267672</v>
      </c>
      <c r="AB82" s="302">
        <v>0.16034899791866408</v>
      </c>
      <c r="AC82" s="302">
        <v>0.16246560469119045</v>
      </c>
      <c r="AD82" s="302">
        <v>0.16461015067311419</v>
      </c>
      <c r="AE82" s="302">
        <v>0.1667830046619993</v>
      </c>
      <c r="AF82" s="302">
        <v>0.16898454032353771</v>
      </c>
      <c r="AG82" s="302">
        <v>0.17121513625580842</v>
      </c>
      <c r="AH82" s="302">
        <v>0.17347517605438512</v>
      </c>
      <c r="AI82" s="302">
        <v>0.17576504837830301</v>
      </c>
      <c r="AJ82" s="302">
        <v>0.17808514701689662</v>
      </c>
      <c r="AK82" s="302">
        <v>0.18043587095751967</v>
      </c>
      <c r="AL82" s="302">
        <v>0.18281762445415894</v>
      </c>
      <c r="AM82" s="302">
        <v>0.18523081709695385</v>
      </c>
      <c r="AN82" s="302">
        <v>0.18767586388263366</v>
      </c>
      <c r="AO82" s="302">
        <v>0.19015318528588443</v>
      </c>
      <c r="AP82" s="302">
        <v>0.19266320733165812</v>
      </c>
      <c r="AQ82" s="302">
        <v>0.19520636166843602</v>
      </c>
      <c r="AR82" s="302">
        <v>0.19778308564245939</v>
      </c>
      <c r="AS82" s="302">
        <v>0.20039382237293987</v>
      </c>
      <c r="AT82" s="302">
        <v>0.2030390208282627</v>
      </c>
      <c r="AU82" s="302">
        <v>0.20571913590319579</v>
      </c>
      <c r="AV82" s="472">
        <f t="shared" si="5"/>
        <v>1.6294010971745043E-2</v>
      </c>
      <c r="AW82" s="513" t="s">
        <v>1468</v>
      </c>
    </row>
    <row r="83" spans="1:49" s="280" customFormat="1" ht="12.9" customHeight="1"/>
    <row r="84" spans="1:49" s="280" customFormat="1" ht="12.9" customHeight="1">
      <c r="B84" s="201">
        <f>SUM(B76:B83)</f>
        <v>4.0200000000000005</v>
      </c>
      <c r="C84" s="201">
        <f t="shared" ref="C84:M84" si="6">SUM(C76:C83)</f>
        <v>5.2050000000000001</v>
      </c>
      <c r="D84" s="201">
        <f t="shared" si="6"/>
        <v>3.89</v>
      </c>
      <c r="E84" s="201">
        <f t="shared" si="6"/>
        <v>3.7800000000000007</v>
      </c>
      <c r="F84" s="201">
        <f t="shared" si="6"/>
        <v>3.4649999999999999</v>
      </c>
      <c r="G84" s="201">
        <f t="shared" si="6"/>
        <v>3.6500000000000004</v>
      </c>
      <c r="H84" s="201">
        <f t="shared" si="6"/>
        <v>3.74</v>
      </c>
      <c r="I84" s="201">
        <f t="shared" si="6"/>
        <v>3.7050000000000001</v>
      </c>
      <c r="J84" s="201">
        <f t="shared" si="6"/>
        <v>3.9329999999999998</v>
      </c>
      <c r="K84" s="201">
        <f t="shared" si="6"/>
        <v>3.9329999999999998</v>
      </c>
      <c r="L84" s="201">
        <f t="shared" si="6"/>
        <v>4.2069999999999999</v>
      </c>
      <c r="M84" s="201">
        <f t="shared" si="6"/>
        <v>4.3023654687246138</v>
      </c>
    </row>
    <row r="85" spans="1:49" s="280" customFormat="1" ht="12.9" customHeight="1">
      <c r="B85" s="201">
        <v>4.1000000000000005</v>
      </c>
      <c r="C85" s="201">
        <v>5.3</v>
      </c>
      <c r="D85" s="201">
        <v>4.0000000000000009</v>
      </c>
      <c r="E85" s="201">
        <v>3.9</v>
      </c>
      <c r="F85" s="201">
        <v>3.5999999999999996</v>
      </c>
      <c r="G85" s="201">
        <v>3.8</v>
      </c>
      <c r="H85" s="201">
        <v>3.8000000000000003</v>
      </c>
      <c r="I85" s="201">
        <v>3.82</v>
      </c>
      <c r="J85" s="201">
        <v>3.8617767401106704</v>
      </c>
      <c r="K85" s="201">
        <v>3.9079585636726186</v>
      </c>
      <c r="L85" s="201">
        <v>3.962825824179709</v>
      </c>
      <c r="M85" s="201">
        <v>4.0151351250588805</v>
      </c>
    </row>
    <row r="86" spans="1:49" s="280" customFormat="1" ht="12.9" customHeight="1"/>
    <row r="87" spans="1:49" s="280" customFormat="1" ht="12.9" customHeight="1"/>
    <row r="88" spans="1:49" s="280" customFormat="1" ht="12.9" customHeight="1"/>
  </sheetData>
  <hyperlinks>
    <hyperlink ref="D1" location="Cover!B16" display="return to TOC"/>
  </hyperlink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sheetPr>
  <dimension ref="A1:AW89"/>
  <sheetViews>
    <sheetView workbookViewId="0">
      <pane xSplit="1" ySplit="6" topLeftCell="B7" activePane="bottomRight" state="frozen"/>
      <selection pane="topRight" activeCell="B1" sqref="B1"/>
      <selection pane="bottomLeft" activeCell="A7" sqref="A7"/>
      <selection pane="bottomRight" activeCell="A52" sqref="A52"/>
    </sheetView>
  </sheetViews>
  <sheetFormatPr defaultColWidth="9.33203125" defaultRowHeight="12"/>
  <cols>
    <col min="1" max="1" width="35.6640625" style="40" customWidth="1"/>
    <col min="2" max="37" width="8.88671875" style="40" customWidth="1"/>
    <col min="38" max="16384" width="9.33203125" style="40"/>
  </cols>
  <sheetData>
    <row r="1" spans="1:49" s="280" customFormat="1" ht="26.15" customHeight="1">
      <c r="A1" s="281" t="s">
        <v>421</v>
      </c>
      <c r="D1" s="295" t="s">
        <v>1216</v>
      </c>
      <c r="I1" s="44"/>
      <c r="J1" s="165"/>
    </row>
    <row r="2" spans="1:49" s="280" customFormat="1" ht="12.9" customHeight="1">
      <c r="A2" s="43" t="s">
        <v>414</v>
      </c>
      <c r="C2" s="41" t="s">
        <v>949</v>
      </c>
      <c r="I2" s="44"/>
      <c r="J2" s="165"/>
    </row>
    <row r="3" spans="1:49" s="280" customFormat="1" ht="12.9" customHeight="1">
      <c r="A3" s="43" t="s">
        <v>357</v>
      </c>
      <c r="C3" s="41" t="s">
        <v>313</v>
      </c>
      <c r="H3" s="178"/>
      <c r="I3" s="44"/>
      <c r="J3" s="165"/>
      <c r="K3" s="178"/>
      <c r="AV3" s="253" t="s">
        <v>1394</v>
      </c>
    </row>
    <row r="4" spans="1:49" s="280" customFormat="1" ht="12.9" customHeight="1">
      <c r="B4" s="280" t="s">
        <v>19</v>
      </c>
      <c r="C4" s="280" t="s">
        <v>19</v>
      </c>
      <c r="D4" s="280" t="s">
        <v>19</v>
      </c>
      <c r="E4" s="280" t="s">
        <v>19</v>
      </c>
      <c r="F4" s="280" t="s">
        <v>19</v>
      </c>
      <c r="G4" s="280" t="s">
        <v>19</v>
      </c>
      <c r="I4" s="44"/>
      <c r="J4" s="165"/>
      <c r="AV4" s="471" t="s">
        <v>1217</v>
      </c>
    </row>
    <row r="5" spans="1:49" s="280" customFormat="1" ht="12.9" customHeight="1">
      <c r="A5" s="282" t="s">
        <v>20</v>
      </c>
      <c r="B5" s="282">
        <v>2005</v>
      </c>
      <c r="C5" s="282">
        <v>2006</v>
      </c>
      <c r="D5" s="282">
        <v>2007</v>
      </c>
      <c r="E5" s="282">
        <v>2008</v>
      </c>
      <c r="F5" s="282">
        <v>2009</v>
      </c>
      <c r="G5" s="282">
        <v>2010</v>
      </c>
      <c r="H5" s="282">
        <v>2011</v>
      </c>
      <c r="I5" s="282">
        <v>2012</v>
      </c>
      <c r="J5" s="282">
        <v>2013</v>
      </c>
      <c r="K5" s="282">
        <v>2014</v>
      </c>
      <c r="L5" s="282">
        <v>2015</v>
      </c>
      <c r="M5" s="282">
        <v>2016</v>
      </c>
      <c r="N5" s="282">
        <v>2017</v>
      </c>
      <c r="O5" s="282">
        <v>2018</v>
      </c>
      <c r="P5" s="282">
        <v>2019</v>
      </c>
      <c r="Q5" s="282">
        <v>2020</v>
      </c>
      <c r="R5" s="282">
        <v>2021</v>
      </c>
      <c r="S5" s="282">
        <v>2022</v>
      </c>
      <c r="T5" s="282">
        <v>2023</v>
      </c>
      <c r="U5" s="282">
        <v>2024</v>
      </c>
      <c r="V5" s="282">
        <v>2025</v>
      </c>
      <c r="W5" s="282">
        <v>2026</v>
      </c>
      <c r="X5" s="282">
        <v>2027</v>
      </c>
      <c r="Y5" s="282">
        <v>2028</v>
      </c>
      <c r="Z5" s="282">
        <v>2029</v>
      </c>
      <c r="AA5" s="282">
        <v>2030</v>
      </c>
      <c r="AB5" s="282">
        <v>2031</v>
      </c>
      <c r="AC5" s="282">
        <v>2032</v>
      </c>
      <c r="AD5" s="282">
        <v>2033</v>
      </c>
      <c r="AE5" s="282">
        <v>2034</v>
      </c>
      <c r="AF5" s="282">
        <v>2035</v>
      </c>
      <c r="AG5" s="282">
        <v>2036</v>
      </c>
      <c r="AH5" s="282">
        <v>2037</v>
      </c>
      <c r="AI5" s="282">
        <v>2038</v>
      </c>
      <c r="AJ5" s="282">
        <v>2039</v>
      </c>
      <c r="AK5" s="282">
        <v>2040</v>
      </c>
      <c r="AL5" s="505">
        <v>2041</v>
      </c>
      <c r="AM5" s="505">
        <v>2042</v>
      </c>
      <c r="AN5" s="505">
        <v>2043</v>
      </c>
      <c r="AO5" s="505">
        <v>2044</v>
      </c>
      <c r="AP5" s="505">
        <v>2045</v>
      </c>
      <c r="AQ5" s="505">
        <v>2046</v>
      </c>
      <c r="AR5" s="505">
        <v>2047</v>
      </c>
      <c r="AS5" s="505">
        <v>2048</v>
      </c>
      <c r="AT5" s="505">
        <v>2049</v>
      </c>
      <c r="AU5" s="505">
        <v>2050</v>
      </c>
      <c r="AV5" s="254" t="s">
        <v>1218</v>
      </c>
    </row>
    <row r="6" spans="1:49" s="280" customFormat="1" ht="12.9" customHeight="1">
      <c r="A6" s="280" t="s">
        <v>76</v>
      </c>
      <c r="I6" s="44"/>
      <c r="J6" s="165"/>
      <c r="K6" s="178"/>
      <c r="L6" s="178"/>
      <c r="M6" s="142"/>
      <c r="N6" s="142"/>
      <c r="O6" s="142"/>
    </row>
    <row r="7" spans="1:49" s="280" customFormat="1" ht="12.9" customHeight="1">
      <c r="A7" s="280" t="s">
        <v>22</v>
      </c>
      <c r="B7" s="302">
        <v>5.8942762385447468E-3</v>
      </c>
      <c r="C7" s="302">
        <v>6.2467946001240303E-3</v>
      </c>
      <c r="D7" s="302">
        <v>7.438418335187668E-3</v>
      </c>
      <c r="E7" s="302">
        <v>7.3868315449196285E-3</v>
      </c>
      <c r="F7" s="302">
        <v>8.1507128623502095E-3</v>
      </c>
      <c r="G7" s="302">
        <v>8.8649914968307545E-3</v>
      </c>
      <c r="H7" s="302">
        <v>8.755865594340672E-3</v>
      </c>
      <c r="I7" s="302">
        <v>6.7459648812051402E-3</v>
      </c>
      <c r="J7" s="302">
        <v>5.5555004904042334E-3</v>
      </c>
      <c r="K7" s="302">
        <v>6.0346624077015978E-3</v>
      </c>
      <c r="L7" s="302">
        <v>6.9229472539708743E-3</v>
      </c>
      <c r="M7" s="302">
        <v>6.9436813729269577E-3</v>
      </c>
      <c r="N7" s="302">
        <v>5.783433359724143E-3</v>
      </c>
      <c r="O7" s="302">
        <v>6.5909187589264697E-3</v>
      </c>
      <c r="P7" s="302">
        <v>6.3116567555143123E-3</v>
      </c>
      <c r="Q7" s="302">
        <v>6.1129563166047044E-3</v>
      </c>
      <c r="R7" s="302">
        <v>5.9455659997898497E-3</v>
      </c>
      <c r="S7" s="302">
        <v>5.797910391799329E-3</v>
      </c>
      <c r="T7" s="302">
        <v>5.6684881695109289E-3</v>
      </c>
      <c r="U7" s="302">
        <v>5.5451103037040461E-3</v>
      </c>
      <c r="V7" s="302">
        <v>5.4287460264581333E-3</v>
      </c>
      <c r="W7" s="302">
        <v>5.3212780901017182E-3</v>
      </c>
      <c r="X7" s="302">
        <v>5.2280455010669212E-3</v>
      </c>
      <c r="Y7" s="302">
        <v>5.152349162430383E-3</v>
      </c>
      <c r="Z7" s="302">
        <v>5.0907285372853951E-3</v>
      </c>
      <c r="AA7" s="302">
        <v>5.0125505444737102E-3</v>
      </c>
      <c r="AB7" s="302">
        <v>4.9490244765724358E-3</v>
      </c>
      <c r="AC7" s="302">
        <v>4.8974690724556446E-3</v>
      </c>
      <c r="AD7" s="302">
        <v>4.8534982874087274E-3</v>
      </c>
      <c r="AE7" s="302">
        <v>4.8141988811511724E-3</v>
      </c>
      <c r="AF7" s="302">
        <v>4.7806667642979672E-3</v>
      </c>
      <c r="AG7" s="302">
        <v>4.7524050307267817E-3</v>
      </c>
      <c r="AH7" s="302">
        <v>4.7263357384039481E-3</v>
      </c>
      <c r="AI7" s="302">
        <v>4.7047615663866702E-3</v>
      </c>
      <c r="AJ7" s="302">
        <v>4.6868455161311971E-3</v>
      </c>
      <c r="AK7" s="302">
        <v>4.6726112312983651E-3</v>
      </c>
      <c r="AL7" s="302">
        <v>4.6624514144363383E-3</v>
      </c>
      <c r="AM7" s="302">
        <v>4.6528235243966523E-3</v>
      </c>
      <c r="AN7" s="302">
        <v>4.644935888374592E-3</v>
      </c>
      <c r="AO7" s="302">
        <v>4.6366747677855698E-3</v>
      </c>
      <c r="AP7" s="302">
        <v>4.6306249406056609E-3</v>
      </c>
      <c r="AQ7" s="302">
        <v>4.6273736907507445E-3</v>
      </c>
      <c r="AR7" s="302">
        <v>4.6264586288039438E-3</v>
      </c>
      <c r="AS7" s="302">
        <v>4.6266613881658916E-3</v>
      </c>
      <c r="AT7" s="302">
        <v>4.6298612816867389E-3</v>
      </c>
      <c r="AU7" s="302">
        <v>4.6354085299302747E-3</v>
      </c>
      <c r="AV7" s="472">
        <f>((AU7-O7)/O7)/32</f>
        <v>-9.2718021403869737E-3</v>
      </c>
      <c r="AW7"/>
    </row>
    <row r="8" spans="1:49" s="280" customFormat="1" ht="12.9" customHeight="1">
      <c r="A8" s="280" t="s">
        <v>54</v>
      </c>
      <c r="B8" s="302">
        <v>5.8034862224497956E-4</v>
      </c>
      <c r="C8" s="302">
        <v>6.231536076880495E-4</v>
      </c>
      <c r="D8" s="302">
        <v>3.5001391495894139E-4</v>
      </c>
      <c r="E8" s="302">
        <v>2.6297341758819938E-4</v>
      </c>
      <c r="F8" s="302">
        <v>2.7778882139598525E-4</v>
      </c>
      <c r="G8" s="302">
        <v>2.5186186473235997E-4</v>
      </c>
      <c r="H8" s="302">
        <v>2.2037913164081496E-4</v>
      </c>
      <c r="I8" s="302">
        <v>1.8519254759732348E-4</v>
      </c>
      <c r="J8" s="302">
        <v>0</v>
      </c>
      <c r="K8" s="302">
        <v>5.5187379184002392E-5</v>
      </c>
      <c r="L8" s="302">
        <v>7.1113938277372215E-5</v>
      </c>
      <c r="M8" s="302">
        <v>3.0731504072374513E-5</v>
      </c>
      <c r="N8" s="302">
        <v>1.9748890306979102E-5</v>
      </c>
      <c r="O8" s="302">
        <v>2.7517151868173095E-5</v>
      </c>
      <c r="P8" s="302">
        <v>2.4728730501898353E-5</v>
      </c>
      <c r="Q8" s="302">
        <v>2.3669471773277677E-5</v>
      </c>
      <c r="R8" s="302">
        <v>2.243326685347065E-5</v>
      </c>
      <c r="S8" s="302">
        <v>2.1248985590055807E-5</v>
      </c>
      <c r="T8" s="302">
        <v>2.0281590144307972E-5</v>
      </c>
      <c r="U8" s="302">
        <v>1.9200021357764467E-5</v>
      </c>
      <c r="V8" s="302">
        <v>1.8280507405607722E-5</v>
      </c>
      <c r="W8" s="302">
        <v>1.7524889891578839E-5</v>
      </c>
      <c r="X8" s="302">
        <v>1.6821732926443624E-5</v>
      </c>
      <c r="Y8" s="302">
        <v>1.6116450801261584E-5</v>
      </c>
      <c r="Z8" s="302">
        <v>1.541220588764166E-5</v>
      </c>
      <c r="AA8" s="302">
        <v>1.4762147408003317E-5</v>
      </c>
      <c r="AB8" s="302">
        <v>1.4110795697675536E-5</v>
      </c>
      <c r="AC8" s="302">
        <v>1.3564035127785418E-5</v>
      </c>
      <c r="AD8" s="302">
        <v>1.2956639023010308E-5</v>
      </c>
      <c r="AE8" s="302">
        <v>1.240713408593014E-5</v>
      </c>
      <c r="AF8" s="302">
        <v>1.1856715373279086E-5</v>
      </c>
      <c r="AG8" s="302">
        <v>1.1363787168623386E-5</v>
      </c>
      <c r="AH8" s="302">
        <v>1.0869102026827263E-5</v>
      </c>
      <c r="AI8" s="302">
        <v>1.037301612910235E-5</v>
      </c>
      <c r="AJ8" s="302">
        <v>9.9331521643406264E-6</v>
      </c>
      <c r="AK8" s="302">
        <v>9.4929607049627209E-6</v>
      </c>
      <c r="AL8" s="302">
        <v>9.1085018334868579E-6</v>
      </c>
      <c r="AM8" s="302">
        <v>8.660311595366361E-6</v>
      </c>
      <c r="AN8" s="302">
        <v>8.3216936748702357E-6</v>
      </c>
      <c r="AO8" s="302">
        <v>7.9244438324167424E-6</v>
      </c>
      <c r="AP8" s="302">
        <v>7.5816218534427678E-6</v>
      </c>
      <c r="AQ8" s="302">
        <v>7.2375263944270676E-6</v>
      </c>
      <c r="AR8" s="302">
        <v>6.8923838446234193E-6</v>
      </c>
      <c r="AS8" s="302">
        <v>6.5465910405632132E-6</v>
      </c>
      <c r="AT8" s="302">
        <v>6.2561522806196478E-6</v>
      </c>
      <c r="AU8" s="302">
        <v>5.9652710031892435E-6</v>
      </c>
      <c r="AV8" s="472">
        <f t="shared" ref="AV8:AV12" si="0">((AU8-O8)/O8)/32</f>
        <v>-2.4475508230549288E-2</v>
      </c>
      <c r="AW8"/>
    </row>
    <row r="9" spans="1:49" s="280" customFormat="1" ht="12.9" customHeight="1">
      <c r="A9" s="280" t="s">
        <v>23</v>
      </c>
      <c r="B9" s="302">
        <v>6.8304536086320998E-3</v>
      </c>
      <c r="C9" s="302">
        <v>7.422900146842013E-3</v>
      </c>
      <c r="D9" s="302">
        <v>5.5950143999999999E-3</v>
      </c>
      <c r="E9" s="302">
        <v>5.7114527999999999E-3</v>
      </c>
      <c r="F9" s="302">
        <v>6.0786816E-3</v>
      </c>
      <c r="G9" s="302">
        <v>5.4427488000000001E-3</v>
      </c>
      <c r="H9" s="302">
        <v>4.8157727999999997E-3</v>
      </c>
      <c r="I9" s="302">
        <v>4.1798399999999998E-3</v>
      </c>
      <c r="J9" s="302">
        <v>3.2841599999999995E-3</v>
      </c>
      <c r="K9" s="302">
        <v>3.5397273600000002E-3</v>
      </c>
      <c r="L9" s="302">
        <v>3.75409344E-3</v>
      </c>
      <c r="M9" s="302">
        <v>3.4485312173642047E-3</v>
      </c>
      <c r="N9" s="302">
        <v>2.7954720839123755E-3</v>
      </c>
      <c r="O9" s="302">
        <v>2.6713531233866659E-3</v>
      </c>
      <c r="P9" s="302">
        <v>2.5960669439843778E-3</v>
      </c>
      <c r="Q9" s="302">
        <v>2.5154923745783144E-3</v>
      </c>
      <c r="R9" s="302">
        <v>2.4456121216256E-3</v>
      </c>
      <c r="S9" s="302">
        <v>2.3783690068158447E-3</v>
      </c>
      <c r="T9" s="302">
        <v>2.3139371649777336E-3</v>
      </c>
      <c r="U9" s="302">
        <v>2.2446968802068588E-3</v>
      </c>
      <c r="V9" s="302">
        <v>2.1810549794809854E-3</v>
      </c>
      <c r="W9" s="302">
        <v>2.1245912582450424E-3</v>
      </c>
      <c r="X9" s="302">
        <v>2.0695363803521264E-3</v>
      </c>
      <c r="Y9" s="302">
        <v>2.0188292437684652E-3</v>
      </c>
      <c r="Z9" s="302">
        <v>1.9708939256073178E-3</v>
      </c>
      <c r="AA9" s="302">
        <v>1.9259957355448761E-3</v>
      </c>
      <c r="AB9" s="302">
        <v>1.883020090394451E-3</v>
      </c>
      <c r="AC9" s="302">
        <v>1.8394783180861248E-3</v>
      </c>
      <c r="AD9" s="302">
        <v>1.7967545684981765E-3</v>
      </c>
      <c r="AE9" s="302">
        <v>1.7572157223757273E-3</v>
      </c>
      <c r="AF9" s="302">
        <v>1.7187456869912909E-3</v>
      </c>
      <c r="AG9" s="302">
        <v>1.6794179771338778E-3</v>
      </c>
      <c r="AH9" s="302">
        <v>1.6416073507889613E-3</v>
      </c>
      <c r="AI9" s="302">
        <v>1.6059373755637567E-3</v>
      </c>
      <c r="AJ9" s="302">
        <v>1.5712119968885883E-3</v>
      </c>
      <c r="AK9" s="302">
        <v>1.5373587035419967E-3</v>
      </c>
      <c r="AL9" s="302">
        <v>1.5037835088324793E-3</v>
      </c>
      <c r="AM9" s="302">
        <v>1.470154565897576E-3</v>
      </c>
      <c r="AN9" s="302">
        <v>1.4374745906481873E-3</v>
      </c>
      <c r="AO9" s="302">
        <v>1.4052207645944448E-3</v>
      </c>
      <c r="AP9" s="302">
        <v>1.3740487984371665E-3</v>
      </c>
      <c r="AQ9" s="302">
        <v>1.3434527557857935E-3</v>
      </c>
      <c r="AR9" s="302">
        <v>1.3128749089279831E-3</v>
      </c>
      <c r="AS9" s="302">
        <v>1.2823644249932516E-3</v>
      </c>
      <c r="AT9" s="302">
        <v>1.2527791981147805E-3</v>
      </c>
      <c r="AU9" s="302">
        <v>1.2235711629388715E-3</v>
      </c>
      <c r="AV9" s="472">
        <f t="shared" si="0"/>
        <v>-1.6936430405964278E-2</v>
      </c>
      <c r="AW9"/>
    </row>
    <row r="10" spans="1:49" s="280" customFormat="1" ht="12.9" customHeight="1">
      <c r="A10" s="280" t="s">
        <v>24</v>
      </c>
      <c r="B10" s="302">
        <v>7.5801999999999994E-2</v>
      </c>
      <c r="C10" s="302">
        <v>7.7752000000000002E-2</v>
      </c>
      <c r="D10" s="302">
        <v>8.2187999999999997E-2</v>
      </c>
      <c r="E10" s="302">
        <v>8.7054000000000006E-2</v>
      </c>
      <c r="F10" s="302">
        <v>8.6681999999999995E-2</v>
      </c>
      <c r="G10" s="302">
        <v>7.8028E-2</v>
      </c>
      <c r="H10" s="302">
        <v>8.7884000000000004E-2</v>
      </c>
      <c r="I10" s="302">
        <v>8.2237000000000005E-2</v>
      </c>
      <c r="J10" s="302">
        <v>8.6128999999999997E-2</v>
      </c>
      <c r="K10" s="302">
        <v>8.2249000000000003E-2</v>
      </c>
      <c r="L10" s="302">
        <v>7.6475000000000001E-2</v>
      </c>
      <c r="M10" s="302">
        <v>8.2328999999999999E-2</v>
      </c>
      <c r="N10" s="302">
        <v>8.4165415194799975E-2</v>
      </c>
      <c r="O10" s="302">
        <v>8.5532732448052901E-2</v>
      </c>
      <c r="P10" s="302">
        <v>8.4371978978981937E-2</v>
      </c>
      <c r="Q10" s="302">
        <v>8.4519499520944175E-2</v>
      </c>
      <c r="R10" s="302">
        <v>8.4581056577771166E-2</v>
      </c>
      <c r="S10" s="302">
        <v>8.474463542391121E-2</v>
      </c>
      <c r="T10" s="302">
        <v>8.4934650427310257E-2</v>
      </c>
      <c r="U10" s="302">
        <v>8.6062525152379166E-2</v>
      </c>
      <c r="V10" s="302">
        <v>8.6720510467090395E-2</v>
      </c>
      <c r="W10" s="302">
        <v>8.6884522774131639E-2</v>
      </c>
      <c r="X10" s="302">
        <v>8.6833555607911256E-2</v>
      </c>
      <c r="Y10" s="302">
        <v>8.6872835630849174E-2</v>
      </c>
      <c r="Z10" s="302">
        <v>8.7060602867792269E-2</v>
      </c>
      <c r="AA10" s="302">
        <v>8.6320308359862E-2</v>
      </c>
      <c r="AB10" s="302">
        <v>8.5823346201744727E-2</v>
      </c>
      <c r="AC10" s="302">
        <v>8.5592685459322027E-2</v>
      </c>
      <c r="AD10" s="302">
        <v>8.5525836410433417E-2</v>
      </c>
      <c r="AE10" s="302">
        <v>8.5510591101801092E-2</v>
      </c>
      <c r="AF10" s="302">
        <v>8.557203735563651E-2</v>
      </c>
      <c r="AG10" s="302">
        <v>8.5690159042914688E-2</v>
      </c>
      <c r="AH10" s="302">
        <v>8.5778752624858651E-2</v>
      </c>
      <c r="AI10" s="302">
        <v>8.5867370257660641E-2</v>
      </c>
      <c r="AJ10" s="302">
        <v>8.5939392998558475E-2</v>
      </c>
      <c r="AK10" s="302">
        <v>8.6014013941751122E-2</v>
      </c>
      <c r="AL10" s="302">
        <v>8.6118490832875594E-2</v>
      </c>
      <c r="AM10" s="302">
        <v>8.6191286556697388E-2</v>
      </c>
      <c r="AN10" s="302">
        <v>8.6243851851965495E-2</v>
      </c>
      <c r="AO10" s="302">
        <v>8.6228046347859438E-2</v>
      </c>
      <c r="AP10" s="302">
        <v>8.6207223254003484E-2</v>
      </c>
      <c r="AQ10" s="302">
        <v>8.6182451479839467E-2</v>
      </c>
      <c r="AR10" s="302">
        <v>8.6140859312136039E-2</v>
      </c>
      <c r="AS10" s="302">
        <v>8.6056572811624238E-2</v>
      </c>
      <c r="AT10" s="302">
        <v>8.5964340219772853E-2</v>
      </c>
      <c r="AU10" s="302">
        <v>8.585031424457E-2</v>
      </c>
      <c r="AV10" s="472">
        <f t="shared" si="0"/>
        <v>1.160307972995815E-4</v>
      </c>
      <c r="AW10"/>
    </row>
    <row r="11" spans="1:49" s="280" customFormat="1" ht="12.9" customHeight="1">
      <c r="A11" s="280" t="s">
        <v>56</v>
      </c>
      <c r="B11" s="302">
        <v>2.5619835112737261E-2</v>
      </c>
      <c r="C11" s="302">
        <v>2.864199903128303E-2</v>
      </c>
      <c r="D11" s="302">
        <v>2.4351163685010991E-2</v>
      </c>
      <c r="E11" s="302">
        <v>2.5910547916754244E-2</v>
      </c>
      <c r="F11" s="302">
        <v>2.4137076390130387E-2</v>
      </c>
      <c r="G11" s="302">
        <v>2.4553740910274364E-2</v>
      </c>
      <c r="H11" s="302">
        <v>4.2340021288398137E-2</v>
      </c>
      <c r="I11" s="302">
        <v>3.4990611636400056E-2</v>
      </c>
      <c r="J11" s="302">
        <v>3.4530208851710584E-2</v>
      </c>
      <c r="K11" s="302">
        <v>2.4050060263824075E-2</v>
      </c>
      <c r="L11" s="302">
        <v>2.2825849259334761E-2</v>
      </c>
      <c r="M11" s="302">
        <v>1.2050038567881257E-2</v>
      </c>
      <c r="N11" s="302">
        <v>1.5364514903065663E-2</v>
      </c>
      <c r="O11" s="302">
        <v>1.6494427769252938E-2</v>
      </c>
      <c r="P11" s="302">
        <v>1.7105257527950359E-2</v>
      </c>
      <c r="Q11" s="302">
        <v>1.7275818651685069E-2</v>
      </c>
      <c r="R11" s="302">
        <v>1.7120915989624282E-2</v>
      </c>
      <c r="S11" s="302">
        <v>1.6925980946866783E-2</v>
      </c>
      <c r="T11" s="302">
        <v>1.6758249767350662E-2</v>
      </c>
      <c r="U11" s="302">
        <v>1.6704076790021598E-2</v>
      </c>
      <c r="V11" s="302">
        <v>1.6603791743775912E-2</v>
      </c>
      <c r="W11" s="302">
        <v>1.6378098455375141E-2</v>
      </c>
      <c r="X11" s="302">
        <v>1.618707647569188E-2</v>
      </c>
      <c r="Y11" s="302">
        <v>1.5990639406926167E-2</v>
      </c>
      <c r="Z11" s="302">
        <v>1.5795610696144852E-2</v>
      </c>
      <c r="AA11" s="302">
        <v>1.5520255164094915E-2</v>
      </c>
      <c r="AB11" s="302">
        <v>1.5247455219741472E-2</v>
      </c>
      <c r="AC11" s="302">
        <v>1.4980137131913679E-2</v>
      </c>
      <c r="AD11" s="302">
        <v>1.473414703531949E-2</v>
      </c>
      <c r="AE11" s="302">
        <v>1.4449863038798102E-2</v>
      </c>
      <c r="AF11" s="302">
        <v>1.4168455577881524E-2</v>
      </c>
      <c r="AG11" s="302">
        <v>1.3929430799538473E-2</v>
      </c>
      <c r="AH11" s="302">
        <v>1.3665829809261513E-2</v>
      </c>
      <c r="AI11" s="302">
        <v>1.3408172336864735E-2</v>
      </c>
      <c r="AJ11" s="302">
        <v>1.3156938367945318E-2</v>
      </c>
      <c r="AK11" s="302">
        <v>1.2916199961690567E-2</v>
      </c>
      <c r="AL11" s="302">
        <v>1.2673742809530066E-2</v>
      </c>
      <c r="AM11" s="302">
        <v>1.2447052179240152E-2</v>
      </c>
      <c r="AN11" s="302">
        <v>1.2212787747061256E-2</v>
      </c>
      <c r="AO11" s="302">
        <v>1.1957075493045002E-2</v>
      </c>
      <c r="AP11" s="302">
        <v>1.1708667125780859E-2</v>
      </c>
      <c r="AQ11" s="302">
        <v>1.1469110665495217E-2</v>
      </c>
      <c r="AR11" s="302">
        <v>1.1232370749751424E-2</v>
      </c>
      <c r="AS11" s="302">
        <v>1.0988792841526533E-2</v>
      </c>
      <c r="AT11" s="302">
        <v>1.0749419285911646E-2</v>
      </c>
      <c r="AU11" s="302">
        <v>1.0509561494881177E-2</v>
      </c>
      <c r="AV11" s="472">
        <f t="shared" si="0"/>
        <v>-1.13388032425564E-2</v>
      </c>
      <c r="AW11"/>
    </row>
    <row r="12" spans="1:49" s="280" customFormat="1" ht="12.9" customHeight="1">
      <c r="A12" s="280" t="s">
        <v>25</v>
      </c>
      <c r="B12" s="302">
        <v>0.11332</v>
      </c>
      <c r="C12" s="302">
        <v>0.117504</v>
      </c>
      <c r="D12" s="302">
        <v>0.12074699999999999</v>
      </c>
      <c r="E12" s="302">
        <v>0.123978</v>
      </c>
      <c r="F12" s="302">
        <v>0.12545300000000001</v>
      </c>
      <c r="G12" s="302">
        <v>0.119102</v>
      </c>
      <c r="H12" s="302">
        <v>0.124115</v>
      </c>
      <c r="I12" s="302">
        <v>0.12116300000000001</v>
      </c>
      <c r="J12" s="302">
        <v>0.122776</v>
      </c>
      <c r="K12" s="302">
        <v>0.119703</v>
      </c>
      <c r="L12" s="302">
        <v>0.116254</v>
      </c>
      <c r="M12" s="302">
        <v>0.11673</v>
      </c>
      <c r="N12" s="302">
        <v>0.12439573367477594</v>
      </c>
      <c r="O12" s="302">
        <v>0.12204087750746904</v>
      </c>
      <c r="P12" s="302">
        <v>0.11862723687580025</v>
      </c>
      <c r="Q12" s="302">
        <v>0.11684761416986771</v>
      </c>
      <c r="R12" s="302">
        <v>0.11521526589842083</v>
      </c>
      <c r="S12" s="302">
        <v>0.11355577635510031</v>
      </c>
      <c r="T12" s="302">
        <v>0.11187522321809647</v>
      </c>
      <c r="U12" s="302">
        <v>0.11009632437046522</v>
      </c>
      <c r="V12" s="302">
        <v>0.10833609901835253</v>
      </c>
      <c r="W12" s="302">
        <v>0.10663235510029878</v>
      </c>
      <c r="X12" s="302">
        <v>0.10476178915919761</v>
      </c>
      <c r="Y12" s="302">
        <v>0.10292075800256083</v>
      </c>
      <c r="Z12" s="302">
        <v>0.1018107383696116</v>
      </c>
      <c r="AA12" s="302">
        <v>0.1015605360648741</v>
      </c>
      <c r="AB12" s="302">
        <v>0.10167605292360223</v>
      </c>
      <c r="AC12" s="302">
        <v>0.10186643790012805</v>
      </c>
      <c r="AD12" s="302">
        <v>0.10217900469483568</v>
      </c>
      <c r="AE12" s="302">
        <v>0.10262277080665813</v>
      </c>
      <c r="AF12" s="302">
        <v>0.1031030712761417</v>
      </c>
      <c r="AG12" s="302">
        <v>0.10325451859439456</v>
      </c>
      <c r="AH12" s="302">
        <v>0.10356495849440067</v>
      </c>
      <c r="AI12" s="302">
        <v>0.10387539839440676</v>
      </c>
      <c r="AJ12" s="302">
        <v>0.10418583829441287</v>
      </c>
      <c r="AK12" s="302">
        <v>0.10449627819441895</v>
      </c>
      <c r="AL12" s="302">
        <v>0.10480671809442506</v>
      </c>
      <c r="AM12" s="302">
        <v>0.10511715799443115</v>
      </c>
      <c r="AN12" s="302">
        <v>0.10542759789443726</v>
      </c>
      <c r="AO12" s="302">
        <v>0.10573803779444335</v>
      </c>
      <c r="AP12" s="302">
        <v>0.10604847769444946</v>
      </c>
      <c r="AQ12" s="302">
        <v>0.10635891759445554</v>
      </c>
      <c r="AR12" s="302">
        <v>0.10666935749446164</v>
      </c>
      <c r="AS12" s="302">
        <v>0.10697979739446774</v>
      </c>
      <c r="AT12" s="302">
        <v>0.10729023729447384</v>
      </c>
      <c r="AU12" s="302">
        <v>0.10760067719447994</v>
      </c>
      <c r="AV12" s="472">
        <f t="shared" si="0"/>
        <v>-3.6975828836800372E-3</v>
      </c>
      <c r="AW12"/>
    </row>
    <row r="13" spans="1:49" customFormat="1" ht="12.9" customHeight="1">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466"/>
      <c r="AH13" s="466"/>
      <c r="AI13" s="466"/>
      <c r="AJ13" s="466"/>
      <c r="AK13" s="466"/>
      <c r="AL13" s="466"/>
      <c r="AM13" s="466"/>
      <c r="AN13" s="466"/>
      <c r="AO13" s="466"/>
      <c r="AP13" s="466"/>
      <c r="AQ13" s="466"/>
      <c r="AR13" s="466"/>
      <c r="AS13" s="466"/>
      <c r="AT13" s="466"/>
      <c r="AU13" s="466"/>
      <c r="AV13" s="470"/>
    </row>
    <row r="14" spans="1:49" s="280" customFormat="1" ht="12.9" customHeight="1">
      <c r="A14" s="280" t="s">
        <v>77</v>
      </c>
      <c r="B14" s="532"/>
      <c r="C14" s="532"/>
      <c r="D14" s="532"/>
      <c r="E14" s="532"/>
      <c r="F14" s="532"/>
      <c r="G14" s="532"/>
      <c r="H14" s="532"/>
      <c r="I14" s="532"/>
      <c r="J14" s="532"/>
      <c r="K14" s="178"/>
      <c r="L14" s="178"/>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8"/>
      <c r="AK14" s="467"/>
      <c r="AL14" s="467"/>
      <c r="AM14" s="467"/>
      <c r="AN14" s="467"/>
      <c r="AO14" s="467"/>
      <c r="AP14" s="467"/>
      <c r="AQ14" s="467"/>
      <c r="AR14" s="467"/>
      <c r="AS14" s="467"/>
      <c r="AT14" s="467"/>
      <c r="AU14" s="466"/>
      <c r="AV14" s="470"/>
      <c r="AW14"/>
    </row>
    <row r="15" spans="1:49" s="280" customFormat="1" ht="12.9" customHeight="1">
      <c r="A15" s="280" t="s">
        <v>22</v>
      </c>
      <c r="B15" s="302">
        <v>1.2587159951896001E-3</v>
      </c>
      <c r="C15" s="302">
        <v>1.0560701573511305E-3</v>
      </c>
      <c r="D15" s="302">
        <v>1.3134790445170008E-3</v>
      </c>
      <c r="E15" s="302">
        <v>1.2928443284097851E-3</v>
      </c>
      <c r="F15" s="302">
        <v>2.7083064890720638E-3</v>
      </c>
      <c r="G15" s="302">
        <v>3.0475888404503221E-3</v>
      </c>
      <c r="H15" s="302">
        <v>3.1586988502584068E-3</v>
      </c>
      <c r="I15" s="302">
        <v>3.3729824406025701E-3</v>
      </c>
      <c r="J15" s="302">
        <v>3.571393172402721E-3</v>
      </c>
      <c r="K15" s="302">
        <v>3.140841884396393E-3</v>
      </c>
      <c r="L15" s="302">
        <v>3.0670330921667367E-3</v>
      </c>
      <c r="M15" s="302">
        <v>3.1091878810090394E-3</v>
      </c>
      <c r="N15" s="302">
        <v>3.8392013189207049E-3</v>
      </c>
      <c r="O15" s="302">
        <v>3.5644565930658982E-3</v>
      </c>
      <c r="P15" s="302">
        <v>3.5756902825768875E-3</v>
      </c>
      <c r="Q15" s="302">
        <v>3.6156372842760659E-3</v>
      </c>
      <c r="R15" s="302">
        <v>3.6483566167673548E-3</v>
      </c>
      <c r="S15" s="302">
        <v>3.6659826812823117E-3</v>
      </c>
      <c r="T15" s="302">
        <v>3.6907705076185868E-3</v>
      </c>
      <c r="U15" s="302">
        <v>3.7030443679354911E-3</v>
      </c>
      <c r="V15" s="302">
        <v>3.7142372268591157E-3</v>
      </c>
      <c r="W15" s="302">
        <v>3.7406398101365785E-3</v>
      </c>
      <c r="X15" s="302">
        <v>3.7672099284235265E-3</v>
      </c>
      <c r="Y15" s="302">
        <v>3.7989879885794026E-3</v>
      </c>
      <c r="Z15" s="302">
        <v>3.835121433363382E-3</v>
      </c>
      <c r="AA15" s="302">
        <v>3.7988322089918536E-3</v>
      </c>
      <c r="AB15" s="302">
        <v>3.8376169823244482E-3</v>
      </c>
      <c r="AC15" s="302">
        <v>3.870827225392507E-3</v>
      </c>
      <c r="AD15" s="302">
        <v>3.8920626065248732E-3</v>
      </c>
      <c r="AE15" s="302">
        <v>3.9233773815409607E-3</v>
      </c>
      <c r="AF15" s="302">
        <v>3.9546981500836352E-3</v>
      </c>
      <c r="AG15" s="302">
        <v>3.9858470905812368E-3</v>
      </c>
      <c r="AH15" s="302">
        <v>4.0175609016401652E-3</v>
      </c>
      <c r="AI15" s="302">
        <v>4.0511631195835765E-3</v>
      </c>
      <c r="AJ15" s="302">
        <v>4.0855953044247034E-3</v>
      </c>
      <c r="AK15" s="302">
        <v>4.1198686018204421E-3</v>
      </c>
      <c r="AL15" s="302">
        <v>4.1566217947766821E-3</v>
      </c>
      <c r="AM15" s="302">
        <v>4.1912293030139025E-3</v>
      </c>
      <c r="AN15" s="302">
        <v>4.2225955773894427E-3</v>
      </c>
      <c r="AO15" s="302">
        <v>4.251368596650219E-3</v>
      </c>
      <c r="AP15" s="302">
        <v>4.2805700759024467E-3</v>
      </c>
      <c r="AQ15" s="302">
        <v>4.3092860525550496E-3</v>
      </c>
      <c r="AR15" s="302">
        <v>4.3376829189419857E-3</v>
      </c>
      <c r="AS15" s="302">
        <v>4.365624942926952E-3</v>
      </c>
      <c r="AT15" s="302">
        <v>4.3940526325721343E-3</v>
      </c>
      <c r="AU15" s="302">
        <v>4.4221420011621325E-3</v>
      </c>
      <c r="AV15" s="472">
        <f>((AU15-O15)/O15)/32</f>
        <v>7.519426398724504E-3</v>
      </c>
      <c r="AW15"/>
    </row>
    <row r="16" spans="1:49" s="280" customFormat="1" ht="12.9" customHeight="1">
      <c r="A16" s="280" t="s">
        <v>28</v>
      </c>
      <c r="B16" s="302">
        <v>3.6985840507473735E-4</v>
      </c>
      <c r="C16" s="302">
        <v>3.5468746916060654E-4</v>
      </c>
      <c r="D16" s="302">
        <v>4.7044319165203357E-4</v>
      </c>
      <c r="E16" s="302">
        <v>3.9724816211992637E-4</v>
      </c>
      <c r="F16" s="302">
        <v>3.6395318551876526E-4</v>
      </c>
      <c r="G16" s="302">
        <v>3.9630457978709989E-4</v>
      </c>
      <c r="H16" s="302">
        <v>3.7608495836939074E-4</v>
      </c>
      <c r="I16" s="302">
        <v>4.0439242835418361E-4</v>
      </c>
      <c r="J16" s="302">
        <v>4.0439242835418361E-4</v>
      </c>
      <c r="K16" s="302">
        <v>3.8956470598119691E-4</v>
      </c>
      <c r="L16" s="302">
        <v>5.4660376565873812E-4</v>
      </c>
      <c r="M16" s="302">
        <v>5.4660376565873812E-4</v>
      </c>
      <c r="N16" s="302">
        <v>5.4660376565873812E-4</v>
      </c>
      <c r="O16" s="302">
        <v>5.4660376565873812E-4</v>
      </c>
      <c r="P16" s="302">
        <v>5.4660376565873812E-4</v>
      </c>
      <c r="Q16" s="302">
        <v>5.4660376565873812E-4</v>
      </c>
      <c r="R16" s="302">
        <v>5.4660376565873812E-4</v>
      </c>
      <c r="S16" s="302">
        <v>5.4660376565873812E-4</v>
      </c>
      <c r="T16" s="302">
        <v>5.4660376565873812E-4</v>
      </c>
      <c r="U16" s="302">
        <v>5.4660376565873812E-4</v>
      </c>
      <c r="V16" s="302">
        <v>5.4660376565873812E-4</v>
      </c>
      <c r="W16" s="302">
        <v>5.4660376565873812E-4</v>
      </c>
      <c r="X16" s="302">
        <v>5.4660376565873812E-4</v>
      </c>
      <c r="Y16" s="302">
        <v>5.4660376565873812E-4</v>
      </c>
      <c r="Z16" s="302">
        <v>5.4660376565873812E-4</v>
      </c>
      <c r="AA16" s="302">
        <v>5.4660376565873812E-4</v>
      </c>
      <c r="AB16" s="302">
        <v>5.4660376565873812E-4</v>
      </c>
      <c r="AC16" s="302">
        <v>5.4660376565873812E-4</v>
      </c>
      <c r="AD16" s="302">
        <v>5.4660376565873812E-4</v>
      </c>
      <c r="AE16" s="302">
        <v>5.4660376565873812E-4</v>
      </c>
      <c r="AF16" s="302">
        <v>5.4660376565873812E-4</v>
      </c>
      <c r="AG16" s="302">
        <v>5.4660376565873812E-4</v>
      </c>
      <c r="AH16" s="302">
        <v>5.4660376565873812E-4</v>
      </c>
      <c r="AI16" s="302">
        <v>5.4660376565873812E-4</v>
      </c>
      <c r="AJ16" s="302">
        <v>5.4660376565873812E-4</v>
      </c>
      <c r="AK16" s="302">
        <v>5.4660376565873812E-4</v>
      </c>
      <c r="AL16" s="302">
        <v>5.4660376565873812E-4</v>
      </c>
      <c r="AM16" s="302">
        <v>5.4660376565873812E-4</v>
      </c>
      <c r="AN16" s="302">
        <v>5.4660376565873812E-4</v>
      </c>
      <c r="AO16" s="302">
        <v>5.4660376565873812E-4</v>
      </c>
      <c r="AP16" s="302">
        <v>5.4660376565873812E-4</v>
      </c>
      <c r="AQ16" s="302">
        <v>5.4660376565873812E-4</v>
      </c>
      <c r="AR16" s="302">
        <v>5.4660376565873812E-4</v>
      </c>
      <c r="AS16" s="302">
        <v>5.4660376565873812E-4</v>
      </c>
      <c r="AT16" s="302">
        <v>5.4660376565873812E-4</v>
      </c>
      <c r="AU16" s="302">
        <v>5.4660376565873812E-4</v>
      </c>
      <c r="AV16" s="472">
        <f t="shared" ref="AV16:AV23" si="1">((AU16-O16)/O16)/32</f>
        <v>0</v>
      </c>
      <c r="AW16"/>
    </row>
    <row r="17" spans="1:49" s="280" customFormat="1" ht="12.9" customHeight="1">
      <c r="A17" s="280" t="s">
        <v>54</v>
      </c>
      <c r="B17" s="302">
        <v>1.592482195869598E-4</v>
      </c>
      <c r="C17" s="302">
        <v>1.317943040934273E-4</v>
      </c>
      <c r="D17" s="302">
        <v>1.6852521831356437E-4</v>
      </c>
      <c r="E17" s="302">
        <v>1.979708333815388E-4</v>
      </c>
      <c r="F17" s="302">
        <v>5.7409689755170276E-5</v>
      </c>
      <c r="G17" s="302">
        <v>6.2965466183089992E-5</v>
      </c>
      <c r="H17" s="302">
        <v>6.1113540707116745E-5</v>
      </c>
      <c r="I17" s="302">
        <v>0</v>
      </c>
      <c r="J17" s="302">
        <v>0</v>
      </c>
      <c r="K17" s="302">
        <v>2.7408497044403875E-5</v>
      </c>
      <c r="L17" s="302">
        <v>1.4259826164993908E-5</v>
      </c>
      <c r="M17" s="302">
        <v>1.075781593719602E-5</v>
      </c>
      <c r="N17" s="302">
        <v>7.683828830750699E-5</v>
      </c>
      <c r="O17" s="302">
        <v>9.3977655874845643E-5</v>
      </c>
      <c r="P17" s="302">
        <v>0</v>
      </c>
      <c r="Q17" s="302">
        <v>0</v>
      </c>
      <c r="R17" s="302">
        <v>0</v>
      </c>
      <c r="S17" s="302">
        <v>0</v>
      </c>
      <c r="T17" s="302">
        <v>0</v>
      </c>
      <c r="U17" s="302">
        <v>0</v>
      </c>
      <c r="V17" s="302">
        <v>0</v>
      </c>
      <c r="W17" s="302">
        <v>0</v>
      </c>
      <c r="X17" s="302">
        <v>0</v>
      </c>
      <c r="Y17" s="302">
        <v>0</v>
      </c>
      <c r="Z17" s="302">
        <v>0</v>
      </c>
      <c r="AA17" s="302">
        <v>0</v>
      </c>
      <c r="AB17" s="302">
        <v>0</v>
      </c>
      <c r="AC17" s="302">
        <v>0</v>
      </c>
      <c r="AD17" s="302">
        <v>0</v>
      </c>
      <c r="AE17" s="302">
        <v>0</v>
      </c>
      <c r="AF17" s="302">
        <v>0</v>
      </c>
      <c r="AG17" s="302">
        <v>0</v>
      </c>
      <c r="AH17" s="302">
        <v>0</v>
      </c>
      <c r="AI17" s="302">
        <v>0</v>
      </c>
      <c r="AJ17" s="302">
        <v>0</v>
      </c>
      <c r="AK17" s="302">
        <v>0</v>
      </c>
      <c r="AL17" s="302">
        <v>0</v>
      </c>
      <c r="AM17" s="302">
        <v>0</v>
      </c>
      <c r="AN17" s="302">
        <v>0</v>
      </c>
      <c r="AO17" s="302">
        <v>0</v>
      </c>
      <c r="AP17" s="302">
        <v>0</v>
      </c>
      <c r="AQ17" s="302">
        <v>0</v>
      </c>
      <c r="AR17" s="302">
        <v>0</v>
      </c>
      <c r="AS17" s="302">
        <v>0</v>
      </c>
      <c r="AT17" s="302">
        <v>0</v>
      </c>
      <c r="AU17" s="302">
        <v>0</v>
      </c>
      <c r="AV17" s="472"/>
      <c r="AW17"/>
    </row>
    <row r="18" spans="1:49" s="280" customFormat="1" ht="12.9" customHeight="1">
      <c r="A18" s="280" t="s">
        <v>23</v>
      </c>
      <c r="B18" s="302">
        <v>4.6543384913355045E-3</v>
      </c>
      <c r="C18" s="302">
        <v>4.6359459206461858E-3</v>
      </c>
      <c r="D18" s="302">
        <v>4.55793E-3</v>
      </c>
      <c r="E18" s="302">
        <v>4.3696793999999997E-3</v>
      </c>
      <c r="F18" s="302">
        <v>7.4005679999999997E-3</v>
      </c>
      <c r="G18" s="302">
        <v>9.3495999999999996E-3</v>
      </c>
      <c r="H18" s="302">
        <v>1.2508686E-2</v>
      </c>
      <c r="I18" s="302">
        <v>7.3717999999999995E-3</v>
      </c>
      <c r="J18" s="302">
        <v>7.0121999999999997E-3</v>
      </c>
      <c r="K18" s="302">
        <v>6.7119340000000001E-3</v>
      </c>
      <c r="L18" s="302">
        <v>6.6919761999999997E-3</v>
      </c>
      <c r="M18" s="302">
        <v>7.2311261095989393E-3</v>
      </c>
      <c r="N18" s="302">
        <v>6.9078268861660188E-3</v>
      </c>
      <c r="O18" s="302">
        <v>7.0027363463817729E-3</v>
      </c>
      <c r="P18" s="302">
        <v>7.4582142985307907E-3</v>
      </c>
      <c r="Q18" s="302">
        <v>7.4217897769586075E-3</v>
      </c>
      <c r="R18" s="302">
        <v>7.473816872780357E-3</v>
      </c>
      <c r="S18" s="302">
        <v>7.5415024135429293E-3</v>
      </c>
      <c r="T18" s="302">
        <v>7.5976264299311199E-3</v>
      </c>
      <c r="U18" s="302">
        <v>7.7361960301212561E-3</v>
      </c>
      <c r="V18" s="302">
        <v>7.8064584687435028E-3</v>
      </c>
      <c r="W18" s="302">
        <v>7.8308305029093691E-3</v>
      </c>
      <c r="X18" s="302">
        <v>7.8006200108953457E-3</v>
      </c>
      <c r="Y18" s="302">
        <v>7.7739954210103582E-3</v>
      </c>
      <c r="Z18" s="302">
        <v>7.7664650668013337E-3</v>
      </c>
      <c r="AA18" s="302">
        <v>7.6817944623744118E-3</v>
      </c>
      <c r="AB18" s="302">
        <v>7.623605232590004E-3</v>
      </c>
      <c r="AC18" s="302">
        <v>7.5906743851215904E-3</v>
      </c>
      <c r="AD18" s="302">
        <v>7.5645991783389599E-3</v>
      </c>
      <c r="AE18" s="302">
        <v>7.5571414237923743E-3</v>
      </c>
      <c r="AF18" s="302">
        <v>7.5539680794518135E-3</v>
      </c>
      <c r="AG18" s="302">
        <v>7.5480734289026363E-3</v>
      </c>
      <c r="AH18" s="302">
        <v>7.5421966862362086E-3</v>
      </c>
      <c r="AI18" s="302">
        <v>7.5399616791533642E-3</v>
      </c>
      <c r="AJ18" s="302">
        <v>7.5382713779442254E-3</v>
      </c>
      <c r="AK18" s="302">
        <v>7.5388864314174745E-3</v>
      </c>
      <c r="AL18" s="302">
        <v>7.5425323559868808E-3</v>
      </c>
      <c r="AM18" s="302">
        <v>7.5368613686174852E-3</v>
      </c>
      <c r="AN18" s="302">
        <v>7.5324860160094148E-3</v>
      </c>
      <c r="AO18" s="302">
        <v>7.5309886374216733E-3</v>
      </c>
      <c r="AP18" s="302">
        <v>7.5293174675227122E-3</v>
      </c>
      <c r="AQ18" s="302">
        <v>7.5253134095690823E-3</v>
      </c>
      <c r="AR18" s="302">
        <v>7.5193221695193527E-3</v>
      </c>
      <c r="AS18" s="302">
        <v>7.5126074091564216E-3</v>
      </c>
      <c r="AT18" s="302">
        <v>7.5050668951693452E-3</v>
      </c>
      <c r="AU18" s="302">
        <v>7.4949063735953734E-3</v>
      </c>
      <c r="AV18" s="472">
        <f t="shared" si="1"/>
        <v>2.1963290619061832E-3</v>
      </c>
      <c r="AW18"/>
    </row>
    <row r="19" spans="1:49" s="280" customFormat="1" ht="12.9" customHeight="1">
      <c r="A19" s="280" t="s">
        <v>29</v>
      </c>
      <c r="B19" s="302">
        <v>0</v>
      </c>
      <c r="C19" s="302">
        <v>0</v>
      </c>
      <c r="D19" s="302">
        <v>3.7438924259351497E-5</v>
      </c>
      <c r="E19" s="302">
        <v>2.0502268046787723E-5</v>
      </c>
      <c r="F19" s="302">
        <v>3.5834398933950719E-4</v>
      </c>
      <c r="G19" s="302">
        <v>3.9400010768174669E-4</v>
      </c>
      <c r="H19" s="302">
        <v>3.3873312425127543E-5</v>
      </c>
      <c r="I19" s="302">
        <v>0</v>
      </c>
      <c r="J19" s="302">
        <v>0</v>
      </c>
      <c r="K19" s="302">
        <v>1.0518554910960657E-5</v>
      </c>
      <c r="L19" s="302">
        <v>2.1393671005343709E-6</v>
      </c>
      <c r="M19" s="302">
        <v>0</v>
      </c>
      <c r="N19" s="302">
        <v>0</v>
      </c>
      <c r="O19" s="302">
        <v>0</v>
      </c>
      <c r="P19" s="302">
        <v>0</v>
      </c>
      <c r="Q19" s="302">
        <v>0</v>
      </c>
      <c r="R19" s="302">
        <v>0</v>
      </c>
      <c r="S19" s="302">
        <v>0</v>
      </c>
      <c r="T19" s="302">
        <v>0</v>
      </c>
      <c r="U19" s="302">
        <v>0</v>
      </c>
      <c r="V19" s="302">
        <v>0</v>
      </c>
      <c r="W19" s="302">
        <v>0</v>
      </c>
      <c r="X19" s="302">
        <v>0</v>
      </c>
      <c r="Y19" s="302">
        <v>0</v>
      </c>
      <c r="Z19" s="302">
        <v>0</v>
      </c>
      <c r="AA19" s="302">
        <v>0</v>
      </c>
      <c r="AB19" s="302">
        <v>0</v>
      </c>
      <c r="AC19" s="302">
        <v>0</v>
      </c>
      <c r="AD19" s="302">
        <v>0</v>
      </c>
      <c r="AE19" s="302">
        <v>0</v>
      </c>
      <c r="AF19" s="302">
        <v>0</v>
      </c>
      <c r="AG19" s="302">
        <v>0</v>
      </c>
      <c r="AH19" s="302">
        <v>0</v>
      </c>
      <c r="AI19" s="302">
        <v>0</v>
      </c>
      <c r="AJ19" s="302">
        <v>0</v>
      </c>
      <c r="AK19" s="302">
        <v>0</v>
      </c>
      <c r="AL19" s="302">
        <v>0</v>
      </c>
      <c r="AM19" s="302">
        <v>0</v>
      </c>
      <c r="AN19" s="302">
        <v>0</v>
      </c>
      <c r="AO19" s="302">
        <v>0</v>
      </c>
      <c r="AP19" s="302">
        <v>0</v>
      </c>
      <c r="AQ19" s="302">
        <v>0</v>
      </c>
      <c r="AR19" s="302">
        <v>0</v>
      </c>
      <c r="AS19" s="302">
        <v>0</v>
      </c>
      <c r="AT19" s="302">
        <v>0</v>
      </c>
      <c r="AU19" s="302">
        <v>0</v>
      </c>
      <c r="AV19" s="472"/>
      <c r="AW19"/>
    </row>
    <row r="20" spans="1:49" s="280" customFormat="1" ht="12.9" customHeight="1">
      <c r="A20" s="280" t="s">
        <v>24</v>
      </c>
      <c r="B20" s="302">
        <v>5.1214000000000003E-2</v>
      </c>
      <c r="C20" s="302">
        <v>5.2828E-2</v>
      </c>
      <c r="D20" s="302">
        <v>5.5051999999999997E-2</v>
      </c>
      <c r="E20" s="302">
        <v>5.7896999999999997E-2</v>
      </c>
      <c r="F20" s="302">
        <v>5.7377999999999998E-2</v>
      </c>
      <c r="G20" s="302">
        <v>5.3016000000000001E-2</v>
      </c>
      <c r="H20" s="302">
        <v>5.8134999999999999E-2</v>
      </c>
      <c r="I20" s="302">
        <v>5.4988000000000002E-2</v>
      </c>
      <c r="J20" s="302">
        <v>5.7654999999999998E-2</v>
      </c>
      <c r="K20" s="302">
        <v>5.6876999999999997E-2</v>
      </c>
      <c r="L20" s="302">
        <v>5.3111999999999999E-2</v>
      </c>
      <c r="M20" s="302">
        <v>5.5698999999999999E-2</v>
      </c>
      <c r="N20" s="302">
        <v>5.5966835565110645E-2</v>
      </c>
      <c r="O20" s="302">
        <v>5.8523915625327834E-2</v>
      </c>
      <c r="P20" s="302">
        <v>5.9455569238522528E-2</v>
      </c>
      <c r="Q20" s="302">
        <v>6.0242741086700642E-2</v>
      </c>
      <c r="R20" s="302">
        <v>6.0819647144174614E-2</v>
      </c>
      <c r="S20" s="302">
        <v>6.1325736632516441E-2</v>
      </c>
      <c r="T20" s="302">
        <v>6.1645810521452113E-2</v>
      </c>
      <c r="U20" s="302">
        <v>6.3448996196852889E-2</v>
      </c>
      <c r="V20" s="302">
        <v>6.4845931916092198E-2</v>
      </c>
      <c r="W20" s="302">
        <v>6.5832838543476074E-2</v>
      </c>
      <c r="X20" s="302">
        <v>6.6661140475395231E-2</v>
      </c>
      <c r="Y20" s="302">
        <v>6.7569657578509371E-2</v>
      </c>
      <c r="Z20" s="302">
        <v>6.8717005367915404E-2</v>
      </c>
      <c r="AA20" s="302">
        <v>6.8203469633158958E-2</v>
      </c>
      <c r="AB20" s="302">
        <v>6.8055534998069531E-2</v>
      </c>
      <c r="AC20" s="302">
        <v>6.8307242030795357E-2</v>
      </c>
      <c r="AD20" s="302">
        <v>6.8754005598849699E-2</v>
      </c>
      <c r="AE20" s="302">
        <v>6.927479734445878E-2</v>
      </c>
      <c r="AF20" s="302">
        <v>6.9903350171628506E-2</v>
      </c>
      <c r="AG20" s="302">
        <v>7.0664478671192979E-2</v>
      </c>
      <c r="AH20" s="302">
        <v>7.146893339681433E-2</v>
      </c>
      <c r="AI20" s="302">
        <v>7.2256523366513989E-2</v>
      </c>
      <c r="AJ20" s="302">
        <v>7.3040427625831322E-2</v>
      </c>
      <c r="AK20" s="302">
        <v>7.3846860044791657E-2</v>
      </c>
      <c r="AL20" s="302">
        <v>7.4842145048742217E-2</v>
      </c>
      <c r="AM20" s="302">
        <v>7.5828360592940833E-2</v>
      </c>
      <c r="AN20" s="302">
        <v>7.6800298506731493E-2</v>
      </c>
      <c r="AO20" s="302">
        <v>7.7708448149063553E-2</v>
      </c>
      <c r="AP20" s="302">
        <v>7.8617905264691437E-2</v>
      </c>
      <c r="AQ20" s="302">
        <v>7.9548187813724705E-2</v>
      </c>
      <c r="AR20" s="302">
        <v>8.0399750908277876E-2</v>
      </c>
      <c r="AS20" s="302">
        <v>8.1189001479822581E-2</v>
      </c>
      <c r="AT20" s="302">
        <v>8.192906530211444E-2</v>
      </c>
      <c r="AU20" s="302">
        <v>8.2625099110603173E-2</v>
      </c>
      <c r="AV20" s="472">
        <f t="shared" si="1"/>
        <v>1.2869302675108479E-2</v>
      </c>
      <c r="AW20"/>
    </row>
    <row r="21" spans="1:49" s="280" customFormat="1" ht="12.9" customHeight="1">
      <c r="A21" s="280" t="s">
        <v>55</v>
      </c>
      <c r="B21" s="302">
        <v>0</v>
      </c>
      <c r="C21" s="302">
        <v>0</v>
      </c>
      <c r="D21" s="302">
        <v>0</v>
      </c>
      <c r="E21" s="302">
        <v>0</v>
      </c>
      <c r="F21" s="302">
        <v>0</v>
      </c>
      <c r="G21" s="302">
        <v>0</v>
      </c>
      <c r="H21" s="302">
        <v>0</v>
      </c>
      <c r="I21" s="302">
        <v>0</v>
      </c>
      <c r="J21" s="302">
        <v>0</v>
      </c>
      <c r="K21" s="302">
        <v>0</v>
      </c>
      <c r="L21" s="302">
        <v>0</v>
      </c>
      <c r="M21" s="302">
        <v>0</v>
      </c>
      <c r="N21" s="302">
        <v>0</v>
      </c>
      <c r="O21" s="302">
        <v>0</v>
      </c>
      <c r="P21" s="302">
        <v>0</v>
      </c>
      <c r="Q21" s="302">
        <v>0</v>
      </c>
      <c r="R21" s="302">
        <v>0</v>
      </c>
      <c r="S21" s="302">
        <v>0</v>
      </c>
      <c r="T21" s="302">
        <v>0</v>
      </c>
      <c r="U21" s="302">
        <v>0</v>
      </c>
      <c r="V21" s="302">
        <v>0</v>
      </c>
      <c r="W21" s="302">
        <v>0</v>
      </c>
      <c r="X21" s="302">
        <v>0</v>
      </c>
      <c r="Y21" s="302">
        <v>0</v>
      </c>
      <c r="Z21" s="302">
        <v>0</v>
      </c>
      <c r="AA21" s="302">
        <v>0</v>
      </c>
      <c r="AB21" s="302">
        <v>0</v>
      </c>
      <c r="AC21" s="302">
        <v>0</v>
      </c>
      <c r="AD21" s="302">
        <v>0</v>
      </c>
      <c r="AE21" s="302">
        <v>0</v>
      </c>
      <c r="AF21" s="302">
        <v>0</v>
      </c>
      <c r="AG21" s="302">
        <v>0</v>
      </c>
      <c r="AH21" s="302">
        <v>0</v>
      </c>
      <c r="AI21" s="302">
        <v>0</v>
      </c>
      <c r="AJ21" s="302">
        <v>0</v>
      </c>
      <c r="AK21" s="302">
        <v>0</v>
      </c>
      <c r="AL21" s="302">
        <v>0</v>
      </c>
      <c r="AM21" s="302">
        <v>0</v>
      </c>
      <c r="AN21" s="302">
        <v>0</v>
      </c>
      <c r="AO21" s="302">
        <v>0</v>
      </c>
      <c r="AP21" s="302">
        <v>0</v>
      </c>
      <c r="AQ21" s="302">
        <v>0</v>
      </c>
      <c r="AR21" s="302">
        <v>0</v>
      </c>
      <c r="AS21" s="302">
        <v>0</v>
      </c>
      <c r="AT21" s="302">
        <v>0</v>
      </c>
      <c r="AU21" s="302">
        <v>0</v>
      </c>
      <c r="AV21" s="472"/>
      <c r="AW21"/>
    </row>
    <row r="22" spans="1:49" s="280" customFormat="1" ht="12.9" customHeight="1">
      <c r="A22" s="280" t="s">
        <v>57</v>
      </c>
      <c r="B22" s="302">
        <v>1.1232510506697361E-2</v>
      </c>
      <c r="C22" s="302">
        <v>1.2004280513282546E-2</v>
      </c>
      <c r="D22" s="302">
        <v>7.0902028842179067E-3</v>
      </c>
      <c r="E22" s="302">
        <v>8.4327374043724132E-3</v>
      </c>
      <c r="F22" s="302">
        <v>7.6196660866108016E-3</v>
      </c>
      <c r="G22" s="302">
        <v>7.5091694182853287E-3</v>
      </c>
      <c r="H22" s="302">
        <v>1.1597546146327862E-2</v>
      </c>
      <c r="I22" s="302">
        <v>1.0589264047857911E-2</v>
      </c>
      <c r="J22" s="302">
        <v>1.4272486325373708E-2</v>
      </c>
      <c r="K22" s="302">
        <v>1.5841078612810748E-2</v>
      </c>
      <c r="L22" s="302">
        <v>1.5290897285106825E-2</v>
      </c>
      <c r="M22" s="302">
        <v>2.0754026326031674E-3</v>
      </c>
      <c r="N22" s="302">
        <v>3.3825338184819507E-3</v>
      </c>
      <c r="O22" s="302">
        <v>3.3825338184819507E-3</v>
      </c>
      <c r="P22" s="302">
        <v>3.3977855063388059E-3</v>
      </c>
      <c r="Q22" s="302">
        <v>3.4035078928144969E-3</v>
      </c>
      <c r="R22" s="302">
        <v>3.4080406398445616E-3</v>
      </c>
      <c r="S22" s="302">
        <v>3.4125900814022357E-3</v>
      </c>
      <c r="T22" s="302">
        <v>3.4169812017083435E-3</v>
      </c>
      <c r="U22" s="302">
        <v>3.421203350669724E-3</v>
      </c>
      <c r="V22" s="302">
        <v>3.4251607442380839E-3</v>
      </c>
      <c r="W22" s="302">
        <v>3.4290582850517539E-3</v>
      </c>
      <c r="X22" s="302">
        <v>3.4326913584163737E-3</v>
      </c>
      <c r="Y22" s="302">
        <v>3.4361970490957476E-3</v>
      </c>
      <c r="Z22" s="302">
        <v>3.4402633168222601E-3</v>
      </c>
      <c r="AA22" s="302">
        <v>3.4443741042352138E-3</v>
      </c>
      <c r="AB22" s="302">
        <v>3.4485587931539384E-3</v>
      </c>
      <c r="AC22" s="302">
        <v>3.4513522312543468E-3</v>
      </c>
      <c r="AD22" s="302">
        <v>3.453114873590974E-3</v>
      </c>
      <c r="AE22" s="302">
        <v>3.4556134283030772E-3</v>
      </c>
      <c r="AF22" s="302">
        <v>3.4580811876723586E-3</v>
      </c>
      <c r="AG22" s="302">
        <v>3.4612558680297686E-3</v>
      </c>
      <c r="AH22" s="302">
        <v>3.4641651410198754E-3</v>
      </c>
      <c r="AI22" s="302">
        <v>3.4668893150800414E-3</v>
      </c>
      <c r="AJ22" s="302">
        <v>3.4699280825442802E-3</v>
      </c>
      <c r="AK22" s="302">
        <v>3.4731347254052017E-3</v>
      </c>
      <c r="AL22" s="302">
        <v>3.4764708101491545E-3</v>
      </c>
      <c r="AM22" s="302">
        <v>3.4771181578228927E-3</v>
      </c>
      <c r="AN22" s="302">
        <v>3.4766154951589539E-3</v>
      </c>
      <c r="AO22" s="302">
        <v>3.4750121752726371E-3</v>
      </c>
      <c r="AP22" s="302">
        <v>3.4724420172171548E-3</v>
      </c>
      <c r="AQ22" s="302">
        <v>3.4690223823380622E-3</v>
      </c>
      <c r="AR22" s="302">
        <v>3.4647427609070082E-3</v>
      </c>
      <c r="AS22" s="302">
        <v>3.45968056372037E-3</v>
      </c>
      <c r="AT22" s="302">
        <v>3.4537901002250509E-3</v>
      </c>
      <c r="AU22" s="302">
        <v>3.4470934128259922E-3</v>
      </c>
      <c r="AV22" s="472">
        <f t="shared" si="1"/>
        <v>5.9644261713744692E-4</v>
      </c>
      <c r="AW22"/>
    </row>
    <row r="23" spans="1:49" s="280" customFormat="1" ht="12.9" customHeight="1">
      <c r="A23" s="280" t="s">
        <v>25</v>
      </c>
      <c r="B23" s="302">
        <v>9.5876000000000003E-2</v>
      </c>
      <c r="C23" s="302">
        <v>9.7516000000000005E-2</v>
      </c>
      <c r="D23" s="302">
        <v>0.100992</v>
      </c>
      <c r="E23" s="302">
        <v>0.10194499999999999</v>
      </c>
      <c r="F23" s="302">
        <v>0.102594</v>
      </c>
      <c r="G23" s="302">
        <v>9.8378999999999994E-2</v>
      </c>
      <c r="H23" s="302">
        <v>0.100343</v>
      </c>
      <c r="I23" s="302">
        <v>9.9765999999999994E-2</v>
      </c>
      <c r="J23" s="302">
        <v>0.10119499999999999</v>
      </c>
      <c r="K23" s="302">
        <v>9.9085999999999994E-2</v>
      </c>
      <c r="L23" s="302">
        <v>9.9857000000000001E-2</v>
      </c>
      <c r="M23" s="302">
        <v>9.8910999999999999E-2</v>
      </c>
      <c r="N23" s="302">
        <v>0.10480490635936836</v>
      </c>
      <c r="O23" s="302">
        <v>0.10521333871105421</v>
      </c>
      <c r="P23" s="302">
        <v>0.10555012548015365</v>
      </c>
      <c r="Q23" s="302">
        <v>0.10421451165172857</v>
      </c>
      <c r="R23" s="302">
        <v>0.10267501630388394</v>
      </c>
      <c r="S23" s="302">
        <v>0.10108634400341444</v>
      </c>
      <c r="T23" s="302">
        <v>9.9449491762697392E-2</v>
      </c>
      <c r="U23" s="302">
        <v>9.7830387366624014E-2</v>
      </c>
      <c r="V23" s="302">
        <v>9.6386871190781057E-2</v>
      </c>
      <c r="W23" s="302">
        <v>9.5001582927870254E-2</v>
      </c>
      <c r="X23" s="302">
        <v>9.4089885104566798E-2</v>
      </c>
      <c r="Y23" s="302">
        <v>9.3723052838241575E-2</v>
      </c>
      <c r="Z23" s="302">
        <v>9.3927226291079816E-2</v>
      </c>
      <c r="AA23" s="302">
        <v>9.4841494152795539E-2</v>
      </c>
      <c r="AB23" s="302">
        <v>9.6066288348271439E-2</v>
      </c>
      <c r="AC23" s="302">
        <v>9.7326356636790456E-2</v>
      </c>
      <c r="AD23" s="302">
        <v>9.8648277592829722E-2</v>
      </c>
      <c r="AE23" s="302">
        <v>9.9976876483141297E-2</v>
      </c>
      <c r="AF23" s="302">
        <v>0.10144642048655569</v>
      </c>
      <c r="AG23" s="302">
        <v>0.10265878398634208</v>
      </c>
      <c r="AH23" s="302">
        <v>0.1039753073300408</v>
      </c>
      <c r="AI23" s="302">
        <v>0.1052918306737395</v>
      </c>
      <c r="AJ23" s="302">
        <v>0.1066083540174378</v>
      </c>
      <c r="AK23" s="302">
        <v>0.1079248773611365</v>
      </c>
      <c r="AL23" s="302">
        <v>0.1092414007048348</v>
      </c>
      <c r="AM23" s="302">
        <v>0.1105579240485335</v>
      </c>
      <c r="AN23" s="302">
        <v>0.11187444739223221</v>
      </c>
      <c r="AO23" s="302">
        <v>0.1131909707359305</v>
      </c>
      <c r="AP23" s="302">
        <v>0.11450749407962921</v>
      </c>
      <c r="AQ23" s="302">
        <v>0.1158240174233279</v>
      </c>
      <c r="AR23" s="302">
        <v>0.11714054076702622</v>
      </c>
      <c r="AS23" s="302">
        <v>0.11845706411072492</v>
      </c>
      <c r="AT23" s="302">
        <v>0.11977358745442361</v>
      </c>
      <c r="AU23" s="302">
        <v>0.12109011079812192</v>
      </c>
      <c r="AV23" s="472">
        <f t="shared" si="1"/>
        <v>4.7156485460786756E-3</v>
      </c>
      <c r="AW23"/>
    </row>
    <row r="24" spans="1:49" customFormat="1" ht="12.9" customHeight="1">
      <c r="B24" s="528"/>
      <c r="C24" s="528"/>
      <c r="D24" s="528"/>
      <c r="E24" s="528"/>
      <c r="F24" s="528"/>
      <c r="G24" s="528"/>
      <c r="H24" s="528"/>
      <c r="I24" s="528"/>
      <c r="J24" s="528"/>
      <c r="K24" s="528"/>
      <c r="L24" s="528"/>
      <c r="M24" s="528"/>
      <c r="N24" s="165"/>
      <c r="O24" s="165"/>
      <c r="P24" s="165"/>
      <c r="Q24" s="165"/>
      <c r="R24" s="165"/>
      <c r="S24" s="165"/>
      <c r="T24" s="165"/>
      <c r="U24" s="165"/>
      <c r="V24" s="165"/>
      <c r="W24" s="165"/>
      <c r="X24" s="165"/>
      <c r="Y24" s="165"/>
      <c r="Z24" s="165"/>
      <c r="AA24" s="165"/>
      <c r="AB24" s="165"/>
      <c r="AC24" s="165"/>
      <c r="AD24" s="466"/>
      <c r="AE24" s="165"/>
      <c r="AF24" s="165"/>
      <c r="AG24" s="466"/>
      <c r="AH24" s="466"/>
      <c r="AI24" s="466"/>
      <c r="AJ24" s="466"/>
      <c r="AK24" s="466"/>
      <c r="AL24" s="466"/>
      <c r="AM24" s="466"/>
      <c r="AN24" s="466"/>
      <c r="AO24" s="466"/>
      <c r="AP24" s="466"/>
      <c r="AQ24" s="466"/>
      <c r="AR24" s="466"/>
      <c r="AS24" s="466"/>
      <c r="AT24" s="466"/>
      <c r="AU24" s="466"/>
      <c r="AV24" s="470"/>
    </row>
    <row r="25" spans="1:49" s="280" customFormat="1" ht="12.9" customHeight="1">
      <c r="A25" s="280" t="s">
        <v>78</v>
      </c>
      <c r="B25" s="528"/>
      <c r="C25" s="528"/>
      <c r="D25" s="528"/>
      <c r="E25" s="528"/>
      <c r="F25" s="528"/>
      <c r="G25" s="528"/>
      <c r="H25" s="528"/>
      <c r="I25" s="528"/>
      <c r="J25" s="528"/>
      <c r="K25" s="528"/>
      <c r="L25" s="528"/>
      <c r="M25" s="528"/>
      <c r="N25" s="466"/>
      <c r="O25" s="466"/>
      <c r="P25" s="466"/>
      <c r="Q25" s="466"/>
      <c r="R25" s="466"/>
      <c r="S25" s="466"/>
      <c r="T25" s="466"/>
      <c r="U25" s="466"/>
      <c r="V25" s="466"/>
      <c r="W25" s="466"/>
      <c r="X25" s="466"/>
      <c r="Y25" s="466"/>
      <c r="Z25" s="466"/>
      <c r="AA25" s="466"/>
      <c r="AB25" s="466"/>
      <c r="AC25" s="466"/>
      <c r="AD25" s="199"/>
      <c r="AE25" s="466"/>
      <c r="AF25" s="466"/>
      <c r="AG25" s="466"/>
      <c r="AH25" s="466"/>
      <c r="AI25" s="466"/>
      <c r="AJ25" s="466"/>
      <c r="AK25" s="466"/>
      <c r="AL25" s="466"/>
      <c r="AM25" s="466"/>
      <c r="AN25" s="466"/>
      <c r="AO25" s="466"/>
      <c r="AP25" s="466"/>
      <c r="AQ25" s="466"/>
      <c r="AR25" s="466"/>
      <c r="AS25" s="466"/>
      <c r="AT25" s="466"/>
      <c r="AU25" s="466"/>
      <c r="AV25" s="470"/>
      <c r="AW25"/>
    </row>
    <row r="26" spans="1:49" s="280" customFormat="1" ht="12.9" customHeight="1">
      <c r="A26" s="280" t="s">
        <v>22</v>
      </c>
      <c r="B26" s="302">
        <v>4.716850778559491E-3</v>
      </c>
      <c r="C26" s="302">
        <v>4.2493773066018276E-3</v>
      </c>
      <c r="D26" s="302">
        <v>1.8075217666993772E-3</v>
      </c>
      <c r="E26" s="302">
        <v>1.8116883920671805E-3</v>
      </c>
      <c r="F26" s="302">
        <v>5.4305017293701371E-3</v>
      </c>
      <c r="G26" s="302">
        <v>5.2023293877999635E-3</v>
      </c>
      <c r="H26" s="302">
        <v>5.9820835637745574E-3</v>
      </c>
      <c r="I26" s="302">
        <v>5.3570897586040812E-3</v>
      </c>
      <c r="J26" s="302">
        <v>5.5555004904042334E-3</v>
      </c>
      <c r="K26" s="302">
        <v>4.643604767050738E-3</v>
      </c>
      <c r="L26" s="302">
        <v>5.2687969829530142E-3</v>
      </c>
      <c r="M26" s="302">
        <v>5.7235738203177877E-3</v>
      </c>
      <c r="N26" s="302">
        <v>6.3225923002553129E-3</v>
      </c>
      <c r="O26" s="302">
        <v>7.4365470820301352E-3</v>
      </c>
      <c r="P26" s="302">
        <v>6.3719652459769058E-3</v>
      </c>
      <c r="Q26" s="302">
        <v>3.6701120164821339E-3</v>
      </c>
      <c r="R26" s="302">
        <v>3.6626894444876002E-3</v>
      </c>
      <c r="S26" s="302">
        <v>3.6645851659408654E-3</v>
      </c>
      <c r="T26" s="302">
        <v>3.6765298189621767E-3</v>
      </c>
      <c r="U26" s="302">
        <v>3.6738344628194763E-3</v>
      </c>
      <c r="V26" s="302">
        <v>3.6825027310530543E-3</v>
      </c>
      <c r="W26" s="302">
        <v>3.700848874162486E-3</v>
      </c>
      <c r="X26" s="302">
        <v>3.7014043513829754E-3</v>
      </c>
      <c r="Y26" s="302">
        <v>3.7241572268639123E-3</v>
      </c>
      <c r="Z26" s="302">
        <v>3.7361978446278418E-3</v>
      </c>
      <c r="AA26" s="302">
        <v>3.7673228622456213E-3</v>
      </c>
      <c r="AB26" s="302">
        <v>3.7866700435662841E-3</v>
      </c>
      <c r="AC26" s="302">
        <v>3.8039851646009246E-3</v>
      </c>
      <c r="AD26" s="302">
        <v>3.8217866757017439E-3</v>
      </c>
      <c r="AE26" s="302">
        <v>3.843453634946621E-3</v>
      </c>
      <c r="AF26" s="302">
        <v>3.8622583913085744E-3</v>
      </c>
      <c r="AG26" s="302">
        <v>3.8784853344978536E-3</v>
      </c>
      <c r="AH26" s="302">
        <v>3.8971185481044193E-3</v>
      </c>
      <c r="AI26" s="302">
        <v>3.9211144067433151E-3</v>
      </c>
      <c r="AJ26" s="302">
        <v>3.9408454114942884E-3</v>
      </c>
      <c r="AK26" s="302">
        <v>3.9681444857081628E-3</v>
      </c>
      <c r="AL26" s="302">
        <v>3.9974299533836119E-3</v>
      </c>
      <c r="AM26" s="302">
        <v>4.0141433208201686E-3</v>
      </c>
      <c r="AN26" s="302">
        <v>4.0352705660174062E-3</v>
      </c>
      <c r="AO26" s="302">
        <v>4.0599487384240579E-3</v>
      </c>
      <c r="AP26" s="302">
        <v>4.0831070831699101E-3</v>
      </c>
      <c r="AQ26" s="302">
        <v>4.1096966688456563E-3</v>
      </c>
      <c r="AR26" s="302">
        <v>4.1391328510333725E-3</v>
      </c>
      <c r="AS26" s="302">
        <v>4.1696834242288773E-3</v>
      </c>
      <c r="AT26" s="302">
        <v>4.1992981136166731E-3</v>
      </c>
      <c r="AU26" s="302">
        <v>4.2301111626961282E-3</v>
      </c>
      <c r="AV26" s="472">
        <f>((AU26-O26)/O26)/32</f>
        <v>-1.3474146182885912E-2</v>
      </c>
      <c r="AW26"/>
    </row>
    <row r="27" spans="1:49" s="280" customFormat="1" ht="12.9" customHeight="1">
      <c r="A27" s="280" t="s">
        <v>28</v>
      </c>
      <c r="B27" s="302">
        <v>5.7916291168298292E-3</v>
      </c>
      <c r="C27" s="302">
        <v>5.937280546527866E-3</v>
      </c>
      <c r="D27" s="302">
        <v>4.6383811532224864E-3</v>
      </c>
      <c r="E27" s="302">
        <v>4.5054708417700783E-3</v>
      </c>
      <c r="F27" s="302">
        <v>3.9347383278862062E-3</v>
      </c>
      <c r="G27" s="302">
        <v>4.7206076136545039E-3</v>
      </c>
      <c r="H27" s="302">
        <v>5.7059771640775303E-3</v>
      </c>
      <c r="I27" s="302">
        <v>4.8527091402502031E-3</v>
      </c>
      <c r="J27" s="302">
        <v>5.1223040924863253E-3</v>
      </c>
      <c r="K27" s="302">
        <v>5.9017030994009557E-3</v>
      </c>
      <c r="L27" s="302">
        <v>4.5262296530922588E-3</v>
      </c>
      <c r="M27" s="302">
        <v>5.7189246855607377E-3</v>
      </c>
      <c r="N27" s="302">
        <v>5.3797127967070927E-3</v>
      </c>
      <c r="O27" s="302">
        <v>5.3011956504467666E-3</v>
      </c>
      <c r="P27" s="302">
        <v>5.1790710322871516E-3</v>
      </c>
      <c r="Q27" s="302">
        <v>5.2718459967213555E-3</v>
      </c>
      <c r="R27" s="302">
        <v>5.3583860881621362E-3</v>
      </c>
      <c r="S27" s="302">
        <v>5.4377764294697506E-3</v>
      </c>
      <c r="T27" s="302">
        <v>5.5199805209489019E-3</v>
      </c>
      <c r="U27" s="302">
        <v>5.5925001290644486E-3</v>
      </c>
      <c r="V27" s="302">
        <v>5.651012313778887E-3</v>
      </c>
      <c r="W27" s="302">
        <v>5.7026714312779381E-3</v>
      </c>
      <c r="X27" s="302">
        <v>5.7433933888978951E-3</v>
      </c>
      <c r="Y27" s="302">
        <v>5.7959594233670591E-3</v>
      </c>
      <c r="Z27" s="302">
        <v>5.8299889010721712E-3</v>
      </c>
      <c r="AA27" s="302">
        <v>5.8467593899576608E-3</v>
      </c>
      <c r="AB27" s="302">
        <v>5.8775044563967559E-3</v>
      </c>
      <c r="AC27" s="302">
        <v>5.9073098737544008E-3</v>
      </c>
      <c r="AD27" s="302">
        <v>5.9423059413747734E-3</v>
      </c>
      <c r="AE27" s="302">
        <v>5.9702955887097437E-3</v>
      </c>
      <c r="AF27" s="302">
        <v>5.992581962510837E-3</v>
      </c>
      <c r="AG27" s="302">
        <v>6.020840765355937E-3</v>
      </c>
      <c r="AH27" s="302">
        <v>6.0531220817632179E-3</v>
      </c>
      <c r="AI27" s="302">
        <v>6.0917957545761217E-3</v>
      </c>
      <c r="AJ27" s="302">
        <v>6.1316350322116351E-3</v>
      </c>
      <c r="AK27" s="302">
        <v>6.176427988742416E-3</v>
      </c>
      <c r="AL27" s="302">
        <v>6.2206885993042731E-3</v>
      </c>
      <c r="AM27" s="302">
        <v>6.2587879831069006E-3</v>
      </c>
      <c r="AN27" s="302">
        <v>6.2920312936310049E-3</v>
      </c>
      <c r="AO27" s="302">
        <v>6.3211721968253008E-3</v>
      </c>
      <c r="AP27" s="302">
        <v>6.3479590527988706E-3</v>
      </c>
      <c r="AQ27" s="302">
        <v>6.3768937534605186E-3</v>
      </c>
      <c r="AR27" s="302">
        <v>6.4104201803147614E-3</v>
      </c>
      <c r="AS27" s="302">
        <v>6.4482125338293133E-3</v>
      </c>
      <c r="AT27" s="302">
        <v>6.485973435211425E-3</v>
      </c>
      <c r="AU27" s="302">
        <v>6.5239774262622107E-3</v>
      </c>
      <c r="AV27" s="472">
        <f t="shared" ref="AV27:AV29" si="2">((AU27-O27)/O27)/32</f>
        <v>7.2081720830304112E-3</v>
      </c>
      <c r="AW27"/>
    </row>
    <row r="28" spans="1:49" s="132" customFormat="1" ht="12.9" customHeight="1">
      <c r="A28" s="5" t="s">
        <v>23</v>
      </c>
      <c r="B28" s="302">
        <v>1.7955278939008688E-2</v>
      </c>
      <c r="C28" s="302">
        <v>1.855505988597872E-2</v>
      </c>
      <c r="D28" s="302">
        <v>1.6026866600000002E-2</v>
      </c>
      <c r="E28" s="302">
        <v>1.4883080470000001E-2</v>
      </c>
      <c r="F28" s="302">
        <v>1.5386824700000001E-2</v>
      </c>
      <c r="G28" s="302">
        <v>1.6241572800000003E-2</v>
      </c>
      <c r="H28" s="302">
        <v>1.7688801300000001E-2</v>
      </c>
      <c r="I28" s="302">
        <v>1.7801590000000003E-2</v>
      </c>
      <c r="J28" s="302">
        <v>1.8345150000000001E-2</v>
      </c>
      <c r="K28" s="302">
        <v>1.870077413E-2</v>
      </c>
      <c r="L28" s="302">
        <v>1.781205353E-2</v>
      </c>
      <c r="M28" s="302">
        <v>1.5444662204402574E-2</v>
      </c>
      <c r="N28" s="302">
        <v>1.6434783251468729E-2</v>
      </c>
      <c r="O28" s="302">
        <v>1.7213502231445299E-2</v>
      </c>
      <c r="P28" s="302">
        <v>1.7324087043647091E-2</v>
      </c>
      <c r="Q28" s="302">
        <v>1.7388772009185958E-2</v>
      </c>
      <c r="R28" s="302">
        <v>1.7542840371756484E-2</v>
      </c>
      <c r="S28" s="302">
        <v>1.7752491347265018E-2</v>
      </c>
      <c r="T28" s="302">
        <v>1.7904468855880887E-2</v>
      </c>
      <c r="U28" s="302">
        <v>1.8020942111850898E-2</v>
      </c>
      <c r="V28" s="302">
        <v>1.8123876736548E-2</v>
      </c>
      <c r="W28" s="302">
        <v>1.8228434143098996E-2</v>
      </c>
      <c r="X28" s="302">
        <v>1.834729733673188E-2</v>
      </c>
      <c r="Y28" s="302">
        <v>1.848235804049652E-2</v>
      </c>
      <c r="Z28" s="302">
        <v>1.8609897550721972E-2</v>
      </c>
      <c r="AA28" s="302">
        <v>1.8736672580902197E-2</v>
      </c>
      <c r="AB28" s="302">
        <v>1.8900205776418443E-2</v>
      </c>
      <c r="AC28" s="302">
        <v>1.9047334031112754E-2</v>
      </c>
      <c r="AD28" s="302">
        <v>1.9226863140337069E-2</v>
      </c>
      <c r="AE28" s="302">
        <v>1.9340233691302715E-2</v>
      </c>
      <c r="AF28" s="302">
        <v>1.9521315562300148E-2</v>
      </c>
      <c r="AG28" s="302">
        <v>1.974226702824514E-2</v>
      </c>
      <c r="AH28" s="302">
        <v>1.9883333929126921E-2</v>
      </c>
      <c r="AI28" s="302">
        <v>2.0135591418675609E-2</v>
      </c>
      <c r="AJ28" s="302">
        <v>2.0354753909038716E-2</v>
      </c>
      <c r="AK28" s="302">
        <v>2.0569689248235552E-2</v>
      </c>
      <c r="AL28" s="302">
        <v>2.084092626237375E-2</v>
      </c>
      <c r="AM28" s="302">
        <v>2.1077306688536801E-2</v>
      </c>
      <c r="AN28" s="302">
        <v>2.1239636528187569E-2</v>
      </c>
      <c r="AO28" s="302">
        <v>2.144559412878394E-2</v>
      </c>
      <c r="AP28" s="302">
        <v>2.1650392712120832E-2</v>
      </c>
      <c r="AQ28" s="302">
        <v>2.1877733949380685E-2</v>
      </c>
      <c r="AR28" s="302">
        <v>2.209808859005654E-2</v>
      </c>
      <c r="AS28" s="302">
        <v>2.2357335420717057E-2</v>
      </c>
      <c r="AT28" s="302">
        <v>2.2535342745682394E-2</v>
      </c>
      <c r="AU28" s="302">
        <v>2.2747918035292296E-2</v>
      </c>
      <c r="AV28" s="472">
        <f t="shared" si="2"/>
        <v>1.0047373947776645E-2</v>
      </c>
      <c r="AW28"/>
    </row>
    <row r="29" spans="1:49" s="280" customFormat="1" ht="12.9" customHeight="1">
      <c r="A29" s="280" t="s">
        <v>29</v>
      </c>
      <c r="B29" s="302">
        <v>8.2412061777782316E-4</v>
      </c>
      <c r="C29" s="302">
        <v>8.7316280655768319E-4</v>
      </c>
      <c r="D29" s="302">
        <v>8.6287806388219627E-4</v>
      </c>
      <c r="E29" s="302">
        <v>8.9692965689903504E-4</v>
      </c>
      <c r="F29" s="302">
        <v>1.0299269783155885E-3</v>
      </c>
      <c r="G29" s="302">
        <v>9.6984641890891495E-4</v>
      </c>
      <c r="H29" s="302">
        <v>9.9302289583137054E-4</v>
      </c>
      <c r="I29" s="302">
        <v>7.1312236684479039E-4</v>
      </c>
      <c r="J29" s="302">
        <v>7.1312236684479039E-4</v>
      </c>
      <c r="K29" s="302">
        <v>4.5372410590499785E-4</v>
      </c>
      <c r="L29" s="302">
        <v>3.7331955904324772E-4</v>
      </c>
      <c r="M29" s="302">
        <v>4.0743217948383914E-4</v>
      </c>
      <c r="N29" s="302">
        <v>4.8337337819376574E-4</v>
      </c>
      <c r="O29" s="302">
        <v>4.6940387330936907E-4</v>
      </c>
      <c r="P29" s="302">
        <v>4.9342826487627127E-4</v>
      </c>
      <c r="Q29" s="302">
        <v>3.4996884098302501E-4</v>
      </c>
      <c r="R29" s="302">
        <v>3.6551511632027829E-4</v>
      </c>
      <c r="S29" s="302">
        <v>3.7520705352098583E-4</v>
      </c>
      <c r="T29" s="302">
        <v>3.8317772528320167E-4</v>
      </c>
      <c r="U29" s="302">
        <v>3.9129249917380424E-4</v>
      </c>
      <c r="V29" s="302">
        <v>3.9838486498238005E-4</v>
      </c>
      <c r="W29" s="302">
        <v>4.0577450938235685E-4</v>
      </c>
      <c r="X29" s="302">
        <v>4.1011023761841918E-4</v>
      </c>
      <c r="Y29" s="302">
        <v>4.1299079556632274E-4</v>
      </c>
      <c r="Z29" s="302">
        <v>4.1521925900497311E-4</v>
      </c>
      <c r="AA29" s="302">
        <v>4.1513479841261505E-4</v>
      </c>
      <c r="AB29" s="302">
        <v>4.1592981675522573E-4</v>
      </c>
      <c r="AC29" s="302">
        <v>4.1568494823625404E-4</v>
      </c>
      <c r="AD29" s="302">
        <v>4.1575172258686351E-4</v>
      </c>
      <c r="AE29" s="302">
        <v>4.1532441781827207E-4</v>
      </c>
      <c r="AF29" s="302">
        <v>4.154752840351822E-4</v>
      </c>
      <c r="AG29" s="302">
        <v>4.1571084633398544E-4</v>
      </c>
      <c r="AH29" s="302">
        <v>4.1547631757430021E-4</v>
      </c>
      <c r="AI29" s="302">
        <v>4.1638744613773808E-4</v>
      </c>
      <c r="AJ29" s="302">
        <v>4.1631372766386544E-4</v>
      </c>
      <c r="AK29" s="302">
        <v>4.1582026875043566E-4</v>
      </c>
      <c r="AL29" s="302">
        <v>4.1519414826487506E-4</v>
      </c>
      <c r="AM29" s="302">
        <v>4.1483186509637008E-4</v>
      </c>
      <c r="AN29" s="302">
        <v>4.122812132288389E-4</v>
      </c>
      <c r="AO29" s="302">
        <v>4.101873192102225E-4</v>
      </c>
      <c r="AP29" s="302">
        <v>4.0754258231542846E-4</v>
      </c>
      <c r="AQ29" s="302">
        <v>4.0494837619122138E-4</v>
      </c>
      <c r="AR29" s="302">
        <v>4.0225864841264612E-4</v>
      </c>
      <c r="AS29" s="302">
        <v>4.0021295368949705E-4</v>
      </c>
      <c r="AT29" s="302">
        <v>3.9705721961865115E-4</v>
      </c>
      <c r="AU29" s="302">
        <v>3.9468941713364662E-4</v>
      </c>
      <c r="AV29" s="472">
        <f t="shared" si="2"/>
        <v>-4.974025329255255E-3</v>
      </c>
      <c r="AW29"/>
    </row>
    <row r="30" spans="1:49" s="280" customFormat="1" ht="12.9" customHeight="1">
      <c r="A30" s="280" t="s">
        <v>58</v>
      </c>
      <c r="B30" s="302">
        <v>6.7804572629369363E-3</v>
      </c>
      <c r="C30" s="302">
        <v>7.084609643170898E-3</v>
      </c>
      <c r="D30" s="302">
        <v>6.6965625211192169E-3</v>
      </c>
      <c r="E30" s="302">
        <v>5.7652291992522772E-3</v>
      </c>
      <c r="F30" s="302">
        <v>2.1334181483211668E-3</v>
      </c>
      <c r="G30" s="302">
        <v>0</v>
      </c>
      <c r="H30" s="302">
        <v>0</v>
      </c>
      <c r="I30" s="302">
        <v>0</v>
      </c>
      <c r="J30" s="302">
        <v>0</v>
      </c>
      <c r="K30" s="302">
        <v>0</v>
      </c>
      <c r="L30" s="302">
        <v>0</v>
      </c>
      <c r="M30" s="302"/>
      <c r="N30" s="302">
        <v>0</v>
      </c>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472"/>
      <c r="AW30"/>
    </row>
    <row r="31" spans="1:49" s="212" customFormat="1" ht="12.9" customHeight="1">
      <c r="A31" s="473" t="s">
        <v>31</v>
      </c>
      <c r="B31" s="302">
        <v>0.1068870445352794</v>
      </c>
      <c r="C31" s="302">
        <v>0.10739627155380832</v>
      </c>
      <c r="D31" s="302">
        <v>9.611717890950533E-2</v>
      </c>
      <c r="E31" s="302">
        <v>9.0873015177546229E-2</v>
      </c>
      <c r="F31" s="302">
        <v>7.5575866736152603E-2</v>
      </c>
      <c r="G31" s="302">
        <v>7.8573746918458962E-2</v>
      </c>
      <c r="H31" s="302">
        <v>7.3637634514515535E-2</v>
      </c>
      <c r="I31" s="302">
        <v>7.3671052311440319E-2</v>
      </c>
      <c r="J31" s="302">
        <v>7.9595116311741695E-2</v>
      </c>
      <c r="K31" s="302">
        <v>7.5019764215508933E-2</v>
      </c>
      <c r="L31" s="302">
        <v>7.2497480043072909E-2</v>
      </c>
      <c r="M31" s="302">
        <v>9.1572079810057286E-2</v>
      </c>
      <c r="N31" s="302">
        <v>8.8145152495871612E-2</v>
      </c>
      <c r="O31" s="302">
        <v>8.6484463651335747E-2</v>
      </c>
      <c r="P31" s="302">
        <v>8.6889922276978393E-2</v>
      </c>
      <c r="Q31" s="302">
        <v>7.7522273892668789E-2</v>
      </c>
      <c r="R31" s="302">
        <v>7.3773466623134651E-2</v>
      </c>
      <c r="S31" s="302">
        <v>7.1465087169743549E-2</v>
      </c>
      <c r="T31" s="302">
        <v>7.0334589886883098E-2</v>
      </c>
      <c r="U31" s="302">
        <v>6.7056300599708046E-2</v>
      </c>
      <c r="V31" s="302">
        <v>6.9649787541854913E-2</v>
      </c>
      <c r="W31" s="302">
        <v>6.7957519050592205E-2</v>
      </c>
      <c r="X31" s="302">
        <v>6.6922936842214301E-2</v>
      </c>
      <c r="Y31" s="302">
        <v>6.6610579957500388E-2</v>
      </c>
      <c r="Z31" s="302">
        <v>6.7749592024271263E-2</v>
      </c>
      <c r="AA31" s="302">
        <v>6.6359630894027688E-2</v>
      </c>
      <c r="AB31" s="302">
        <v>6.6180955634635649E-2</v>
      </c>
      <c r="AC31" s="302">
        <v>6.6948095820593648E-2</v>
      </c>
      <c r="AD31" s="302">
        <v>6.8347676102240906E-2</v>
      </c>
      <c r="AE31" s="302">
        <v>7.0342828351132064E-2</v>
      </c>
      <c r="AF31" s="302">
        <v>7.0783855866244472E-2</v>
      </c>
      <c r="AG31" s="302">
        <v>6.902652709296711E-2</v>
      </c>
      <c r="AH31" s="302">
        <v>6.9751832547257558E-2</v>
      </c>
      <c r="AI31" s="302">
        <v>6.9575967430282798E-2</v>
      </c>
      <c r="AJ31" s="302">
        <v>7.1252257884306489E-2</v>
      </c>
      <c r="AK31" s="302">
        <v>7.1328951263950641E-2</v>
      </c>
      <c r="AL31" s="302">
        <v>7.1784729758021637E-2</v>
      </c>
      <c r="AM31" s="302">
        <v>7.24304486062778E-2</v>
      </c>
      <c r="AN31" s="302">
        <v>7.3371758068479745E-2</v>
      </c>
      <c r="AO31" s="302">
        <v>7.2061964634400816E-2</v>
      </c>
      <c r="AP31" s="302">
        <v>7.2360089263475369E-2</v>
      </c>
      <c r="AQ31" s="302">
        <v>7.2482566402718315E-2</v>
      </c>
      <c r="AR31" s="302">
        <v>7.287663760327931E-2</v>
      </c>
      <c r="AS31" s="302">
        <v>7.4017263337260816E-2</v>
      </c>
      <c r="AT31" s="302">
        <v>7.427338921584796E-2</v>
      </c>
      <c r="AU31" s="302">
        <v>7.4614382838197879E-2</v>
      </c>
      <c r="AV31" s="472">
        <f>((AU31-O31)/O31)/32</f>
        <v>-4.289094361572412E-3</v>
      </c>
      <c r="AW31"/>
    </row>
    <row r="32" spans="1:49" s="44" customFormat="1" ht="12.9" customHeight="1">
      <c r="A32" s="473" t="s">
        <v>24</v>
      </c>
      <c r="B32" s="302">
        <v>6.8849999999999995E-2</v>
      </c>
      <c r="C32" s="302">
        <v>7.2876999999999997E-2</v>
      </c>
      <c r="D32" s="302">
        <v>7.5440999999999994E-2</v>
      </c>
      <c r="E32" s="302">
        <v>7.8029000000000001E-2</v>
      </c>
      <c r="F32" s="302">
        <v>7.3422000000000001E-2</v>
      </c>
      <c r="G32" s="302">
        <v>7.3613999999999999E-2</v>
      </c>
      <c r="H32" s="302">
        <v>7.8514E-2</v>
      </c>
      <c r="I32" s="302">
        <v>8.0490999999999993E-2</v>
      </c>
      <c r="J32" s="302">
        <v>8.3570000000000005E-2</v>
      </c>
      <c r="K32" s="302">
        <v>8.2968E-2</v>
      </c>
      <c r="L32" s="302">
        <v>8.1389000000000003E-2</v>
      </c>
      <c r="M32" s="302">
        <v>8.5515999999999995E-2</v>
      </c>
      <c r="N32" s="302">
        <v>8.0656000000000005E-2</v>
      </c>
      <c r="O32" s="302">
        <v>7.8219999999999998E-2</v>
      </c>
      <c r="P32" s="302">
        <v>7.3427707677236026E-2</v>
      </c>
      <c r="Q32" s="302">
        <v>7.8815325228527855E-2</v>
      </c>
      <c r="R32" s="302">
        <v>7.9255221949779603E-2</v>
      </c>
      <c r="S32" s="302">
        <v>8.073632424526718E-2</v>
      </c>
      <c r="T32" s="302">
        <v>8.0835987847515861E-2</v>
      </c>
      <c r="U32" s="302">
        <v>8.8634369465032239E-2</v>
      </c>
      <c r="V32" s="302">
        <v>8.8763001598678962E-2</v>
      </c>
      <c r="W32" s="302">
        <v>9.2079690455712793E-2</v>
      </c>
      <c r="X32" s="302">
        <v>9.0554543431174264E-2</v>
      </c>
      <c r="Y32" s="302">
        <v>9.1826815808754528E-2</v>
      </c>
      <c r="Z32" s="302">
        <v>9.3108931480549093E-2</v>
      </c>
      <c r="AA32" s="302">
        <v>8.7700642944242332E-2</v>
      </c>
      <c r="AB32" s="302">
        <v>8.8315301858828188E-2</v>
      </c>
      <c r="AC32" s="302">
        <v>8.7602517740583696E-2</v>
      </c>
      <c r="AD32" s="302">
        <v>8.6061976441874424E-2</v>
      </c>
      <c r="AE32" s="302">
        <v>8.5927047913930993E-2</v>
      </c>
      <c r="AF32" s="302">
        <v>8.5719136127440587E-2</v>
      </c>
      <c r="AG32" s="302">
        <v>8.5684299491031984E-2</v>
      </c>
      <c r="AH32" s="302">
        <v>8.6047462001434233E-2</v>
      </c>
      <c r="AI32" s="302">
        <v>8.6632598505408845E-2</v>
      </c>
      <c r="AJ32" s="302">
        <v>8.6792612215161366E-2</v>
      </c>
      <c r="AK32" s="302">
        <v>8.6726767468988136E-2</v>
      </c>
      <c r="AL32" s="302">
        <v>8.7331191191001037E-2</v>
      </c>
      <c r="AM32" s="302">
        <v>8.7634971856327029E-2</v>
      </c>
      <c r="AN32" s="302">
        <v>8.814672121601963E-2</v>
      </c>
      <c r="AO32" s="302">
        <v>9.0196951741145184E-2</v>
      </c>
      <c r="AP32" s="302">
        <v>9.0763782135384691E-2</v>
      </c>
      <c r="AQ32" s="302">
        <v>9.0512561694896868E-2</v>
      </c>
      <c r="AR32" s="302">
        <v>9.1001645713806215E-2</v>
      </c>
      <c r="AS32" s="302">
        <v>9.2485811256374367E-2</v>
      </c>
      <c r="AT32" s="302">
        <v>9.3222913381162384E-2</v>
      </c>
      <c r="AU32" s="302">
        <v>9.3784553294475145E-2</v>
      </c>
      <c r="AV32" s="472">
        <f>((AU32-O32)/O32)/32</f>
        <v>6.2182599137349578E-3</v>
      </c>
      <c r="AW32"/>
    </row>
    <row r="33" spans="1:49" s="280" customFormat="1" ht="12.9" customHeight="1">
      <c r="A33" s="280" t="s">
        <v>59</v>
      </c>
      <c r="B33" s="302">
        <v>0</v>
      </c>
      <c r="C33" s="302">
        <v>0</v>
      </c>
      <c r="D33" s="302">
        <v>0</v>
      </c>
      <c r="E33" s="302">
        <v>0</v>
      </c>
      <c r="F33" s="302">
        <v>0</v>
      </c>
      <c r="G33" s="302">
        <v>0</v>
      </c>
      <c r="H33" s="302">
        <v>0</v>
      </c>
      <c r="I33" s="302">
        <v>0</v>
      </c>
      <c r="J33" s="302">
        <v>0</v>
      </c>
      <c r="K33" s="302">
        <v>0</v>
      </c>
      <c r="L33" s="302">
        <v>0</v>
      </c>
      <c r="M33" s="302"/>
      <c r="N33" s="302">
        <v>0</v>
      </c>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472"/>
      <c r="AW33"/>
    </row>
    <row r="34" spans="1:49" s="280" customFormat="1" ht="12.9" customHeight="1">
      <c r="A34" s="280" t="s">
        <v>33</v>
      </c>
      <c r="B34" s="302">
        <v>0</v>
      </c>
      <c r="C34" s="302">
        <v>0</v>
      </c>
      <c r="D34" s="302">
        <v>0</v>
      </c>
      <c r="E34" s="302">
        <v>0</v>
      </c>
      <c r="F34" s="302">
        <v>0</v>
      </c>
      <c r="G34" s="302">
        <v>0</v>
      </c>
      <c r="H34" s="302">
        <v>0</v>
      </c>
      <c r="I34" s="302">
        <v>0</v>
      </c>
      <c r="J34" s="302">
        <v>0</v>
      </c>
      <c r="K34" s="302">
        <v>0</v>
      </c>
      <c r="L34" s="302">
        <v>0</v>
      </c>
      <c r="M34" s="302"/>
      <c r="N34" s="302">
        <v>0</v>
      </c>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472"/>
      <c r="AW34"/>
    </row>
    <row r="35" spans="1:49" s="280" customFormat="1" ht="12.9" customHeight="1">
      <c r="A35" s="280" t="s">
        <v>60</v>
      </c>
      <c r="B35" s="302">
        <v>6.8849999999999995E-2</v>
      </c>
      <c r="C35" s="302">
        <v>7.2876999999999997E-2</v>
      </c>
      <c r="D35" s="302">
        <v>7.5440999999999994E-2</v>
      </c>
      <c r="E35" s="302">
        <v>7.8029000000000001E-2</v>
      </c>
      <c r="F35" s="302">
        <v>7.3422000000000001E-2</v>
      </c>
      <c r="G35" s="302">
        <v>7.3613999999999999E-2</v>
      </c>
      <c r="H35" s="302">
        <v>7.8514E-2</v>
      </c>
      <c r="I35" s="302">
        <v>8.0490999999999993E-2</v>
      </c>
      <c r="J35" s="302">
        <v>8.3570000000000005E-2</v>
      </c>
      <c r="K35" s="302">
        <v>8.2968E-2</v>
      </c>
      <c r="L35" s="302">
        <v>8.1389000000000003E-2</v>
      </c>
      <c r="M35" s="302">
        <v>8.5515999999999995E-2</v>
      </c>
      <c r="N35" s="302">
        <v>8.0656000000000005E-2</v>
      </c>
      <c r="O35" s="302">
        <v>7.8219999999999998E-2</v>
      </c>
      <c r="P35" s="302">
        <v>7.3427707677236026E-2</v>
      </c>
      <c r="Q35" s="302">
        <v>7.8815325228527855E-2</v>
      </c>
      <c r="R35" s="302">
        <v>7.9255221949779603E-2</v>
      </c>
      <c r="S35" s="302">
        <v>8.073632424526718E-2</v>
      </c>
      <c r="T35" s="302">
        <v>8.0835987847515861E-2</v>
      </c>
      <c r="U35" s="302">
        <v>8.8634369465032239E-2</v>
      </c>
      <c r="V35" s="302">
        <v>8.8763001598678962E-2</v>
      </c>
      <c r="W35" s="302">
        <v>9.2079690455712793E-2</v>
      </c>
      <c r="X35" s="302">
        <v>9.0554543431174264E-2</v>
      </c>
      <c r="Y35" s="302">
        <v>9.1826815808754528E-2</v>
      </c>
      <c r="Z35" s="302">
        <v>9.3108931480549093E-2</v>
      </c>
      <c r="AA35" s="302">
        <v>8.7700642944242332E-2</v>
      </c>
      <c r="AB35" s="302">
        <v>8.8315301858828188E-2</v>
      </c>
      <c r="AC35" s="302">
        <v>8.7602517740583696E-2</v>
      </c>
      <c r="AD35" s="302">
        <v>8.6061976441874424E-2</v>
      </c>
      <c r="AE35" s="302">
        <v>8.5927047913930993E-2</v>
      </c>
      <c r="AF35" s="302">
        <v>8.5719136127440587E-2</v>
      </c>
      <c r="AG35" s="302">
        <v>8.5684299491031984E-2</v>
      </c>
      <c r="AH35" s="302">
        <v>8.6047462001434233E-2</v>
      </c>
      <c r="AI35" s="302">
        <v>8.6632598505408845E-2</v>
      </c>
      <c r="AJ35" s="302">
        <v>8.6792612215161366E-2</v>
      </c>
      <c r="AK35" s="302">
        <v>8.6726767468988136E-2</v>
      </c>
      <c r="AL35" s="302">
        <v>8.7331191191001037E-2</v>
      </c>
      <c r="AM35" s="302">
        <v>8.7634971856327029E-2</v>
      </c>
      <c r="AN35" s="302">
        <v>8.814672121601963E-2</v>
      </c>
      <c r="AO35" s="302">
        <v>9.0196951741145184E-2</v>
      </c>
      <c r="AP35" s="302">
        <v>9.0763782135384691E-2</v>
      </c>
      <c r="AQ35" s="302">
        <v>9.0512561694896868E-2</v>
      </c>
      <c r="AR35" s="302">
        <v>9.1001645713806215E-2</v>
      </c>
      <c r="AS35" s="302">
        <v>9.2485811256374367E-2</v>
      </c>
      <c r="AT35" s="302">
        <v>9.3222913381162384E-2</v>
      </c>
      <c r="AU35" s="302">
        <v>9.3784553294475145E-2</v>
      </c>
      <c r="AV35" s="472">
        <f>((AU35-O35)/O35)/32</f>
        <v>6.2182599137349578E-3</v>
      </c>
      <c r="AW35"/>
    </row>
    <row r="36" spans="1:49" s="280" customFormat="1" ht="12.9" customHeight="1">
      <c r="A36" s="280" t="s">
        <v>34</v>
      </c>
      <c r="B36" s="302">
        <v>0</v>
      </c>
      <c r="C36" s="302">
        <v>0</v>
      </c>
      <c r="D36" s="302">
        <v>0</v>
      </c>
      <c r="E36" s="302">
        <v>0</v>
      </c>
      <c r="F36" s="302">
        <v>9.0112102968652682E-6</v>
      </c>
      <c r="G36" s="302">
        <v>0</v>
      </c>
      <c r="H36" s="302">
        <v>0</v>
      </c>
      <c r="I36" s="302">
        <v>0</v>
      </c>
      <c r="J36" s="302">
        <v>0</v>
      </c>
      <c r="K36" s="302">
        <v>0</v>
      </c>
      <c r="L36" s="302">
        <v>0</v>
      </c>
      <c r="M36" s="302"/>
      <c r="N36" s="302">
        <v>0</v>
      </c>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472"/>
      <c r="AW36"/>
    </row>
    <row r="37" spans="1:49" s="280" customFormat="1" ht="12.9" customHeight="1">
      <c r="A37" s="280" t="s">
        <v>35</v>
      </c>
      <c r="B37" s="302">
        <v>3.578721760051585E-3</v>
      </c>
      <c r="C37" s="302">
        <v>3.5378419884432365E-3</v>
      </c>
      <c r="D37" s="302">
        <v>3.601623417064563E-3</v>
      </c>
      <c r="E37" s="302">
        <v>3.4036628607016814E-3</v>
      </c>
      <c r="F37" s="302">
        <v>2.7784565082001247E-3</v>
      </c>
      <c r="G37" s="302">
        <v>2.8077787004359561E-3</v>
      </c>
      <c r="H37" s="302">
        <v>2.9050425576084703E-3</v>
      </c>
      <c r="I37" s="302">
        <v>2.5746315133900765E-3</v>
      </c>
      <c r="J37" s="302">
        <v>2.360078887274237E-3</v>
      </c>
      <c r="K37" s="302">
        <v>2.549671891218601E-3</v>
      </c>
      <c r="L37" s="302">
        <v>2.522852812954121E-3</v>
      </c>
      <c r="M37" s="302">
        <v>1.0173769018919877E-3</v>
      </c>
      <c r="N37" s="302">
        <v>1.7967467372497011E-3</v>
      </c>
      <c r="O37" s="302">
        <v>1.6403479487919937E-3</v>
      </c>
      <c r="P37" s="302">
        <v>1.6465124525147725E-3</v>
      </c>
      <c r="Q37" s="302">
        <v>1.6880947845563745E-3</v>
      </c>
      <c r="R37" s="302">
        <v>1.7239251960243463E-3</v>
      </c>
      <c r="S37" s="302">
        <v>1.7330306253454488E-3</v>
      </c>
      <c r="T37" s="302">
        <v>1.7413978209321523E-3</v>
      </c>
      <c r="U37" s="302">
        <v>1.7482286376690928E-3</v>
      </c>
      <c r="V37" s="302">
        <v>1.7551046708439006E-3</v>
      </c>
      <c r="W37" s="302">
        <v>1.7500388425670918E-3</v>
      </c>
      <c r="X37" s="302">
        <v>1.734980435202185E-3</v>
      </c>
      <c r="Y37" s="302">
        <v>1.7235594941670631E-3</v>
      </c>
      <c r="Z37" s="302">
        <v>1.708649217539246E-3</v>
      </c>
      <c r="AA37" s="302">
        <v>1.6786235953327973E-3</v>
      </c>
      <c r="AB37" s="302">
        <v>1.6524208735581687E-3</v>
      </c>
      <c r="AC37" s="302">
        <v>1.6245844283539958E-3</v>
      </c>
      <c r="AD37" s="302">
        <v>1.5965656661389783E-3</v>
      </c>
      <c r="AE37" s="302">
        <v>1.575172061288258E-3</v>
      </c>
      <c r="AF37" s="302">
        <v>1.549914209055245E-3</v>
      </c>
      <c r="AG37" s="302">
        <v>1.5403294535343628E-3</v>
      </c>
      <c r="AH37" s="302">
        <v>1.5337467693628604E-3</v>
      </c>
      <c r="AI37" s="302">
        <v>1.5302684507543501E-3</v>
      </c>
      <c r="AJ37" s="302">
        <v>1.5248628206317057E-3</v>
      </c>
      <c r="AK37" s="302">
        <v>1.5211784954781667E-3</v>
      </c>
      <c r="AL37" s="302">
        <v>1.519317108744659E-3</v>
      </c>
      <c r="AM37" s="302">
        <v>1.5155320142106719E-3</v>
      </c>
      <c r="AN37" s="302">
        <v>1.5127922722432739E-3</v>
      </c>
      <c r="AO37" s="302">
        <v>1.5102622577591541E-3</v>
      </c>
      <c r="AP37" s="302">
        <v>1.508458625494268E-3</v>
      </c>
      <c r="AQ37" s="302">
        <v>1.506115670313071E-3</v>
      </c>
      <c r="AR37" s="302">
        <v>1.5048285429038841E-3</v>
      </c>
      <c r="AS37" s="302">
        <v>1.4709901836091749E-3</v>
      </c>
      <c r="AT37" s="302">
        <v>1.4692824309324188E-3</v>
      </c>
      <c r="AU37" s="302">
        <v>1.4687056256730562E-3</v>
      </c>
      <c r="AV37" s="472">
        <f>((AU37-O37)/O37)/32</f>
        <v>-3.2699297739951405E-3</v>
      </c>
      <c r="AW37"/>
    </row>
    <row r="38" spans="1:49" s="280" customFormat="1" ht="12.9" customHeight="1">
      <c r="A38" s="280" t="s">
        <v>61</v>
      </c>
      <c r="B38" s="302">
        <v>0</v>
      </c>
      <c r="C38" s="302">
        <v>0</v>
      </c>
      <c r="D38" s="302">
        <v>0</v>
      </c>
      <c r="E38" s="302">
        <v>0</v>
      </c>
      <c r="F38" s="302">
        <v>0</v>
      </c>
      <c r="G38" s="302">
        <v>0</v>
      </c>
      <c r="H38" s="302">
        <v>0</v>
      </c>
      <c r="I38" s="302">
        <v>0</v>
      </c>
      <c r="J38" s="302">
        <v>0</v>
      </c>
      <c r="K38" s="302">
        <v>0</v>
      </c>
      <c r="L38" s="302">
        <v>0</v>
      </c>
      <c r="M38" s="302"/>
      <c r="N38" s="302">
        <v>0</v>
      </c>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472"/>
      <c r="AW38"/>
    </row>
    <row r="39" spans="1:49" s="280" customFormat="1" ht="12.9" customHeight="1">
      <c r="A39" s="280" t="s">
        <v>62</v>
      </c>
      <c r="B39" s="302">
        <v>0</v>
      </c>
      <c r="C39" s="302">
        <v>0</v>
      </c>
      <c r="D39" s="302">
        <v>0</v>
      </c>
      <c r="E39" s="302">
        <v>0</v>
      </c>
      <c r="F39" s="302">
        <v>0</v>
      </c>
      <c r="G39" s="302">
        <v>0</v>
      </c>
      <c r="H39" s="302">
        <v>0</v>
      </c>
      <c r="I39" s="302">
        <v>0</v>
      </c>
      <c r="J39" s="302">
        <v>0</v>
      </c>
      <c r="K39" s="302">
        <v>0</v>
      </c>
      <c r="L39" s="302">
        <v>0</v>
      </c>
      <c r="M39" s="302"/>
      <c r="N39" s="302">
        <v>0</v>
      </c>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472"/>
      <c r="AW39"/>
    </row>
    <row r="40" spans="1:49" s="280" customFormat="1" ht="12.9" customHeight="1">
      <c r="A40" s="280" t="s">
        <v>63</v>
      </c>
      <c r="B40" s="302">
        <v>3.578721760051585E-3</v>
      </c>
      <c r="C40" s="302">
        <v>3.5378419884432365E-3</v>
      </c>
      <c r="D40" s="302">
        <v>3.601623417064563E-3</v>
      </c>
      <c r="E40" s="302">
        <v>3.4036628607016814E-3</v>
      </c>
      <c r="F40" s="302">
        <v>2.7874677184969894E-3</v>
      </c>
      <c r="G40" s="302">
        <v>2.8077787004359561E-3</v>
      </c>
      <c r="H40" s="302">
        <v>2.9050425576084703E-3</v>
      </c>
      <c r="I40" s="302">
        <v>2.5746315133900765E-3</v>
      </c>
      <c r="J40" s="302">
        <v>2.360078887274237E-3</v>
      </c>
      <c r="K40" s="302">
        <v>2.549671891218601E-3</v>
      </c>
      <c r="L40" s="302">
        <v>2.522852812954121E-3</v>
      </c>
      <c r="M40" s="302">
        <v>1.6812374124580017E-3</v>
      </c>
      <c r="N40" s="302">
        <v>1.7967467372497011E-3</v>
      </c>
      <c r="O40" s="302">
        <v>1.6403479487919937E-3</v>
      </c>
      <c r="P40" s="302">
        <v>1.6465124525147725E-3</v>
      </c>
      <c r="Q40" s="302">
        <v>1.6880947845563745E-3</v>
      </c>
      <c r="R40" s="302">
        <v>1.7239251960243463E-3</v>
      </c>
      <c r="S40" s="302">
        <v>1.7330306253454488E-3</v>
      </c>
      <c r="T40" s="302">
        <v>1.7413978209321523E-3</v>
      </c>
      <c r="U40" s="302">
        <v>1.7482286376690928E-3</v>
      </c>
      <c r="V40" s="302">
        <v>1.7551046708439006E-3</v>
      </c>
      <c r="W40" s="302">
        <v>1.7500388425670918E-3</v>
      </c>
      <c r="X40" s="302">
        <v>1.734980435202185E-3</v>
      </c>
      <c r="Y40" s="302">
        <v>1.7235594941670631E-3</v>
      </c>
      <c r="Z40" s="302">
        <v>1.708649217539246E-3</v>
      </c>
      <c r="AA40" s="302">
        <v>1.6786235953327973E-3</v>
      </c>
      <c r="AB40" s="302">
        <v>1.6524208735581687E-3</v>
      </c>
      <c r="AC40" s="302">
        <v>1.6245844283539958E-3</v>
      </c>
      <c r="AD40" s="302">
        <v>1.5965656661389783E-3</v>
      </c>
      <c r="AE40" s="302">
        <v>1.575172061288258E-3</v>
      </c>
      <c r="AF40" s="302">
        <v>1.549914209055245E-3</v>
      </c>
      <c r="AG40" s="302">
        <v>1.5403294535343628E-3</v>
      </c>
      <c r="AH40" s="302">
        <v>1.5337467693628604E-3</v>
      </c>
      <c r="AI40" s="302">
        <v>1.5302684507543501E-3</v>
      </c>
      <c r="AJ40" s="302">
        <v>1.5248628206317057E-3</v>
      </c>
      <c r="AK40" s="302">
        <v>1.5211784954781667E-3</v>
      </c>
      <c r="AL40" s="302">
        <v>1.519317108744659E-3</v>
      </c>
      <c r="AM40" s="302">
        <v>1.5155320142106719E-3</v>
      </c>
      <c r="AN40" s="302">
        <v>1.5127922722432739E-3</v>
      </c>
      <c r="AO40" s="302">
        <v>1.5102622577591541E-3</v>
      </c>
      <c r="AP40" s="302">
        <v>1.508458625494268E-3</v>
      </c>
      <c r="AQ40" s="302">
        <v>1.506115670313071E-3</v>
      </c>
      <c r="AR40" s="302">
        <v>1.5048285429038841E-3</v>
      </c>
      <c r="AS40" s="302">
        <v>1.4709901836091749E-3</v>
      </c>
      <c r="AT40" s="302">
        <v>1.4692824309324188E-3</v>
      </c>
      <c r="AU40" s="302">
        <v>1.4687056256730562E-3</v>
      </c>
      <c r="AV40" s="472">
        <f>((AU40-O40)/O40)/32</f>
        <v>-3.2699297739951405E-3</v>
      </c>
      <c r="AW40"/>
    </row>
    <row r="41" spans="1:49" s="280" customFormat="1" ht="12.9" customHeight="1">
      <c r="A41" s="280" t="s">
        <v>64</v>
      </c>
      <c r="B41" s="302">
        <v>1.5117250181316221E-4</v>
      </c>
      <c r="C41" s="302">
        <v>3.3037776342387145E-4</v>
      </c>
      <c r="D41" s="302">
        <v>4.8742678527615536E-4</v>
      </c>
      <c r="E41" s="302">
        <v>6.5784096757521247E-3</v>
      </c>
      <c r="F41" s="302">
        <v>4.1496094140132276E-3</v>
      </c>
      <c r="G41" s="302">
        <v>2.2961283206401749E-2</v>
      </c>
      <c r="H41" s="302">
        <v>1.2303822477270977E-2</v>
      </c>
      <c r="I41" s="302">
        <v>1.9445217497718964E-2</v>
      </c>
      <c r="J41" s="302">
        <v>1.9260024950121642E-2</v>
      </c>
      <c r="K41" s="302">
        <v>1.993060716497155E-2</v>
      </c>
      <c r="L41" s="302">
        <v>2.2542748048831798E-2</v>
      </c>
      <c r="M41" s="302">
        <v>1.6021667371164956E-2</v>
      </c>
      <c r="N41" s="302">
        <v>1.8509990455494323E-2</v>
      </c>
      <c r="O41" s="302">
        <v>1.8464276103544501E-2</v>
      </c>
      <c r="P41" s="302">
        <v>1.9857683588343042E-2</v>
      </c>
      <c r="Q41" s="302">
        <v>1.9931605016656011E-2</v>
      </c>
      <c r="R41" s="302">
        <v>1.9904553654712998E-2</v>
      </c>
      <c r="S41" s="302">
        <v>1.9755530985229676E-2</v>
      </c>
      <c r="T41" s="302">
        <v>1.9489430112468429E-2</v>
      </c>
      <c r="U41" s="302">
        <v>1.9205489729821446E-2</v>
      </c>
      <c r="V41" s="302">
        <v>1.8746957874656019E-2</v>
      </c>
      <c r="W41" s="302">
        <v>1.8510791076211917E-2</v>
      </c>
      <c r="X41" s="302">
        <v>1.8959067318571818E-2</v>
      </c>
      <c r="Y41" s="302">
        <v>1.945380221188452E-2</v>
      </c>
      <c r="Z41" s="302">
        <v>1.9235051426312568E-2</v>
      </c>
      <c r="AA41" s="302">
        <v>1.8805229842529799E-2</v>
      </c>
      <c r="AB41" s="302">
        <v>1.8335063157837048E-2</v>
      </c>
      <c r="AC41" s="302">
        <v>1.7915189118480078E-2</v>
      </c>
      <c r="AD41" s="302">
        <v>1.7212096363761937E-2</v>
      </c>
      <c r="AE41" s="302">
        <v>1.6322777084342401E-2</v>
      </c>
      <c r="AF41" s="302">
        <v>1.5786525296825282E-2</v>
      </c>
      <c r="AG41" s="302">
        <v>1.5528003091313707E-2</v>
      </c>
      <c r="AH41" s="302">
        <v>1.5312244463964434E-2</v>
      </c>
      <c r="AI41" s="302">
        <v>1.5142149974394236E-2</v>
      </c>
      <c r="AJ41" s="302">
        <v>1.4993590234944927E-2</v>
      </c>
      <c r="AK41" s="302">
        <v>1.4926882105343526E-2</v>
      </c>
      <c r="AL41" s="302">
        <v>1.4884497598546308E-2</v>
      </c>
      <c r="AM41" s="302">
        <v>1.4863345688138753E-2</v>
      </c>
      <c r="AN41" s="302">
        <v>1.4845307238206235E-2</v>
      </c>
      <c r="AO41" s="302">
        <v>1.4807208461384162E-2</v>
      </c>
      <c r="AP41" s="302">
        <v>1.4794379705789095E-2</v>
      </c>
      <c r="AQ41" s="302">
        <v>1.4770433665563484E-2</v>
      </c>
      <c r="AR41" s="302">
        <v>1.4656858331905847E-2</v>
      </c>
      <c r="AS41" s="302">
        <v>1.4292162560295456E-2</v>
      </c>
      <c r="AT41" s="302">
        <v>1.2780942333082168E-2</v>
      </c>
      <c r="AU41" s="302">
        <v>1.3030430440222484E-2</v>
      </c>
      <c r="AV41" s="472">
        <f t="shared" ref="AV41:AV43" si="3">((AU41-O41)/O41)/32</f>
        <v>-9.1965520893730474E-3</v>
      </c>
      <c r="AW41"/>
    </row>
    <row r="42" spans="1:49" s="280" customFormat="1" ht="12.9" customHeight="1">
      <c r="A42" s="280" t="s">
        <v>65</v>
      </c>
      <c r="B42" s="531">
        <v>5.7077000000000003E-2</v>
      </c>
      <c r="C42" s="531">
        <v>8.1279000000000004E-2</v>
      </c>
      <c r="D42" s="531">
        <v>5.5065999999999997E-2</v>
      </c>
      <c r="E42" s="531">
        <v>5.5499E-2</v>
      </c>
      <c r="F42" s="531">
        <v>5.6826000000000002E-2</v>
      </c>
      <c r="G42" s="531">
        <v>7.6332999999999998E-2</v>
      </c>
      <c r="H42" s="531">
        <v>7.4995999999999993E-2</v>
      </c>
      <c r="I42" s="531">
        <v>7.8010999999999997E-2</v>
      </c>
      <c r="J42" s="531">
        <v>7.8285999999999994E-2</v>
      </c>
      <c r="K42" s="531">
        <v>7.8298000000000006E-2</v>
      </c>
      <c r="L42" s="531">
        <v>7.8807000000000002E-2</v>
      </c>
      <c r="M42" s="531">
        <v>8.4869E-2</v>
      </c>
      <c r="N42" s="302">
        <v>8.540103855387475E-2</v>
      </c>
      <c r="O42" s="302">
        <v>8.5583858738779425E-2</v>
      </c>
      <c r="P42" s="302">
        <v>8.2858211326446135E-2</v>
      </c>
      <c r="Q42" s="302">
        <v>8.3668776655054178E-2</v>
      </c>
      <c r="R42" s="302">
        <v>8.4716595275807327E-2</v>
      </c>
      <c r="S42" s="302">
        <v>8.5670972603601347E-2</v>
      </c>
      <c r="T42" s="302">
        <v>8.6917968076144325E-2</v>
      </c>
      <c r="U42" s="302">
        <v>8.8426820926902586E-2</v>
      </c>
      <c r="V42" s="302">
        <v>9.0115095033447654E-2</v>
      </c>
      <c r="W42" s="302">
        <v>9.1439741219754817E-2</v>
      </c>
      <c r="X42" s="302">
        <v>9.2090445477341368E-2</v>
      </c>
      <c r="Y42" s="302">
        <v>9.2958422504544044E-2</v>
      </c>
      <c r="Z42" s="302">
        <v>9.3660659984112646E-2</v>
      </c>
      <c r="AA42" s="302">
        <v>9.4007640510720317E-2</v>
      </c>
      <c r="AB42" s="302">
        <v>9.4605351545353364E-2</v>
      </c>
      <c r="AC42" s="302">
        <v>9.5137475749418096E-2</v>
      </c>
      <c r="AD42" s="302">
        <v>9.5725354968435108E-2</v>
      </c>
      <c r="AE42" s="302">
        <v>9.6710070356489486E-2</v>
      </c>
      <c r="AF42" s="302">
        <v>9.7534558432786689E-2</v>
      </c>
      <c r="AG42" s="302">
        <v>9.8313764190817096E-2</v>
      </c>
      <c r="AH42" s="302">
        <v>9.9068758673914389E-2</v>
      </c>
      <c r="AI42" s="302">
        <v>0.10009642718358873</v>
      </c>
      <c r="AJ42" s="302">
        <v>0.10090242719094798</v>
      </c>
      <c r="AK42" s="302">
        <v>0.10181994731134444</v>
      </c>
      <c r="AL42" s="302">
        <v>0.10284657917376447</v>
      </c>
      <c r="AM42" s="302">
        <v>0.10361353234397962</v>
      </c>
      <c r="AN42" s="302">
        <v>0.1041230053168461</v>
      </c>
      <c r="AO42" s="302">
        <v>0.10470628099910594</v>
      </c>
      <c r="AP42" s="302">
        <v>0.10519972109153594</v>
      </c>
      <c r="AQ42" s="302">
        <v>0.10569554469043178</v>
      </c>
      <c r="AR42" s="302">
        <v>0.10622253001050991</v>
      </c>
      <c r="AS42" s="302">
        <v>0.1066857944186822</v>
      </c>
      <c r="AT42" s="302">
        <v>0.10705859294829022</v>
      </c>
      <c r="AU42" s="302">
        <v>0.10758790876198963</v>
      </c>
      <c r="AV42" s="472">
        <f t="shared" si="3"/>
        <v>8.0345356397647956E-3</v>
      </c>
      <c r="AW42"/>
    </row>
    <row r="43" spans="1:49" s="280" customFormat="1" ht="12.9" customHeight="1">
      <c r="A43" s="178" t="s">
        <v>25</v>
      </c>
      <c r="B43" s="302">
        <v>7.5468999999999994E-2</v>
      </c>
      <c r="C43" s="302">
        <v>7.5128E-2</v>
      </c>
      <c r="D43" s="302">
        <v>7.0833999999999994E-2</v>
      </c>
      <c r="E43" s="302">
        <v>7.2075E-2</v>
      </c>
      <c r="F43" s="302">
        <v>7.9757999999999996E-2</v>
      </c>
      <c r="G43" s="302">
        <v>9.0898999999999994E-2</v>
      </c>
      <c r="H43" s="302">
        <v>9.5336000000000004E-2</v>
      </c>
      <c r="I43" s="302">
        <v>9.4113000000000002E-2</v>
      </c>
      <c r="J43" s="302">
        <v>9.2924999999999994E-2</v>
      </c>
      <c r="K43" s="302">
        <v>9.5579999999999998E-2</v>
      </c>
      <c r="L43" s="302">
        <v>9.1346999999999998E-2</v>
      </c>
      <c r="M43" s="302">
        <v>8.7614999999999998E-2</v>
      </c>
      <c r="N43" s="302">
        <v>7.9113691602328631E-2</v>
      </c>
      <c r="O43" s="302">
        <v>7.7954661432515573E-2</v>
      </c>
      <c r="P43" s="302">
        <v>7.6752025458178413E-2</v>
      </c>
      <c r="Q43" s="302">
        <v>7.7126403264409726E-2</v>
      </c>
      <c r="R43" s="302">
        <v>7.7667531049300881E-2</v>
      </c>
      <c r="S43" s="302">
        <v>7.8198788753099435E-2</v>
      </c>
      <c r="T43" s="302">
        <v>7.8785154950282557E-2</v>
      </c>
      <c r="U43" s="302">
        <v>7.9442426141063602E-2</v>
      </c>
      <c r="V43" s="302">
        <v>8.0167909367696119E-2</v>
      </c>
      <c r="W43" s="302">
        <v>8.0897593021131878E-2</v>
      </c>
      <c r="X43" s="302">
        <v>8.1679270870043535E-2</v>
      </c>
      <c r="Y43" s="302">
        <v>8.2424902624204877E-2</v>
      </c>
      <c r="Z43" s="302">
        <v>8.3391899465860855E-2</v>
      </c>
      <c r="AA43" s="302">
        <v>8.4586700660909939E-2</v>
      </c>
      <c r="AB43" s="302">
        <v>8.4860235445374327E-2</v>
      </c>
      <c r="AC43" s="302">
        <v>8.612515460883996E-2</v>
      </c>
      <c r="AD43" s="302">
        <v>8.740133693918567E-2</v>
      </c>
      <c r="AE43" s="302">
        <v>8.8691843127832695E-2</v>
      </c>
      <c r="AF43" s="302">
        <v>9.0064827165391381E-2</v>
      </c>
      <c r="AG43" s="302">
        <v>9.0971180114601757E-2</v>
      </c>
      <c r="AH43" s="302">
        <v>9.2118655483176798E-2</v>
      </c>
      <c r="AI43" s="302">
        <v>9.3266130851752227E-2</v>
      </c>
      <c r="AJ43" s="302">
        <v>9.4413606220327254E-2</v>
      </c>
      <c r="AK43" s="302">
        <v>9.556108158890228E-2</v>
      </c>
      <c r="AL43" s="302">
        <v>9.6708556957477321E-2</v>
      </c>
      <c r="AM43" s="302">
        <v>9.7856032326052347E-2</v>
      </c>
      <c r="AN43" s="302">
        <v>9.9003507694627374E-2</v>
      </c>
      <c r="AO43" s="302">
        <v>0.10015098306320241</v>
      </c>
      <c r="AP43" s="302">
        <v>0.10129845843177783</v>
      </c>
      <c r="AQ43" s="302">
        <v>0.10244593380035287</v>
      </c>
      <c r="AR43" s="302">
        <v>0.1035934091689279</v>
      </c>
      <c r="AS43" s="302">
        <v>0.10474088453750292</v>
      </c>
      <c r="AT43" s="302">
        <v>0.10588835990607796</v>
      </c>
      <c r="AU43" s="302">
        <v>0.10703583527465299</v>
      </c>
      <c r="AV43" s="472">
        <f t="shared" si="3"/>
        <v>1.1657887621685332E-2</v>
      </c>
      <c r="AW43"/>
    </row>
    <row r="44" spans="1:49" customFormat="1" ht="12.9" customHeight="1">
      <c r="B44" s="466"/>
      <c r="C44" s="466"/>
      <c r="D44" s="466"/>
      <c r="E44" s="466"/>
      <c r="F44" s="466"/>
      <c r="G44" s="466"/>
      <c r="H44" s="466"/>
      <c r="I44" s="466"/>
      <c r="J44" s="466"/>
      <c r="K44" s="466"/>
      <c r="L44" s="466"/>
      <c r="M44" s="469"/>
      <c r="N44" s="165"/>
      <c r="O44" s="165"/>
      <c r="P44" s="165"/>
      <c r="Q44" s="165"/>
      <c r="R44" s="165"/>
      <c r="S44" s="165"/>
      <c r="T44" s="165"/>
      <c r="U44" s="165"/>
      <c r="V44" s="165"/>
      <c r="W44" s="165"/>
      <c r="X44" s="165"/>
      <c r="Y44" s="165"/>
      <c r="Z44" s="165"/>
      <c r="AA44" s="165"/>
      <c r="AB44" s="165"/>
      <c r="AC44" s="165"/>
      <c r="AD44" s="165"/>
      <c r="AE44" s="165"/>
      <c r="AF44" s="165"/>
      <c r="AG44" s="466"/>
      <c r="AH44" s="466"/>
      <c r="AI44" s="466"/>
      <c r="AJ44" s="466"/>
      <c r="AK44" s="466"/>
      <c r="AL44" s="466"/>
      <c r="AM44" s="466"/>
      <c r="AN44" s="466"/>
      <c r="AO44" s="466"/>
      <c r="AP44" s="466"/>
      <c r="AQ44" s="466"/>
      <c r="AR44" s="466"/>
      <c r="AS44" s="466"/>
      <c r="AT44" s="466"/>
      <c r="AU44" s="466"/>
      <c r="AV44" s="470"/>
    </row>
    <row r="45" spans="1:49" s="280" customFormat="1" ht="12.9" customHeight="1">
      <c r="A45" s="178" t="s">
        <v>79</v>
      </c>
      <c r="B45" s="466"/>
      <c r="C45" s="466"/>
      <c r="D45" s="466"/>
      <c r="E45" s="466"/>
      <c r="F45" s="466"/>
      <c r="G45" s="466"/>
      <c r="H45" s="466"/>
      <c r="I45" s="466"/>
      <c r="J45" s="466"/>
      <c r="K45" s="466"/>
      <c r="L45" s="466"/>
      <c r="M45" s="469"/>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70"/>
      <c r="AW45"/>
    </row>
    <row r="46" spans="1:49" s="280" customFormat="1" ht="12.9" customHeight="1">
      <c r="A46" s="178" t="s">
        <v>22</v>
      </c>
      <c r="B46" s="302">
        <v>4.2423761954981981E-4</v>
      </c>
      <c r="C46" s="302">
        <v>6.351856816031574E-4</v>
      </c>
      <c r="D46" s="302">
        <v>1.212686392762524E-3</v>
      </c>
      <c r="E46" s="302">
        <v>8.6348350479425789E-4</v>
      </c>
      <c r="F46" s="302">
        <v>1.6922451315234894E-3</v>
      </c>
      <c r="G46" s="302">
        <v>1.4259779294476865E-3</v>
      </c>
      <c r="H46" s="302">
        <v>1.7364907247149229E-3</v>
      </c>
      <c r="I46" s="302">
        <v>1.5872858544012094E-3</v>
      </c>
      <c r="J46" s="302">
        <v>1.3888751226010583E-3</v>
      </c>
      <c r="K46" s="302">
        <v>3.1130643819443719E-4</v>
      </c>
      <c r="L46" s="302">
        <v>3.3590936893765594E-4</v>
      </c>
      <c r="M46" s="302">
        <v>1.491881664744835E-4</v>
      </c>
      <c r="N46" s="302">
        <v>1.9733397214914304E-4</v>
      </c>
      <c r="O46" s="302">
        <v>2.1323096106095376E-4</v>
      </c>
      <c r="P46" s="302">
        <v>2.1042384794007823E-4</v>
      </c>
      <c r="Q46" s="302">
        <v>2.124599748619255E-4</v>
      </c>
      <c r="R46" s="302">
        <v>2.094872297641385E-4</v>
      </c>
      <c r="S46" s="302">
        <v>2.0616958886885068E-4</v>
      </c>
      <c r="T46" s="302">
        <v>2.0362087801463895E-4</v>
      </c>
      <c r="U46" s="302">
        <v>2.0026611174161148E-4</v>
      </c>
      <c r="V46" s="302">
        <v>1.9598459046485332E-4</v>
      </c>
      <c r="W46" s="302">
        <v>1.9293182959015701E-4</v>
      </c>
      <c r="X46" s="302">
        <v>1.9200546584283705E-4</v>
      </c>
      <c r="Y46" s="302">
        <v>1.9050366088968422E-4</v>
      </c>
      <c r="Z46" s="302">
        <v>1.8936917358138147E-4</v>
      </c>
      <c r="AA46" s="302">
        <v>1.8846082903892645E-4</v>
      </c>
      <c r="AB46" s="302">
        <v>1.8687219470758736E-4</v>
      </c>
      <c r="AC46" s="302">
        <v>1.8668249048719036E-4</v>
      </c>
      <c r="AD46" s="302">
        <v>1.8666408102127315E-4</v>
      </c>
      <c r="AE46" s="302">
        <v>1.869129772136131E-4</v>
      </c>
      <c r="AF46" s="302">
        <v>1.8761602648800524E-4</v>
      </c>
      <c r="AG46" s="302">
        <v>1.8938452405697025E-4</v>
      </c>
      <c r="AH46" s="302">
        <v>1.9125541971701129E-4</v>
      </c>
      <c r="AI46" s="302">
        <v>1.935756955252716E-4</v>
      </c>
      <c r="AJ46" s="302">
        <v>1.9603144782302074E-4</v>
      </c>
      <c r="AK46" s="302">
        <v>1.9861520846274104E-4</v>
      </c>
      <c r="AL46" s="302">
        <v>2.0166897574439704E-4</v>
      </c>
      <c r="AM46" s="302">
        <v>2.045700507254237E-4</v>
      </c>
      <c r="AN46" s="302">
        <v>2.0740358605042877E-4</v>
      </c>
      <c r="AO46" s="302">
        <v>2.1028419692248359E-4</v>
      </c>
      <c r="AP46" s="302">
        <v>2.1333150054715533E-4</v>
      </c>
      <c r="AQ46" s="302">
        <v>2.1654963977107844E-4</v>
      </c>
      <c r="AR46" s="302">
        <v>2.2039128607278166E-4</v>
      </c>
      <c r="AS46" s="302">
        <v>2.2337430921671856E-4</v>
      </c>
      <c r="AT46" s="302">
        <v>2.268622544997448E-4</v>
      </c>
      <c r="AU46" s="302">
        <v>2.3096445635893098E-4</v>
      </c>
      <c r="AV46" s="472">
        <f>((AU46-O46)/O46)/32</f>
        <v>2.5989271225175118E-3</v>
      </c>
      <c r="AW46"/>
    </row>
    <row r="47" spans="1:49" s="280" customFormat="1" ht="12.9" customHeight="1">
      <c r="A47" s="178" t="s">
        <v>66</v>
      </c>
      <c r="B47" s="302">
        <v>3.23656049637422E-5</v>
      </c>
      <c r="C47" s="302">
        <v>2.7250798186578767E-5</v>
      </c>
      <c r="D47" s="302">
        <v>3.5721331171286214E-5</v>
      </c>
      <c r="E47" s="302">
        <v>5.688453492182183E-5</v>
      </c>
      <c r="F47" s="302">
        <v>4.9605471211446521E-5</v>
      </c>
      <c r="G47" s="302">
        <v>1.4719884392092283E-4</v>
      </c>
      <c r="H47" s="302">
        <v>3.531693874293204E-5</v>
      </c>
      <c r="I47" s="302">
        <v>1.3479747611806121E-4</v>
      </c>
      <c r="J47" s="302">
        <v>4.0439242835418361E-4</v>
      </c>
      <c r="K47" s="302">
        <v>6.4230997370256159E-4</v>
      </c>
      <c r="L47" s="302">
        <v>7.8088177915192861E-4</v>
      </c>
      <c r="M47" s="302">
        <v>1.670670376527204E-4</v>
      </c>
      <c r="N47" s="302">
        <v>1.9427243093761786E-4</v>
      </c>
      <c r="O47" s="302">
        <v>1.2392400083535229E-3</v>
      </c>
      <c r="P47" s="302">
        <v>1.1558468183663075E-3</v>
      </c>
      <c r="Q47" s="302">
        <v>1.3055523278506971E-3</v>
      </c>
      <c r="R47" s="302">
        <v>1.727965763365891E-3</v>
      </c>
      <c r="S47" s="302">
        <v>2.0401490238913704E-3</v>
      </c>
      <c r="T47" s="302">
        <v>2.3789641150970806E-3</v>
      </c>
      <c r="U47" s="302">
        <v>3.4020983852157691E-3</v>
      </c>
      <c r="V47" s="302">
        <v>4.688860232603044E-3</v>
      </c>
      <c r="W47" s="302">
        <v>4.9531335145298581E-3</v>
      </c>
      <c r="X47" s="302">
        <v>5.4414840253433957E-3</v>
      </c>
      <c r="Y47" s="302">
        <v>5.9485273858226129E-3</v>
      </c>
      <c r="Z47" s="302">
        <v>6.2071705853552267E-3</v>
      </c>
      <c r="AA47" s="302">
        <v>7.4584370104774271E-3</v>
      </c>
      <c r="AB47" s="302">
        <v>7.6631596795479979E-3</v>
      </c>
      <c r="AC47" s="302">
        <v>7.7012019149217811E-3</v>
      </c>
      <c r="AD47" s="302">
        <v>7.6755488678209886E-3</v>
      </c>
      <c r="AE47" s="302">
        <v>7.2168733955999039E-3</v>
      </c>
      <c r="AF47" s="302">
        <v>7.1940996702741225E-3</v>
      </c>
      <c r="AG47" s="302">
        <v>7.2861244896152743E-3</v>
      </c>
      <c r="AH47" s="302">
        <v>7.2923906747502246E-3</v>
      </c>
      <c r="AI47" s="302">
        <v>7.3565387427385444E-3</v>
      </c>
      <c r="AJ47" s="302">
        <v>7.3985492571900418E-3</v>
      </c>
      <c r="AK47" s="302">
        <v>7.4438293448614084E-3</v>
      </c>
      <c r="AL47" s="302">
        <v>7.4414307397944459E-3</v>
      </c>
      <c r="AM47" s="302">
        <v>7.4731783656866264E-3</v>
      </c>
      <c r="AN47" s="302">
        <v>7.3804551833092759E-3</v>
      </c>
      <c r="AO47" s="302">
        <v>7.563956578787329E-3</v>
      </c>
      <c r="AP47" s="302">
        <v>7.4130200226463026E-3</v>
      </c>
      <c r="AQ47" s="302">
        <v>7.3612072007431624E-3</v>
      </c>
      <c r="AR47" s="302">
        <v>7.2367917665336371E-3</v>
      </c>
      <c r="AS47" s="302">
        <v>7.1164422649481387E-3</v>
      </c>
      <c r="AT47" s="302">
        <v>6.8187425377562666E-3</v>
      </c>
      <c r="AU47" s="302">
        <v>7.0427869394741561E-3</v>
      </c>
      <c r="AV47" s="472">
        <f t="shared" ref="AV47:AV56" si="4">((AU47-O47)/O47)/32</f>
        <v>0.14634843966866365</v>
      </c>
      <c r="AW47"/>
    </row>
    <row r="48" spans="1:49" s="280" customFormat="1" ht="12.9" customHeight="1">
      <c r="A48" s="474" t="s">
        <v>28</v>
      </c>
      <c r="B48" s="302">
        <v>0.33172400000000002</v>
      </c>
      <c r="C48" s="302">
        <v>0.33359499999999997</v>
      </c>
      <c r="D48" s="302">
        <v>0.33381499999999997</v>
      </c>
      <c r="E48" s="302">
        <v>0.32218200000000002</v>
      </c>
      <c r="F48" s="302">
        <v>0.32433600000000001</v>
      </c>
      <c r="G48" s="302">
        <v>0.317909</v>
      </c>
      <c r="H48" s="302">
        <v>0.31439299999999998</v>
      </c>
      <c r="I48" s="302">
        <v>0.31125399999999998</v>
      </c>
      <c r="J48" s="302">
        <v>0.32394099999999998</v>
      </c>
      <c r="K48" s="302">
        <v>0.32282100000000002</v>
      </c>
      <c r="L48" s="302">
        <v>0.32627099999999998</v>
      </c>
      <c r="M48" s="302">
        <v>0.31780999999999998</v>
      </c>
      <c r="N48" s="302">
        <v>0.30657252640873284</v>
      </c>
      <c r="O48" s="302">
        <v>0.30667021501383362</v>
      </c>
      <c r="P48" s="302">
        <v>0.30686169659318002</v>
      </c>
      <c r="Q48" s="302">
        <v>0.30401904537031593</v>
      </c>
      <c r="R48" s="302">
        <v>0.29895461961369929</v>
      </c>
      <c r="S48" s="302">
        <v>0.29337486859784284</v>
      </c>
      <c r="T48" s="302">
        <v>0.28833780030074962</v>
      </c>
      <c r="U48" s="302">
        <v>0.28360746931744402</v>
      </c>
      <c r="V48" s="302">
        <v>0.27777893764721673</v>
      </c>
      <c r="W48" s="302">
        <v>0.27221474431375403</v>
      </c>
      <c r="X48" s="302">
        <v>0.26712107632983051</v>
      </c>
      <c r="Y48" s="302">
        <v>0.26202769040466711</v>
      </c>
      <c r="Z48" s="302">
        <v>0.25710882626846704</v>
      </c>
      <c r="AA48" s="302">
        <v>0.25145303951396974</v>
      </c>
      <c r="AB48" s="302">
        <v>0.24636323690038947</v>
      </c>
      <c r="AC48" s="302">
        <v>0.24205532340398039</v>
      </c>
      <c r="AD48" s="302">
        <v>0.23779323007253853</v>
      </c>
      <c r="AE48" s="302">
        <v>0.23361464771308096</v>
      </c>
      <c r="AF48" s="302">
        <v>0.2298880851464099</v>
      </c>
      <c r="AG48" s="302">
        <v>0.22648818910560187</v>
      </c>
      <c r="AH48" s="302">
        <v>0.22344129323809714</v>
      </c>
      <c r="AI48" s="302">
        <v>0.22070064752116125</v>
      </c>
      <c r="AJ48" s="302">
        <v>0.21816700855072449</v>
      </c>
      <c r="AK48" s="302">
        <v>0.21593127456320688</v>
      </c>
      <c r="AL48" s="302">
        <v>0.21411982758884565</v>
      </c>
      <c r="AM48" s="302">
        <v>0.2123565428062473</v>
      </c>
      <c r="AN48" s="302">
        <v>0.21074806764767304</v>
      </c>
      <c r="AO48" s="302">
        <v>0.20908366339032033</v>
      </c>
      <c r="AP48" s="302">
        <v>0.20761563302734504</v>
      </c>
      <c r="AQ48" s="302">
        <v>0.20615935043167086</v>
      </c>
      <c r="AR48" s="302">
        <v>0.20477911647472435</v>
      </c>
      <c r="AS48" s="302">
        <v>0.20342039440757914</v>
      </c>
      <c r="AT48" s="302">
        <v>0.20214612038386814</v>
      </c>
      <c r="AU48" s="302">
        <v>0.20060458544635495</v>
      </c>
      <c r="AV48" s="472">
        <f t="shared" si="4"/>
        <v>-1.0808193172050283E-2</v>
      </c>
      <c r="AW48"/>
    </row>
    <row r="49" spans="1:49" s="280" customFormat="1" ht="12.9" customHeight="1">
      <c r="A49" s="11" t="s">
        <v>37</v>
      </c>
      <c r="B49" s="302">
        <v>0.104784</v>
      </c>
      <c r="C49" s="302">
        <v>0.105393</v>
      </c>
      <c r="D49" s="302">
        <v>0.115957</v>
      </c>
      <c r="E49" s="302">
        <v>0.114024</v>
      </c>
      <c r="F49" s="302">
        <v>0.10371900000000001</v>
      </c>
      <c r="G49" s="302">
        <v>0.109197</v>
      </c>
      <c r="H49" s="302">
        <v>9.2909000000000005E-2</v>
      </c>
      <c r="I49" s="302">
        <v>0.109749</v>
      </c>
      <c r="J49" s="302">
        <v>8.9675000000000005E-2</v>
      </c>
      <c r="K49" s="302">
        <v>9.5005000000000006E-2</v>
      </c>
      <c r="L49" s="302">
        <v>0.106268</v>
      </c>
      <c r="M49" s="302">
        <v>0.11816</v>
      </c>
      <c r="N49" s="302">
        <v>9.9726189097694637E-2</v>
      </c>
      <c r="O49" s="302">
        <v>0.10125774361841978</v>
      </c>
      <c r="P49" s="302">
        <v>0.10316454137418218</v>
      </c>
      <c r="Q49" s="302">
        <v>0.10380133930395304</v>
      </c>
      <c r="R49" s="302">
        <v>0.10370687776316152</v>
      </c>
      <c r="S49" s="302">
        <v>0.10373570505119789</v>
      </c>
      <c r="T49" s="302">
        <v>0.10381152484861944</v>
      </c>
      <c r="U49" s="302">
        <v>0.10434996585106637</v>
      </c>
      <c r="V49" s="302">
        <v>0.10515193359066989</v>
      </c>
      <c r="W49" s="302">
        <v>0.10616506052306725</v>
      </c>
      <c r="X49" s="302">
        <v>0.10715144846309914</v>
      </c>
      <c r="Y49" s="302">
        <v>0.10857121031844658</v>
      </c>
      <c r="Z49" s="302">
        <v>0.1095473726539523</v>
      </c>
      <c r="AA49" s="302">
        <v>0.11049983537077988</v>
      </c>
      <c r="AB49" s="302">
        <v>0.11147795811374389</v>
      </c>
      <c r="AC49" s="302">
        <v>0.11239664330765674</v>
      </c>
      <c r="AD49" s="302">
        <v>0.11333397216585925</v>
      </c>
      <c r="AE49" s="302">
        <v>0.11427506866352555</v>
      </c>
      <c r="AF49" s="302">
        <v>0.11508147273274787</v>
      </c>
      <c r="AG49" s="302">
        <v>0.11588308707615662</v>
      </c>
      <c r="AH49" s="302">
        <v>0.11670385637437342</v>
      </c>
      <c r="AI49" s="302">
        <v>0.11763527820371326</v>
      </c>
      <c r="AJ49" s="302">
        <v>0.11864946001253258</v>
      </c>
      <c r="AK49" s="302">
        <v>0.11975486667720928</v>
      </c>
      <c r="AL49" s="302">
        <v>0.12082624322804032</v>
      </c>
      <c r="AM49" s="302">
        <v>0.12185001225817217</v>
      </c>
      <c r="AN49" s="302">
        <v>0.12278040319342635</v>
      </c>
      <c r="AO49" s="302">
        <v>0.12355395003636287</v>
      </c>
      <c r="AP49" s="302">
        <v>0.12429931594589899</v>
      </c>
      <c r="AQ49" s="302">
        <v>0.12501895553401909</v>
      </c>
      <c r="AR49" s="302">
        <v>0.12577725872470957</v>
      </c>
      <c r="AS49" s="302">
        <v>0.12655344174287569</v>
      </c>
      <c r="AT49" s="302">
        <v>0.12748438655433644</v>
      </c>
      <c r="AU49" s="302">
        <v>0.12854876298082257</v>
      </c>
      <c r="AV49" s="472">
        <f t="shared" si="4"/>
        <v>8.4225099691037E-3</v>
      </c>
      <c r="AW49"/>
    </row>
    <row r="50" spans="1:49" s="178" customFormat="1" ht="12.9" customHeight="1">
      <c r="A50" s="11" t="s">
        <v>38</v>
      </c>
      <c r="B50" s="302">
        <v>0.113703</v>
      </c>
      <c r="C50" s="302">
        <v>0.13883400000000001</v>
      </c>
      <c r="D50" s="302">
        <v>0.14222000000000001</v>
      </c>
      <c r="E50" s="302">
        <v>0.130879</v>
      </c>
      <c r="F50" s="302">
        <v>0.114241</v>
      </c>
      <c r="G50" s="302">
        <v>0.11047999999999999</v>
      </c>
      <c r="H50" s="302">
        <v>0.120783</v>
      </c>
      <c r="I50" s="302">
        <v>0.11111</v>
      </c>
      <c r="J50" s="302">
        <v>0.10649</v>
      </c>
      <c r="K50" s="302">
        <v>0.113272</v>
      </c>
      <c r="L50" s="302">
        <v>0.121181</v>
      </c>
      <c r="M50" s="302">
        <v>0.12658900000000001</v>
      </c>
      <c r="N50" s="302">
        <v>0.12295469742182499</v>
      </c>
      <c r="O50" s="302">
        <v>0.12477149420657534</v>
      </c>
      <c r="P50" s="302">
        <v>0.12867896907551213</v>
      </c>
      <c r="Q50" s="302">
        <v>0.14152456071438879</v>
      </c>
      <c r="R50" s="302">
        <v>0.14024894491873749</v>
      </c>
      <c r="S50" s="302">
        <v>0.13519368582370159</v>
      </c>
      <c r="T50" s="302">
        <v>0.13362084693611698</v>
      </c>
      <c r="U50" s="302">
        <v>0.13249940348005318</v>
      </c>
      <c r="V50" s="302">
        <v>0.13183848463694214</v>
      </c>
      <c r="W50" s="302">
        <v>0.13205160108397504</v>
      </c>
      <c r="X50" s="302">
        <v>0.13105743496999181</v>
      </c>
      <c r="Y50" s="302">
        <v>0.13166846064933235</v>
      </c>
      <c r="Z50" s="302">
        <v>0.13058337062369524</v>
      </c>
      <c r="AA50" s="302">
        <v>0.12961939584031554</v>
      </c>
      <c r="AB50" s="302">
        <v>0.1285706987736879</v>
      </c>
      <c r="AC50" s="302">
        <v>0.12774117349305997</v>
      </c>
      <c r="AD50" s="302">
        <v>0.12752685538936112</v>
      </c>
      <c r="AE50" s="302">
        <v>0.12716850945937969</v>
      </c>
      <c r="AF50" s="302">
        <v>0.12724162836965511</v>
      </c>
      <c r="AG50" s="302">
        <v>0.12680509346179941</v>
      </c>
      <c r="AH50" s="302">
        <v>0.12711917257064004</v>
      </c>
      <c r="AI50" s="302">
        <v>0.12741705705047573</v>
      </c>
      <c r="AJ50" s="302">
        <v>0.12781857261389609</v>
      </c>
      <c r="AK50" s="302">
        <v>0.12770179028876422</v>
      </c>
      <c r="AL50" s="302">
        <v>0.12842671503834205</v>
      </c>
      <c r="AM50" s="302">
        <v>0.12853191063314612</v>
      </c>
      <c r="AN50" s="302">
        <v>0.12850249015958992</v>
      </c>
      <c r="AO50" s="302">
        <v>0.12923497489778069</v>
      </c>
      <c r="AP50" s="302">
        <v>0.12950694400472773</v>
      </c>
      <c r="AQ50" s="302">
        <v>0.12987196932103787</v>
      </c>
      <c r="AR50" s="302">
        <v>0.13020110296441911</v>
      </c>
      <c r="AS50" s="302">
        <v>0.13059561527735572</v>
      </c>
      <c r="AT50" s="302">
        <v>0.13087273167786262</v>
      </c>
      <c r="AU50" s="302">
        <v>0.13128328344734391</v>
      </c>
      <c r="AV50" s="472">
        <f t="shared" si="4"/>
        <v>1.6309287234879816E-3</v>
      </c>
      <c r="AW50"/>
    </row>
    <row r="51" spans="1:49" s="212" customFormat="1" ht="12.9" customHeight="1">
      <c r="A51" s="475" t="s">
        <v>29</v>
      </c>
      <c r="B51" s="302">
        <v>4.7050949345592286E-2</v>
      </c>
      <c r="C51" s="302">
        <v>4.7278247000739647E-2</v>
      </c>
      <c r="D51" s="302">
        <v>6.3369836323745182E-2</v>
      </c>
      <c r="E51" s="302">
        <v>5.9616316745857635E-2</v>
      </c>
      <c r="F51" s="302">
        <v>5.3657109687319141E-2</v>
      </c>
      <c r="G51" s="302">
        <v>4.0648999999999998E-2</v>
      </c>
      <c r="H51" s="302">
        <v>4.8829999999999998E-2</v>
      </c>
      <c r="I51" s="302">
        <v>6.2197000000000002E-2</v>
      </c>
      <c r="J51" s="302">
        <v>6.0212000000000002E-2</v>
      </c>
      <c r="K51" s="302">
        <v>4.0807000000000003E-2</v>
      </c>
      <c r="L51" s="302">
        <v>5.4953000000000002E-2</v>
      </c>
      <c r="M51" s="302">
        <v>0.112543</v>
      </c>
      <c r="N51" s="302">
        <v>6.6456064410435889E-2</v>
      </c>
      <c r="O51" s="302">
        <v>6.1852891439622269E-2</v>
      </c>
      <c r="P51" s="302">
        <v>6.5126729001350928E-2</v>
      </c>
      <c r="Q51" s="302">
        <v>3.5085307654434572E-2</v>
      </c>
      <c r="R51" s="302">
        <v>4.1137013572163927E-2</v>
      </c>
      <c r="S51" s="302">
        <v>5.6982506420578817E-2</v>
      </c>
      <c r="T51" s="302">
        <v>5.9362118557687402E-2</v>
      </c>
      <c r="U51" s="302">
        <v>6.0323246495900915E-2</v>
      </c>
      <c r="V51" s="302">
        <v>6.1503915125256624E-2</v>
      </c>
      <c r="W51" s="302">
        <v>5.9122423221095399E-2</v>
      </c>
      <c r="X51" s="302">
        <v>5.939566898837581E-2</v>
      </c>
      <c r="Y51" s="302">
        <v>5.3568319359446399E-2</v>
      </c>
      <c r="Z51" s="302">
        <v>5.3111531246364786E-2</v>
      </c>
      <c r="AA51" s="302">
        <v>5.5836966000862888E-2</v>
      </c>
      <c r="AB51" s="302">
        <v>5.6932409141578225E-2</v>
      </c>
      <c r="AC51" s="302">
        <v>5.6685083635253902E-2</v>
      </c>
      <c r="AD51" s="302">
        <v>5.2619021846621643E-2</v>
      </c>
      <c r="AE51" s="302">
        <v>5.2670302467696363E-2</v>
      </c>
      <c r="AF51" s="302">
        <v>5.1729644929199861E-2</v>
      </c>
      <c r="AG51" s="302">
        <v>5.3227205943312733E-2</v>
      </c>
      <c r="AH51" s="302">
        <v>5.1045999133344851E-2</v>
      </c>
      <c r="AI51" s="302">
        <v>5.0926206268071005E-2</v>
      </c>
      <c r="AJ51" s="302">
        <v>4.9749574130915658E-2</v>
      </c>
      <c r="AK51" s="302">
        <v>5.1899871532342413E-2</v>
      </c>
      <c r="AL51" s="302">
        <v>4.9609807505540816E-2</v>
      </c>
      <c r="AM51" s="302">
        <v>4.9190517038650204E-2</v>
      </c>
      <c r="AN51" s="302">
        <v>5.1075138129407754E-2</v>
      </c>
      <c r="AO51" s="302">
        <v>4.8882279326148984E-2</v>
      </c>
      <c r="AP51" s="302">
        <v>4.8838674702226539E-2</v>
      </c>
      <c r="AQ51" s="302">
        <v>4.8056473082818518E-2</v>
      </c>
      <c r="AR51" s="302">
        <v>4.8180022721536035E-2</v>
      </c>
      <c r="AS51" s="302">
        <v>4.8043746505947497E-2</v>
      </c>
      <c r="AT51" s="302">
        <v>4.8062686537789473E-2</v>
      </c>
      <c r="AU51" s="302">
        <v>4.8197164858939157E-2</v>
      </c>
      <c r="AV51" s="472">
        <f t="shared" si="4"/>
        <v>-6.8992967946035497E-3</v>
      </c>
      <c r="AW51"/>
    </row>
    <row r="52" spans="1:49" s="280" customFormat="1" ht="12.9" customHeight="1">
      <c r="A52" s="178" t="s">
        <v>67</v>
      </c>
      <c r="B52" s="302">
        <v>5.4660960326839078E-3</v>
      </c>
      <c r="C52" s="302">
        <v>5.3572287190000178E-3</v>
      </c>
      <c r="D52" s="302">
        <v>5.4529945640031897E-3</v>
      </c>
      <c r="E52" s="302">
        <v>5.3444717311111585E-3</v>
      </c>
      <c r="F52" s="302">
        <v>4.7609300136319923E-3</v>
      </c>
      <c r="G52" s="302">
        <v>5.2840989605944305E-3</v>
      </c>
      <c r="H52" s="302">
        <v>5.0794611954993888E-3</v>
      </c>
      <c r="I52" s="302">
        <v>4.6298136899330872E-3</v>
      </c>
      <c r="J52" s="302">
        <v>4.6298136899330872E-3</v>
      </c>
      <c r="K52" s="302">
        <v>4.7251878519457089E-3</v>
      </c>
      <c r="L52" s="302">
        <v>4.7577817403228369E-3</v>
      </c>
      <c r="M52" s="302">
        <v>3.5240396970298319E-3</v>
      </c>
      <c r="N52" s="302">
        <v>7.5773318206592073E-4</v>
      </c>
      <c r="O52" s="302">
        <v>7.5578407475312113E-4</v>
      </c>
      <c r="P52" s="302">
        <v>7.5502375295910485E-4</v>
      </c>
      <c r="Q52" s="302">
        <v>7.5233166944070032E-4</v>
      </c>
      <c r="R52" s="302">
        <v>7.4939407753523508E-4</v>
      </c>
      <c r="S52" s="302">
        <v>7.465968518902816E-4</v>
      </c>
      <c r="T52" s="302">
        <v>7.4481619961685574E-4</v>
      </c>
      <c r="U52" s="302">
        <v>7.4375914578899815E-4</v>
      </c>
      <c r="V52" s="302">
        <v>7.4196022132038699E-4</v>
      </c>
      <c r="W52" s="302">
        <v>7.4017181388856654E-4</v>
      </c>
      <c r="X52" s="302">
        <v>7.384982118052015E-4</v>
      </c>
      <c r="Y52" s="302">
        <v>7.3691066335222365E-4</v>
      </c>
      <c r="Z52" s="302">
        <v>7.353491408589179E-4</v>
      </c>
      <c r="AA52" s="302">
        <v>7.3429647049633694E-4</v>
      </c>
      <c r="AB52" s="302">
        <v>7.337011394617874E-4</v>
      </c>
      <c r="AC52" s="302">
        <v>7.3304498708069417E-4</v>
      </c>
      <c r="AD52" s="302">
        <v>7.3237676814912913E-4</v>
      </c>
      <c r="AE52" s="302">
        <v>7.3195277325818395E-4</v>
      </c>
      <c r="AF52" s="302">
        <v>7.3128223482479924E-4</v>
      </c>
      <c r="AG52" s="302">
        <v>7.307891009516364E-4</v>
      </c>
      <c r="AH52" s="302">
        <v>7.3062637167400316E-4</v>
      </c>
      <c r="AI52" s="302">
        <v>7.3069250441928609E-4</v>
      </c>
      <c r="AJ52" s="302">
        <v>7.3103363055927772E-4</v>
      </c>
      <c r="AK52" s="302">
        <v>7.3173915714789455E-4</v>
      </c>
      <c r="AL52" s="302">
        <v>7.3223209293422692E-4</v>
      </c>
      <c r="AM52" s="302">
        <v>7.3227845432513594E-4</v>
      </c>
      <c r="AN52" s="302">
        <v>7.3181270081234282E-4</v>
      </c>
      <c r="AO52" s="302">
        <v>7.3087566355794641E-4</v>
      </c>
      <c r="AP52" s="302">
        <v>7.297659529546341E-4</v>
      </c>
      <c r="AQ52" s="302">
        <v>7.2856847543211552E-4</v>
      </c>
      <c r="AR52" s="302">
        <v>7.2701211308350672E-4</v>
      </c>
      <c r="AS52" s="302">
        <v>7.2505455458477897E-4</v>
      </c>
      <c r="AT52" s="302">
        <v>7.2328377888117984E-4</v>
      </c>
      <c r="AU52" s="302">
        <v>7.2134612035511313E-4</v>
      </c>
      <c r="AV52" s="472">
        <f t="shared" si="4"/>
        <v>-1.423933251424078E-3</v>
      </c>
      <c r="AW52"/>
    </row>
    <row r="53" spans="1:49" s="280" customFormat="1" ht="12.9" customHeight="1">
      <c r="A53" s="178" t="s">
        <v>68</v>
      </c>
      <c r="B53" s="302">
        <v>8.6381205803119539E-3</v>
      </c>
      <c r="C53" s="302">
        <v>8.4491107344529335E-3</v>
      </c>
      <c r="D53" s="302">
        <v>8.3943832865140591E-3</v>
      </c>
      <c r="E53" s="302">
        <v>8.4112704645730174E-3</v>
      </c>
      <c r="F53" s="302">
        <v>7.0786391891273217E-3</v>
      </c>
      <c r="G53" s="302">
        <v>8.0444110791542765E-3</v>
      </c>
      <c r="H53" s="302">
        <v>7.4620945943626241E-3</v>
      </c>
      <c r="I53" s="302">
        <v>9.025905514270606E-3</v>
      </c>
      <c r="J53" s="302">
        <v>1.0481696726249734E-2</v>
      </c>
      <c r="K53" s="302">
        <v>7.6542590343438698E-3</v>
      </c>
      <c r="L53" s="302">
        <v>1.0491304948248799E-2</v>
      </c>
      <c r="M53" s="302">
        <v>9.5635689109968107E-3</v>
      </c>
      <c r="N53" s="302">
        <v>9.0417074370035162E-3</v>
      </c>
      <c r="O53" s="302">
        <v>9.3110276036370791E-3</v>
      </c>
      <c r="P53" s="302">
        <v>8.9747376858943882E-3</v>
      </c>
      <c r="Q53" s="302">
        <v>8.9840014307170871E-3</v>
      </c>
      <c r="R53" s="302">
        <v>9.1949507199449963E-3</v>
      </c>
      <c r="S53" s="302">
        <v>9.0812000181272629E-3</v>
      </c>
      <c r="T53" s="302">
        <v>9.1272603425224825E-3</v>
      </c>
      <c r="U53" s="302">
        <v>9.1171906711979018E-3</v>
      </c>
      <c r="V53" s="302">
        <v>9.1870559258247393E-3</v>
      </c>
      <c r="W53" s="302">
        <v>9.260608345369797E-3</v>
      </c>
      <c r="X53" s="302">
        <v>9.2863751423580294E-3</v>
      </c>
      <c r="Y53" s="302">
        <v>9.452073539607515E-3</v>
      </c>
      <c r="Z53" s="302">
        <v>9.5504393881544226E-3</v>
      </c>
      <c r="AA53" s="302">
        <v>9.349341303698265E-3</v>
      </c>
      <c r="AB53" s="302">
        <v>9.3503801178260286E-3</v>
      </c>
      <c r="AC53" s="302">
        <v>9.4394825090206719E-3</v>
      </c>
      <c r="AD53" s="302">
        <v>9.5515974991380922E-3</v>
      </c>
      <c r="AE53" s="302">
        <v>9.6003132919047478E-3</v>
      </c>
      <c r="AF53" s="302">
        <v>9.6967829447847029E-3</v>
      </c>
      <c r="AG53" s="302">
        <v>9.7100927133560479E-3</v>
      </c>
      <c r="AH53" s="302">
        <v>9.7954533156679111E-3</v>
      </c>
      <c r="AI53" s="302">
        <v>9.8874798111289134E-3</v>
      </c>
      <c r="AJ53" s="302">
        <v>9.9993232121164087E-3</v>
      </c>
      <c r="AK53" s="302">
        <v>1.003311033587099E-2</v>
      </c>
      <c r="AL53" s="302">
        <v>1.0161392297662159E-2</v>
      </c>
      <c r="AM53" s="302">
        <v>1.0241657689100243E-2</v>
      </c>
      <c r="AN53" s="302">
        <v>1.0289097987723664E-2</v>
      </c>
      <c r="AO53" s="302">
        <v>1.0398301470427128E-2</v>
      </c>
      <c r="AP53" s="302">
        <v>1.0462687948950087E-2</v>
      </c>
      <c r="AQ53" s="302">
        <v>1.0520856523800973E-2</v>
      </c>
      <c r="AR53" s="302">
        <v>1.057626496086227E-2</v>
      </c>
      <c r="AS53" s="302">
        <v>1.064033460205672E-2</v>
      </c>
      <c r="AT53" s="302">
        <v>1.0683132862072252E-2</v>
      </c>
      <c r="AU53" s="302">
        <v>1.0709387996689915E-2</v>
      </c>
      <c r="AV53" s="472">
        <f t="shared" si="4"/>
        <v>4.6932265849831114E-3</v>
      </c>
      <c r="AW53"/>
    </row>
    <row r="54" spans="1:49" s="280" customFormat="1" ht="12.9" customHeight="1">
      <c r="A54" s="178" t="s">
        <v>69</v>
      </c>
      <c r="B54" s="302">
        <v>6.4141530715026635E-5</v>
      </c>
      <c r="C54" s="302">
        <v>8.7799011018190325E-5</v>
      </c>
      <c r="D54" s="302">
        <v>1.9140456863198728E-4</v>
      </c>
      <c r="E54" s="302">
        <v>2.0314737129663481E-4</v>
      </c>
      <c r="F54" s="302">
        <v>2.5195631499823356E-4</v>
      </c>
      <c r="G54" s="302">
        <v>2.4329716608371889E-4</v>
      </c>
      <c r="H54" s="302">
        <v>2.7257630270114249E-4</v>
      </c>
      <c r="I54" s="302">
        <v>2.4918414142488174E-4</v>
      </c>
      <c r="J54" s="302">
        <v>3.1148017678110212E-4</v>
      </c>
      <c r="K54" s="302">
        <v>2.7980264280246404E-4</v>
      </c>
      <c r="L54" s="302">
        <v>3.1085721642753989E-4</v>
      </c>
      <c r="M54" s="302">
        <v>1.0680664930692984E-3</v>
      </c>
      <c r="N54" s="302">
        <v>2.7782797493708204E-3</v>
      </c>
      <c r="O54" s="302">
        <v>3.2612067404497636E-3</v>
      </c>
      <c r="P54" s="302">
        <v>3.7306262317434169E-3</v>
      </c>
      <c r="Q54" s="302">
        <v>3.9709551903437468E-3</v>
      </c>
      <c r="R54" s="302">
        <v>6.1334103951200415E-3</v>
      </c>
      <c r="S54" s="302">
        <v>5.4825199198006306E-3</v>
      </c>
      <c r="T54" s="302">
        <v>5.7097553160422795E-3</v>
      </c>
      <c r="U54" s="302">
        <v>6.0600628797783376E-3</v>
      </c>
      <c r="V54" s="302">
        <v>6.1478496311924494E-3</v>
      </c>
      <c r="W54" s="302">
        <v>6.351064396599067E-3</v>
      </c>
      <c r="X54" s="302">
        <v>6.7453843661689009E-3</v>
      </c>
      <c r="Y54" s="302">
        <v>7.5235985444079894E-3</v>
      </c>
      <c r="Z54" s="302">
        <v>8.0085962557951852E-3</v>
      </c>
      <c r="AA54" s="302">
        <v>7.7149897940923841E-3</v>
      </c>
      <c r="AB54" s="302">
        <v>7.9384923644261786E-3</v>
      </c>
      <c r="AC54" s="302">
        <v>8.2888655746319751E-3</v>
      </c>
      <c r="AD54" s="302">
        <v>9.0711801728840386E-3</v>
      </c>
      <c r="AE54" s="302">
        <v>9.2489925495080096E-3</v>
      </c>
      <c r="AF54" s="302">
        <v>9.6282789541224396E-3</v>
      </c>
      <c r="AG54" s="302">
        <v>9.8120802588816582E-3</v>
      </c>
      <c r="AH54" s="302">
        <v>1.0389237051253556E-2</v>
      </c>
      <c r="AI54" s="302">
        <v>1.0693341267690018E-2</v>
      </c>
      <c r="AJ54" s="302">
        <v>1.1206227653465258E-2</v>
      </c>
      <c r="AK54" s="302">
        <v>1.123835272469902E-2</v>
      </c>
      <c r="AL54" s="302">
        <v>1.1896421549358965E-2</v>
      </c>
      <c r="AM54" s="302">
        <v>1.2404447985979184E-2</v>
      </c>
      <c r="AN54" s="302">
        <v>1.2455956359586077E-2</v>
      </c>
      <c r="AO54" s="302">
        <v>1.2906357294708575E-2</v>
      </c>
      <c r="AP54" s="302">
        <v>1.3142487530996803E-2</v>
      </c>
      <c r="AQ54" s="302">
        <v>1.3479002854759732E-2</v>
      </c>
      <c r="AR54" s="302">
        <v>1.3648917678706452E-2</v>
      </c>
      <c r="AS54" s="302">
        <v>1.3842235673617372E-2</v>
      </c>
      <c r="AT54" s="302">
        <v>1.4018482451115815E-2</v>
      </c>
      <c r="AU54" s="302">
        <v>1.4188397084963564E-2</v>
      </c>
      <c r="AV54" s="472">
        <f t="shared" si="4"/>
        <v>0.10470808061035787</v>
      </c>
      <c r="AW54"/>
    </row>
    <row r="55" spans="1:49" s="280" customFormat="1" ht="12.9" customHeight="1">
      <c r="A55" s="178" t="s">
        <v>70</v>
      </c>
      <c r="B55" s="302">
        <v>0</v>
      </c>
      <c r="C55" s="302">
        <v>0</v>
      </c>
      <c r="D55" s="302">
        <v>0</v>
      </c>
      <c r="E55" s="302">
        <v>0</v>
      </c>
      <c r="F55" s="302">
        <v>0</v>
      </c>
      <c r="G55" s="302">
        <v>0</v>
      </c>
      <c r="H55" s="302">
        <v>0</v>
      </c>
      <c r="I55" s="302">
        <v>0</v>
      </c>
      <c r="J55" s="302">
        <v>0</v>
      </c>
      <c r="K55" s="302">
        <v>1.8519254759732349E-7</v>
      </c>
      <c r="L55" s="302">
        <v>8.5188571894768807E-6</v>
      </c>
      <c r="M55" s="302">
        <v>7.6812258118750917E-6</v>
      </c>
      <c r="N55" s="302">
        <v>1.4185013268816159E-5</v>
      </c>
      <c r="O55" s="302">
        <v>2.9356823768875926E-5</v>
      </c>
      <c r="P55" s="302">
        <v>5.0254441825612585E-5</v>
      </c>
      <c r="Q55" s="302">
        <v>7.8731545669256473E-5</v>
      </c>
      <c r="R55" s="302">
        <v>1.2294175330350112E-4</v>
      </c>
      <c r="S55" s="302">
        <v>1.8019621719115691E-4</v>
      </c>
      <c r="T55" s="302">
        <v>2.3296948047213555E-4</v>
      </c>
      <c r="U55" s="302">
        <v>2.8354960473073128E-4</v>
      </c>
      <c r="V55" s="302">
        <v>3.3669921356612332E-4</v>
      </c>
      <c r="W55" s="302">
        <v>3.8037732910438978E-4</v>
      </c>
      <c r="X55" s="302">
        <v>4.1839400481331266E-4</v>
      </c>
      <c r="Y55" s="302">
        <v>4.519799191456896E-4</v>
      </c>
      <c r="Z55" s="302">
        <v>4.8385107451477357E-4</v>
      </c>
      <c r="AA55" s="302">
        <v>5.1269666237793092E-4</v>
      </c>
      <c r="AB55" s="302">
        <v>5.3773372372547948E-4</v>
      </c>
      <c r="AC55" s="302">
        <v>5.5949064477660445E-4</v>
      </c>
      <c r="AD55" s="302">
        <v>5.7519164321255187E-4</v>
      </c>
      <c r="AE55" s="302">
        <v>5.862037531378316E-4</v>
      </c>
      <c r="AF55" s="302">
        <v>5.950427961152339E-4</v>
      </c>
      <c r="AG55" s="302">
        <v>6.0979206215424047E-4</v>
      </c>
      <c r="AH55" s="302">
        <v>6.2311366277421757E-4</v>
      </c>
      <c r="AI55" s="302">
        <v>6.3548481408672139E-4</v>
      </c>
      <c r="AJ55" s="302">
        <v>6.4542989486936881E-4</v>
      </c>
      <c r="AK55" s="302">
        <v>6.5495326153780433E-4</v>
      </c>
      <c r="AL55" s="302">
        <v>6.6373404016426658E-4</v>
      </c>
      <c r="AM55" s="302">
        <v>6.715404444718868E-4</v>
      </c>
      <c r="AN55" s="302">
        <v>6.7818444900910428E-4</v>
      </c>
      <c r="AO55" s="302">
        <v>6.8507975587283308E-4</v>
      </c>
      <c r="AP55" s="302">
        <v>6.9255870504919179E-4</v>
      </c>
      <c r="AQ55" s="302">
        <v>7.0001088310103288E-4</v>
      </c>
      <c r="AR55" s="302">
        <v>7.0789640807466571E-4</v>
      </c>
      <c r="AS55" s="302">
        <v>7.1653448645791779E-4</v>
      </c>
      <c r="AT55" s="302">
        <v>7.2574910258854045E-4</v>
      </c>
      <c r="AU55" s="302">
        <v>7.3553346851498236E-4</v>
      </c>
      <c r="AV55" s="472">
        <f t="shared" si="4"/>
        <v>0.75171688606559395</v>
      </c>
      <c r="AW55"/>
    </row>
    <row r="56" spans="1:49" s="280" customFormat="1" ht="12.9" customHeight="1">
      <c r="A56" s="280" t="s">
        <v>25</v>
      </c>
      <c r="B56" s="302">
        <v>5.6235595390524971E-6</v>
      </c>
      <c r="C56" s="302">
        <v>3.8583013230900555E-6</v>
      </c>
      <c r="D56" s="302">
        <v>5.2343149807938542E-6</v>
      </c>
      <c r="E56" s="302">
        <v>5.3367477592829711E-6</v>
      </c>
      <c r="F56" s="302">
        <v>8.9594536918480589E-6</v>
      </c>
      <c r="G56" s="302">
        <v>2.3726845924029026E-5</v>
      </c>
      <c r="H56" s="302">
        <v>2.4184379001280413E-5</v>
      </c>
      <c r="I56" s="302">
        <v>2.3805377720870681E-5</v>
      </c>
      <c r="J56" s="302">
        <v>2.9188476312419975E-4</v>
      </c>
      <c r="K56" s="302">
        <v>5.7637900128040972E-4</v>
      </c>
      <c r="L56" s="302">
        <v>1.1620145113102858E-4</v>
      </c>
      <c r="M56" s="302">
        <v>1.3979172001707217E-4</v>
      </c>
      <c r="N56" s="302">
        <v>3.2084489970123775E-4</v>
      </c>
      <c r="O56" s="302">
        <v>6.4775868544600943E-4</v>
      </c>
      <c r="P56" s="302">
        <v>1.1288348271446863E-3</v>
      </c>
      <c r="Q56" s="302">
        <v>1.4242055484421682E-3</v>
      </c>
      <c r="R56" s="302">
        <v>1.7494842509603072E-3</v>
      </c>
      <c r="S56" s="302">
        <v>2.0987107127614169E-3</v>
      </c>
      <c r="T56" s="302">
        <v>2.468246180110969E-3</v>
      </c>
      <c r="U56" s="302">
        <v>2.8554704225352114E-3</v>
      </c>
      <c r="V56" s="302">
        <v>3.2612732394366197E-3</v>
      </c>
      <c r="W56" s="302">
        <v>3.6836431924882631E-3</v>
      </c>
      <c r="X56" s="302">
        <v>4.1007153222364498E-3</v>
      </c>
      <c r="Y56" s="302">
        <v>4.5081075544174138E-3</v>
      </c>
      <c r="Z56" s="302">
        <v>4.9006675202731536E-3</v>
      </c>
      <c r="AA56" s="302">
        <v>5.2743320529236026E-3</v>
      </c>
      <c r="AB56" s="302">
        <v>5.567743918053778E-3</v>
      </c>
      <c r="AC56" s="302">
        <v>5.8514246692274868E-3</v>
      </c>
      <c r="AD56" s="302">
        <v>6.0934221084080241E-3</v>
      </c>
      <c r="AE56" s="302">
        <v>6.3314622279129328E-3</v>
      </c>
      <c r="AF56" s="302">
        <v>6.4979496372172428E-3</v>
      </c>
      <c r="AG56" s="302">
        <v>6.8011797979797822E-3</v>
      </c>
      <c r="AH56" s="302">
        <v>7.048358091986247E-3</v>
      </c>
      <c r="AI56" s="302">
        <v>7.2955363859927127E-3</v>
      </c>
      <c r="AJ56" s="302">
        <v>7.5427146799991775E-3</v>
      </c>
      <c r="AK56" s="302">
        <v>7.7898929740056423E-3</v>
      </c>
      <c r="AL56" s="302">
        <v>8.0370712680121071E-3</v>
      </c>
      <c r="AM56" s="302">
        <v>8.284249562018571E-3</v>
      </c>
      <c r="AN56" s="302">
        <v>8.5314278560250367E-3</v>
      </c>
      <c r="AO56" s="302">
        <v>8.7786061500315007E-3</v>
      </c>
      <c r="AP56" s="302">
        <v>9.0257844440379664E-3</v>
      </c>
      <c r="AQ56" s="302">
        <v>9.272962738044432E-3</v>
      </c>
      <c r="AR56" s="302">
        <v>9.520141032050896E-3</v>
      </c>
      <c r="AS56" s="302">
        <v>9.7673193260573599E-3</v>
      </c>
      <c r="AT56" s="302">
        <v>1.0014497620063824E-2</v>
      </c>
      <c r="AU56" s="302">
        <v>1.026167591407029E-2</v>
      </c>
      <c r="AV56" s="472">
        <f t="shared" si="4"/>
        <v>0.46380684681618206</v>
      </c>
      <c r="AW56"/>
    </row>
    <row r="57" spans="1:49" customFormat="1" ht="12.9" customHeight="1">
      <c r="AV57" s="504"/>
    </row>
    <row r="58" spans="1:49" s="280" customFormat="1" ht="12.9" customHeight="1">
      <c r="A58" s="280" t="s">
        <v>417</v>
      </c>
      <c r="R58"/>
      <c r="S58"/>
      <c r="T58"/>
      <c r="U58"/>
      <c r="V58"/>
      <c r="W58"/>
      <c r="AV58" s="504"/>
    </row>
    <row r="59" spans="1:49" s="280" customFormat="1" ht="12.9" customHeight="1">
      <c r="A59" s="51" t="s">
        <v>352</v>
      </c>
      <c r="B59" s="303">
        <v>0.17707664852868418</v>
      </c>
      <c r="C59" s="303">
        <v>0.16294122913948395</v>
      </c>
      <c r="D59" s="303">
        <v>0.16837681974754837</v>
      </c>
      <c r="E59" s="303">
        <v>0.16853914684150373</v>
      </c>
      <c r="F59" s="303">
        <v>0.1650957382302197</v>
      </c>
      <c r="G59" s="303">
        <v>0.1801941786271056</v>
      </c>
      <c r="H59" s="303">
        <v>0.14159989334378195</v>
      </c>
      <c r="I59" s="303">
        <v>0.13384734537709814</v>
      </c>
      <c r="J59" s="303">
        <v>0.147774079401124</v>
      </c>
      <c r="K59" s="303">
        <v>0.14582134568044081</v>
      </c>
      <c r="L59" s="303">
        <v>0.15126427946266485</v>
      </c>
      <c r="M59" s="303">
        <v>0.1380687655730129</v>
      </c>
      <c r="N59" s="303">
        <v>0.11607775898525645</v>
      </c>
      <c r="O59" s="303">
        <v>0.12373124811838079</v>
      </c>
      <c r="P59" s="303">
        <v>0.1192672481183808</v>
      </c>
      <c r="Q59" s="303">
        <v>0.1148032481183808</v>
      </c>
      <c r="R59" s="303">
        <v>9.9406228176310119E-2</v>
      </c>
      <c r="S59" s="303">
        <v>9.9406228176310119E-2</v>
      </c>
      <c r="T59" s="303">
        <v>7.7950756462839027E-2</v>
      </c>
      <c r="U59" s="303">
        <v>6.8348227041470977E-2</v>
      </c>
      <c r="V59" s="303">
        <v>6.8348227041470977E-2</v>
      </c>
      <c r="W59" s="303">
        <v>5.2630435850607171E-2</v>
      </c>
      <c r="X59" s="303">
        <v>5.2630435850607171E-2</v>
      </c>
      <c r="Y59" s="303">
        <v>5.2630435850607171E-2</v>
      </c>
      <c r="Z59" s="303">
        <v>4.285407234915542E-2</v>
      </c>
      <c r="AA59" s="303">
        <v>4.285407234915542E-2</v>
      </c>
      <c r="AB59" s="303">
        <v>4.285407234915542E-2</v>
      </c>
      <c r="AC59" s="303">
        <v>4.285407234915542E-2</v>
      </c>
      <c r="AD59" s="303">
        <v>4.285407234915542E-2</v>
      </c>
      <c r="AE59" s="303">
        <v>4.285407234915542E-2</v>
      </c>
      <c r="AF59" s="303">
        <v>4.285407234915542E-2</v>
      </c>
      <c r="AG59" s="303">
        <v>4.285407234915542E-2</v>
      </c>
      <c r="AH59" s="303">
        <v>4.285407234915542E-2</v>
      </c>
      <c r="AI59" s="303">
        <v>4.285407234915542E-2</v>
      </c>
      <c r="AJ59" s="303">
        <v>4.285407234915542E-2</v>
      </c>
      <c r="AK59" s="303">
        <v>4.285407234915542E-2</v>
      </c>
      <c r="AL59" s="303">
        <v>4.285407234915542E-2</v>
      </c>
      <c r="AM59" s="303">
        <v>4.285407234915542E-2</v>
      </c>
      <c r="AN59" s="303">
        <v>4.285407234915542E-2</v>
      </c>
      <c r="AO59" s="303">
        <v>4.285407234915542E-2</v>
      </c>
      <c r="AP59" s="303">
        <v>4.285407234915542E-2</v>
      </c>
      <c r="AQ59" s="303">
        <v>4.285407234915542E-2</v>
      </c>
      <c r="AR59" s="303">
        <v>4.285407234915542E-2</v>
      </c>
      <c r="AS59" s="303">
        <v>4.285407234915542E-2</v>
      </c>
      <c r="AT59" s="303">
        <v>4.285407234915542E-2</v>
      </c>
      <c r="AU59" s="303">
        <v>4.285407234915542E-2</v>
      </c>
      <c r="AV59" s="504"/>
    </row>
    <row r="60" spans="1:49" s="280" customFormat="1" ht="12.9" customHeight="1">
      <c r="A60" s="51" t="s">
        <v>393</v>
      </c>
      <c r="B60" s="303">
        <v>6.3460039434900681E-2</v>
      </c>
      <c r="C60" s="303">
        <v>5.2083846100893581E-2</v>
      </c>
      <c r="D60" s="303">
        <v>7.1380310094665556E-2</v>
      </c>
      <c r="E60" s="303">
        <v>8.2793252002603471E-2</v>
      </c>
      <c r="F60" s="303">
        <v>0.11228449273090349</v>
      </c>
      <c r="G60" s="303">
        <v>0.11831655880145736</v>
      </c>
      <c r="H60" s="303">
        <v>6.2391137116694979E-2</v>
      </c>
      <c r="I60" s="303">
        <v>7.6450212788032365E-2</v>
      </c>
      <c r="J60" s="303">
        <v>0.11813893240177065</v>
      </c>
      <c r="K60" s="303">
        <v>9.3812913829426164E-2</v>
      </c>
      <c r="L60" s="303">
        <v>0.11767080130174574</v>
      </c>
      <c r="M60" s="303">
        <v>0.10222464113641812</v>
      </c>
      <c r="N60" s="303">
        <v>8.3741046001379604E-2</v>
      </c>
      <c r="O60" s="303">
        <v>7.8418968293970492E-2</v>
      </c>
      <c r="P60" s="303">
        <v>7.2280968293970502E-2</v>
      </c>
      <c r="Q60" s="303">
        <v>6.6142968293970497E-2</v>
      </c>
      <c r="R60" s="303">
        <v>7.6648226691945806E-2</v>
      </c>
      <c r="S60" s="303">
        <v>7.6648226691945806E-2</v>
      </c>
      <c r="T60" s="303">
        <v>9.1287116246449529E-2</v>
      </c>
      <c r="U60" s="303">
        <v>9.7786003511830893E-2</v>
      </c>
      <c r="V60" s="303">
        <v>9.7786003511830893E-2</v>
      </c>
      <c r="W60" s="303">
        <v>0.10785020144271565</v>
      </c>
      <c r="X60" s="303">
        <v>0.10785020144271565</v>
      </c>
      <c r="Y60" s="303">
        <v>0.10785020144271565</v>
      </c>
      <c r="Z60" s="303">
        <v>0.11411006684798192</v>
      </c>
      <c r="AA60" s="303">
        <v>0.11411006684798192</v>
      </c>
      <c r="AB60" s="303">
        <v>0.11411006684798192</v>
      </c>
      <c r="AC60" s="303">
        <v>0.11411006684798192</v>
      </c>
      <c r="AD60" s="303">
        <v>0.11411006684798192</v>
      </c>
      <c r="AE60" s="303">
        <v>0.11411006684798192</v>
      </c>
      <c r="AF60" s="303">
        <v>0.11411006684798192</v>
      </c>
      <c r="AG60" s="303">
        <v>0.11411006684798192</v>
      </c>
      <c r="AH60" s="303">
        <v>0.11411006684798192</v>
      </c>
      <c r="AI60" s="303">
        <v>0.11411006684798192</v>
      </c>
      <c r="AJ60" s="303">
        <v>0.11411006684798192</v>
      </c>
      <c r="AK60" s="303">
        <v>0.11411006684798192</v>
      </c>
      <c r="AL60" s="303">
        <v>0.11411006684798192</v>
      </c>
      <c r="AM60" s="303">
        <v>0.11411006684798192</v>
      </c>
      <c r="AN60" s="303">
        <v>0.11411006684798192</v>
      </c>
      <c r="AO60" s="303">
        <v>0.11411006684798192</v>
      </c>
      <c r="AP60" s="303">
        <v>0.11411006684798192</v>
      </c>
      <c r="AQ60" s="303">
        <v>0.11411006684798192</v>
      </c>
      <c r="AR60" s="303">
        <v>0.11411006684798192</v>
      </c>
      <c r="AS60" s="303">
        <v>0.11411006684798192</v>
      </c>
      <c r="AT60" s="303">
        <v>0.11411006684798192</v>
      </c>
      <c r="AU60" s="303">
        <v>0.11411006684798192</v>
      </c>
      <c r="AV60" s="504"/>
    </row>
    <row r="61" spans="1:49" s="280" customFormat="1" ht="12.9" customHeight="1">
      <c r="A61" s="51" t="s">
        <v>394</v>
      </c>
      <c r="B61" s="303">
        <v>3.1705263572331638E-2</v>
      </c>
      <c r="C61" s="303">
        <v>3.1644319659083285E-2</v>
      </c>
      <c r="D61" s="303">
        <v>2.443320621631288E-2</v>
      </c>
      <c r="E61" s="303">
        <v>1.8331428718513114E-2</v>
      </c>
      <c r="F61" s="303">
        <v>2.1010896514468837E-2</v>
      </c>
      <c r="G61" s="303">
        <v>1.9557756702993961E-2</v>
      </c>
      <c r="H61" s="303">
        <v>1.4478201728221231E-2</v>
      </c>
      <c r="I61" s="303">
        <v>5.3683677687399733E-3</v>
      </c>
      <c r="J61" s="303">
        <v>1.2336356954421038E-2</v>
      </c>
      <c r="K61" s="303">
        <v>1.0333425362330442E-2</v>
      </c>
      <c r="L61" s="303">
        <v>0</v>
      </c>
      <c r="M61" s="303">
        <v>0</v>
      </c>
      <c r="N61" s="303">
        <v>0</v>
      </c>
      <c r="O61" s="303">
        <v>9.3810078819085256E-3</v>
      </c>
      <c r="P61" s="303">
        <v>9.3810078819085256E-3</v>
      </c>
      <c r="Q61" s="303">
        <v>9.3810078819085256E-3</v>
      </c>
      <c r="R61" s="303">
        <v>9.3810078819085256E-3</v>
      </c>
      <c r="S61" s="303">
        <v>9.3810078819085256E-3</v>
      </c>
      <c r="T61" s="303">
        <v>9.3810078819085256E-3</v>
      </c>
      <c r="U61" s="303">
        <v>9.3810078819085256E-3</v>
      </c>
      <c r="V61" s="303">
        <v>9.3810078819085256E-3</v>
      </c>
      <c r="W61" s="303">
        <v>9.3810078819085256E-3</v>
      </c>
      <c r="X61" s="303">
        <v>9.3810078819085256E-3</v>
      </c>
      <c r="Y61" s="303">
        <v>9.3810078819085256E-3</v>
      </c>
      <c r="Z61" s="303">
        <v>9.3810078819085256E-3</v>
      </c>
      <c r="AA61" s="303">
        <v>9.3810078819085256E-3</v>
      </c>
      <c r="AB61" s="303">
        <v>9.3810078819085256E-3</v>
      </c>
      <c r="AC61" s="303">
        <v>9.3810078819085256E-3</v>
      </c>
      <c r="AD61" s="303">
        <v>9.3810078819085256E-3</v>
      </c>
      <c r="AE61" s="303">
        <v>9.3810078819085256E-3</v>
      </c>
      <c r="AF61" s="303">
        <v>9.3810078819085256E-3</v>
      </c>
      <c r="AG61" s="303">
        <v>9.3810078819085256E-3</v>
      </c>
      <c r="AH61" s="303">
        <v>9.3810078819085256E-3</v>
      </c>
      <c r="AI61" s="303">
        <v>9.3810078819085256E-3</v>
      </c>
      <c r="AJ61" s="303">
        <v>9.3810078819085256E-3</v>
      </c>
      <c r="AK61" s="303">
        <v>9.3810078819085256E-3</v>
      </c>
      <c r="AL61" s="303">
        <v>9.3810078819085256E-3</v>
      </c>
      <c r="AM61" s="303">
        <v>9.3810078819085256E-3</v>
      </c>
      <c r="AN61" s="303">
        <v>9.3810078819085256E-3</v>
      </c>
      <c r="AO61" s="303">
        <v>9.3810078819085256E-3</v>
      </c>
      <c r="AP61" s="303">
        <v>9.3810078819085256E-3</v>
      </c>
      <c r="AQ61" s="303">
        <v>9.3810078819085256E-3</v>
      </c>
      <c r="AR61" s="303">
        <v>9.3810078819085256E-3</v>
      </c>
      <c r="AS61" s="303">
        <v>9.3810078819085256E-3</v>
      </c>
      <c r="AT61" s="303">
        <v>9.3810078819085256E-3</v>
      </c>
      <c r="AU61" s="303">
        <v>9.3810078819085256E-3</v>
      </c>
      <c r="AV61" s="504"/>
    </row>
    <row r="62" spans="1:49" s="280" customFormat="1" ht="12.9" customHeight="1">
      <c r="A62" s="51" t="s">
        <v>395</v>
      </c>
      <c r="B62" s="303">
        <v>5.2709437643101535E-4</v>
      </c>
      <c r="C62" s="303">
        <v>7.1182717775411812E-4</v>
      </c>
      <c r="D62" s="303">
        <v>7.8450837860507443E-4</v>
      </c>
      <c r="E62" s="303">
        <v>7.8398006222402583E-4</v>
      </c>
      <c r="F62" s="303">
        <v>1.0617143960275869E-3</v>
      </c>
      <c r="G62" s="303">
        <v>9.1900213334896103E-4</v>
      </c>
      <c r="H62" s="303">
        <v>7.5230271045485266E-4</v>
      </c>
      <c r="I62" s="303">
        <v>7.4555115730218745E-4</v>
      </c>
      <c r="J62" s="303">
        <v>7.075488201951129E-4</v>
      </c>
      <c r="K62" s="303">
        <v>6.5016534241318816E-4</v>
      </c>
      <c r="L62" s="303">
        <v>5.333664907916666E-4</v>
      </c>
      <c r="M62" s="303">
        <v>7.0767476992851508E-4</v>
      </c>
      <c r="N62" s="303">
        <v>1.0979239385978455E-3</v>
      </c>
      <c r="O62" s="303">
        <v>7.3996231116258489E-4</v>
      </c>
      <c r="P62" s="303">
        <v>7.3996231116258489E-4</v>
      </c>
      <c r="Q62" s="303">
        <v>7.3996231116258489E-4</v>
      </c>
      <c r="R62" s="303">
        <v>7.3996231116258489E-4</v>
      </c>
      <c r="S62" s="303">
        <v>7.3996231116258489E-4</v>
      </c>
      <c r="T62" s="303">
        <v>7.3996231116258489E-4</v>
      </c>
      <c r="U62" s="303">
        <v>7.3996231116258489E-4</v>
      </c>
      <c r="V62" s="303">
        <v>7.3996231116258489E-4</v>
      </c>
      <c r="W62" s="303">
        <v>7.3996231116258489E-4</v>
      </c>
      <c r="X62" s="303">
        <v>7.3996231116258489E-4</v>
      </c>
      <c r="Y62" s="303">
        <v>7.3996231116258489E-4</v>
      </c>
      <c r="Z62" s="303">
        <v>7.3996231116258489E-4</v>
      </c>
      <c r="AA62" s="303">
        <v>7.3996231116258489E-4</v>
      </c>
      <c r="AB62" s="303">
        <v>7.3996231116258489E-4</v>
      </c>
      <c r="AC62" s="303">
        <v>7.3996231116258489E-4</v>
      </c>
      <c r="AD62" s="303">
        <v>7.3996231116258489E-4</v>
      </c>
      <c r="AE62" s="303">
        <v>7.3996231116258489E-4</v>
      </c>
      <c r="AF62" s="303">
        <v>7.3996231116258489E-4</v>
      </c>
      <c r="AG62" s="303">
        <v>7.3996231116258489E-4</v>
      </c>
      <c r="AH62" s="303">
        <v>7.3996231116258489E-4</v>
      </c>
      <c r="AI62" s="303">
        <v>7.3996231116258489E-4</v>
      </c>
      <c r="AJ62" s="303">
        <v>7.3996231116258489E-4</v>
      </c>
      <c r="AK62" s="303">
        <v>7.3996231116258489E-4</v>
      </c>
      <c r="AL62" s="303">
        <v>7.3996231116258489E-4</v>
      </c>
      <c r="AM62" s="303">
        <v>7.3996231116258489E-4</v>
      </c>
      <c r="AN62" s="303">
        <v>7.3996231116258489E-4</v>
      </c>
      <c r="AO62" s="303">
        <v>7.3996231116258489E-4</v>
      </c>
      <c r="AP62" s="303">
        <v>7.3996231116258489E-4</v>
      </c>
      <c r="AQ62" s="303">
        <v>7.3996231116258489E-4</v>
      </c>
      <c r="AR62" s="303">
        <v>7.3996231116258489E-4</v>
      </c>
      <c r="AS62" s="303">
        <v>7.3996231116258489E-4</v>
      </c>
      <c r="AT62" s="303">
        <v>7.3996231116258489E-4</v>
      </c>
      <c r="AU62" s="303">
        <v>7.3996231116258489E-4</v>
      </c>
      <c r="AV62" s="504"/>
    </row>
    <row r="63" spans="1:49" s="280" customFormat="1" ht="12.9" customHeight="1">
      <c r="A63" s="51" t="s">
        <v>396</v>
      </c>
      <c r="B63" s="303">
        <v>5.2473935503038555E-2</v>
      </c>
      <c r="C63" s="303">
        <v>5.1623675476377369E-2</v>
      </c>
      <c r="D63" s="303">
        <v>4.8998488500467688E-2</v>
      </c>
      <c r="E63" s="303">
        <v>5.6987135137738953E-2</v>
      </c>
      <c r="F63" s="303">
        <v>4.1108509403607239E-2</v>
      </c>
      <c r="G63" s="303">
        <v>6.1332206404646573E-2</v>
      </c>
      <c r="H63" s="303">
        <v>2.6235788852649596E-2</v>
      </c>
      <c r="I63" s="303">
        <v>4.6746665879421445E-2</v>
      </c>
      <c r="J63" s="303">
        <v>4.6478941790418171E-2</v>
      </c>
      <c r="K63" s="303">
        <v>4.9432570308524083E-2</v>
      </c>
      <c r="L63" s="303">
        <v>4.4081045603367099E-2</v>
      </c>
      <c r="M63" s="303">
        <v>4.8231650677883778E-2</v>
      </c>
      <c r="N63" s="303">
        <v>3.9687033462008636E-2</v>
      </c>
      <c r="O63" s="303">
        <v>4.3742327742272734E-2</v>
      </c>
      <c r="P63" s="303">
        <v>4.3184327742272731E-2</v>
      </c>
      <c r="Q63" s="303">
        <v>4.2626327742272735E-2</v>
      </c>
      <c r="R63" s="303">
        <v>4.2706520554471016E-2</v>
      </c>
      <c r="S63" s="303">
        <v>4.2706520554471016E-2</v>
      </c>
      <c r="T63" s="303">
        <v>4.2818267802978677E-2</v>
      </c>
      <c r="U63" s="303">
        <v>4.2864936765798965E-2</v>
      </c>
      <c r="V63" s="303">
        <v>4.2864936765798965E-2</v>
      </c>
      <c r="W63" s="303">
        <v>4.2905033171898109E-2</v>
      </c>
      <c r="X63" s="303">
        <v>4.2905033171898109E-2</v>
      </c>
      <c r="Y63" s="303">
        <v>4.2905033171898109E-2</v>
      </c>
      <c r="Z63" s="303">
        <v>4.2929972874707935E-2</v>
      </c>
      <c r="AA63" s="303">
        <v>4.2929972874707935E-2</v>
      </c>
      <c r="AB63" s="303">
        <v>4.2929972874707935E-2</v>
      </c>
      <c r="AC63" s="303">
        <v>4.2929972874707935E-2</v>
      </c>
      <c r="AD63" s="303">
        <v>4.2929972874707935E-2</v>
      </c>
      <c r="AE63" s="303">
        <v>4.2929972874707935E-2</v>
      </c>
      <c r="AF63" s="303">
        <v>4.2929972874707935E-2</v>
      </c>
      <c r="AG63" s="303">
        <v>4.2929972874707935E-2</v>
      </c>
      <c r="AH63" s="303">
        <v>4.2929972874707935E-2</v>
      </c>
      <c r="AI63" s="303">
        <v>4.2929972874707935E-2</v>
      </c>
      <c r="AJ63" s="303">
        <v>4.2929972874707935E-2</v>
      </c>
      <c r="AK63" s="303">
        <v>4.2929972874707935E-2</v>
      </c>
      <c r="AL63" s="303">
        <v>4.2929972874707935E-2</v>
      </c>
      <c r="AM63" s="303">
        <v>4.2929972874707935E-2</v>
      </c>
      <c r="AN63" s="303">
        <v>4.2929972874707935E-2</v>
      </c>
      <c r="AO63" s="303">
        <v>4.2929972874707935E-2</v>
      </c>
      <c r="AP63" s="303">
        <v>4.2929972874707935E-2</v>
      </c>
      <c r="AQ63" s="303">
        <v>4.2929972874707935E-2</v>
      </c>
      <c r="AR63" s="303">
        <v>4.2929972874707935E-2</v>
      </c>
      <c r="AS63" s="303">
        <v>4.2929972874707935E-2</v>
      </c>
      <c r="AT63" s="303">
        <v>4.2929972874707935E-2</v>
      </c>
      <c r="AU63" s="303">
        <v>4.2929972874707935E-2</v>
      </c>
      <c r="AV63" s="504"/>
    </row>
    <row r="64" spans="1:49" s="280" customFormat="1" ht="12.9" customHeight="1">
      <c r="A64" s="51" t="s">
        <v>243</v>
      </c>
      <c r="B64" s="303">
        <v>0.65947597669635838</v>
      </c>
      <c r="C64" s="303">
        <v>0.68183374790741358</v>
      </c>
      <c r="D64" s="303">
        <v>0.67052971020389363</v>
      </c>
      <c r="E64" s="303">
        <v>0.65281192951749456</v>
      </c>
      <c r="F64" s="303">
        <v>0.64376284587438182</v>
      </c>
      <c r="G64" s="303">
        <v>0.60322481669586725</v>
      </c>
      <c r="H64" s="303">
        <v>0.73373002968949896</v>
      </c>
      <c r="I64" s="303">
        <v>0.69485785965413127</v>
      </c>
      <c r="J64" s="303">
        <v>0.63596816340219686</v>
      </c>
      <c r="K64" s="303">
        <v>0.65070798217051784</v>
      </c>
      <c r="L64" s="303">
        <v>0.62619566318968123</v>
      </c>
      <c r="M64" s="303">
        <v>0.6368912385248412</v>
      </c>
      <c r="N64" s="303">
        <v>0.67681656462700568</v>
      </c>
      <c r="O64" s="303">
        <v>0.650837893113558</v>
      </c>
      <c r="P64" s="303">
        <v>0.650837893113558</v>
      </c>
      <c r="Q64" s="303">
        <v>0.650837893113558</v>
      </c>
      <c r="R64" s="303">
        <v>0.65564946184545503</v>
      </c>
      <c r="S64" s="303">
        <v>0.65564946184545503</v>
      </c>
      <c r="T64" s="303">
        <v>0.66235429675591473</v>
      </c>
      <c r="U64" s="303">
        <v>0.66534706109309383</v>
      </c>
      <c r="V64" s="303">
        <v>0.66534706109309383</v>
      </c>
      <c r="W64" s="303">
        <v>0.67015862982499097</v>
      </c>
      <c r="X64" s="303">
        <v>0.67015862982499097</v>
      </c>
      <c r="Y64" s="303">
        <v>0.67015862982499097</v>
      </c>
      <c r="Z64" s="303">
        <v>0.67315139416217007</v>
      </c>
      <c r="AA64" s="303">
        <v>0.67315139416217007</v>
      </c>
      <c r="AB64" s="303">
        <v>0.67315139416217007</v>
      </c>
      <c r="AC64" s="303">
        <v>0.67315139416217007</v>
      </c>
      <c r="AD64" s="303">
        <v>0.67315139416217007</v>
      </c>
      <c r="AE64" s="303">
        <v>0.67315139416217007</v>
      </c>
      <c r="AF64" s="303">
        <v>0.67315139416217007</v>
      </c>
      <c r="AG64" s="303">
        <v>0.67315139416217007</v>
      </c>
      <c r="AH64" s="303">
        <v>0.67315139416217007</v>
      </c>
      <c r="AI64" s="303">
        <v>0.67315139416217007</v>
      </c>
      <c r="AJ64" s="303">
        <v>0.67315139416217007</v>
      </c>
      <c r="AK64" s="303">
        <v>0.67315139416217007</v>
      </c>
      <c r="AL64" s="303">
        <v>0.67315139416217007</v>
      </c>
      <c r="AM64" s="303">
        <v>0.67315139416217007</v>
      </c>
      <c r="AN64" s="303">
        <v>0.67315139416217007</v>
      </c>
      <c r="AO64" s="303">
        <v>0.67315139416217007</v>
      </c>
      <c r="AP64" s="303">
        <v>0.67315139416217007</v>
      </c>
      <c r="AQ64" s="303">
        <v>0.67315139416217007</v>
      </c>
      <c r="AR64" s="303">
        <v>0.67315139416217007</v>
      </c>
      <c r="AS64" s="303">
        <v>0.67315139416217007</v>
      </c>
      <c r="AT64" s="303">
        <v>0.67315139416217007</v>
      </c>
      <c r="AU64" s="303">
        <v>0.67315139416217007</v>
      </c>
      <c r="AV64" s="504"/>
    </row>
    <row r="65" spans="1:49" s="280" customFormat="1" ht="12.9" customHeight="1">
      <c r="A65" s="51" t="s">
        <v>397</v>
      </c>
      <c r="B65" s="303">
        <v>6.9958899913413674E-3</v>
      </c>
      <c r="C65" s="303">
        <v>4.491971322373914E-3</v>
      </c>
      <c r="D65" s="303">
        <v>5.2210093982710476E-3</v>
      </c>
      <c r="E65" s="303">
        <v>4.65461977481464E-3</v>
      </c>
      <c r="F65" s="303">
        <v>5.0078614945081052E-3</v>
      </c>
      <c r="G65" s="303">
        <v>5.5607354900667335E-3</v>
      </c>
      <c r="H65" s="303">
        <v>4.9051469486321962E-3</v>
      </c>
      <c r="I65" s="303">
        <v>3.4289364429422329E-3</v>
      </c>
      <c r="J65" s="303">
        <v>2.8578791645998201E-3</v>
      </c>
      <c r="K65" s="303">
        <v>3.2731184687870823E-3</v>
      </c>
      <c r="L65" s="303">
        <v>4.5448241558907476E-3</v>
      </c>
      <c r="M65" s="303">
        <v>7.7258879043987736E-3</v>
      </c>
      <c r="N65" s="303">
        <v>5.9797635488444186E-3</v>
      </c>
      <c r="O65" s="303">
        <v>5.7599999999999995E-3</v>
      </c>
      <c r="P65" s="303">
        <v>6.4799999999999996E-3</v>
      </c>
      <c r="Q65" s="303">
        <v>7.1999999999999998E-3</v>
      </c>
      <c r="R65" s="303">
        <v>7.1999999999999998E-3</v>
      </c>
      <c r="S65" s="303">
        <v>7.1999999999999998E-3</v>
      </c>
      <c r="T65" s="303">
        <v>7.1999999999999998E-3</v>
      </c>
      <c r="U65" s="303">
        <v>7.1999999999999998E-3</v>
      </c>
      <c r="V65" s="303">
        <v>7.1999999999999998E-3</v>
      </c>
      <c r="W65" s="303">
        <v>7.1999999999999998E-3</v>
      </c>
      <c r="X65" s="303">
        <v>7.1999999999999998E-3</v>
      </c>
      <c r="Y65" s="303">
        <v>7.1999999999999998E-3</v>
      </c>
      <c r="Z65" s="303">
        <v>7.1999999999999998E-3</v>
      </c>
      <c r="AA65" s="303">
        <v>7.1999999999999998E-3</v>
      </c>
      <c r="AB65" s="303">
        <v>7.1999999999999998E-3</v>
      </c>
      <c r="AC65" s="303">
        <v>7.1999999999999998E-3</v>
      </c>
      <c r="AD65" s="303">
        <v>7.1999999999999998E-3</v>
      </c>
      <c r="AE65" s="303">
        <v>7.1999999999999998E-3</v>
      </c>
      <c r="AF65" s="303">
        <v>7.1999999999999998E-3</v>
      </c>
      <c r="AG65" s="303">
        <v>7.1999999999999998E-3</v>
      </c>
      <c r="AH65" s="303">
        <v>7.1999999999999998E-3</v>
      </c>
      <c r="AI65" s="303">
        <v>7.1999999999999998E-3</v>
      </c>
      <c r="AJ65" s="303">
        <v>7.1999999999999998E-3</v>
      </c>
      <c r="AK65" s="303">
        <v>7.1999999999999998E-3</v>
      </c>
      <c r="AL65" s="303">
        <v>7.1999999999999998E-3</v>
      </c>
      <c r="AM65" s="303">
        <v>7.1999999999999998E-3</v>
      </c>
      <c r="AN65" s="303">
        <v>7.1999999999999998E-3</v>
      </c>
      <c r="AO65" s="303">
        <v>7.1999999999999998E-3</v>
      </c>
      <c r="AP65" s="303">
        <v>7.1999999999999998E-3</v>
      </c>
      <c r="AQ65" s="303">
        <v>7.1999999999999998E-3</v>
      </c>
      <c r="AR65" s="303">
        <v>7.1999999999999998E-3</v>
      </c>
      <c r="AS65" s="303">
        <v>7.1999999999999998E-3</v>
      </c>
      <c r="AT65" s="303">
        <v>7.1999999999999998E-3</v>
      </c>
      <c r="AU65" s="303">
        <v>7.1999999999999998E-3</v>
      </c>
      <c r="AV65" s="504"/>
    </row>
    <row r="66" spans="1:49" s="280" customFormat="1" ht="12.9" customHeight="1">
      <c r="A66" s="51" t="s">
        <v>398</v>
      </c>
      <c r="B66" s="303">
        <v>0</v>
      </c>
      <c r="C66" s="303">
        <v>1.647058439204055E-4</v>
      </c>
      <c r="D66" s="303">
        <v>1.2672518529265126E-4</v>
      </c>
      <c r="E66" s="303">
        <v>1.8906175257190543E-4</v>
      </c>
      <c r="F66" s="303">
        <v>2.164519940101673E-4</v>
      </c>
      <c r="G66" s="303">
        <v>1.9623690612093891E-4</v>
      </c>
      <c r="H66" s="303">
        <v>1.9874598756994066E-4</v>
      </c>
      <c r="I66" s="303">
        <v>1.8758244395432374E-4</v>
      </c>
      <c r="J66" s="303">
        <v>1.7672567922348721E-4</v>
      </c>
      <c r="K66" s="303">
        <v>1.9514548124748826E-4</v>
      </c>
      <c r="L66" s="303">
        <v>1.8211768711012903E-4</v>
      </c>
      <c r="M66" s="303">
        <v>0</v>
      </c>
      <c r="N66" s="303">
        <v>0</v>
      </c>
      <c r="O66" s="303">
        <v>1.2293595967897714E-4</v>
      </c>
      <c r="P66" s="303">
        <v>1.2293595967897714E-4</v>
      </c>
      <c r="Q66" s="303">
        <v>1.2293595967897714E-4</v>
      </c>
      <c r="R66" s="303">
        <v>1.2293595967897714E-4</v>
      </c>
      <c r="S66" s="303">
        <v>1.2293595967897714E-4</v>
      </c>
      <c r="T66" s="303">
        <v>1.2293595967897714E-4</v>
      </c>
      <c r="U66" s="303">
        <v>1.2293595967897714E-4</v>
      </c>
      <c r="V66" s="303">
        <v>1.2293595967897714E-4</v>
      </c>
      <c r="W66" s="303">
        <v>1.2293595967897714E-4</v>
      </c>
      <c r="X66" s="303">
        <v>1.2293595967897714E-4</v>
      </c>
      <c r="Y66" s="303">
        <v>1.2293595967897714E-4</v>
      </c>
      <c r="Z66" s="303">
        <v>1.2293595967897714E-4</v>
      </c>
      <c r="AA66" s="303">
        <v>1.2293595967897714E-4</v>
      </c>
      <c r="AB66" s="303">
        <v>1.2293595967897714E-4</v>
      </c>
      <c r="AC66" s="303">
        <v>1.2293595967897714E-4</v>
      </c>
      <c r="AD66" s="303">
        <v>1.2293595967897714E-4</v>
      </c>
      <c r="AE66" s="303">
        <v>1.2293595967897714E-4</v>
      </c>
      <c r="AF66" s="303">
        <v>1.2293595967897714E-4</v>
      </c>
      <c r="AG66" s="303">
        <v>1.2293595967897714E-4</v>
      </c>
      <c r="AH66" s="303">
        <v>1.2293595967897714E-4</v>
      </c>
      <c r="AI66" s="303">
        <v>1.2293595967897714E-4</v>
      </c>
      <c r="AJ66" s="303">
        <v>1.2293595967897714E-4</v>
      </c>
      <c r="AK66" s="303">
        <v>1.2293595967897714E-4</v>
      </c>
      <c r="AL66" s="303">
        <v>1.2293595967897714E-4</v>
      </c>
      <c r="AM66" s="303">
        <v>1.2293595967897714E-4</v>
      </c>
      <c r="AN66" s="303">
        <v>1.2293595967897714E-4</v>
      </c>
      <c r="AO66" s="303">
        <v>1.2293595967897714E-4</v>
      </c>
      <c r="AP66" s="303">
        <v>1.2293595967897714E-4</v>
      </c>
      <c r="AQ66" s="303">
        <v>1.2293595967897714E-4</v>
      </c>
      <c r="AR66" s="303">
        <v>1.2293595967897714E-4</v>
      </c>
      <c r="AS66" s="303">
        <v>1.2293595967897714E-4</v>
      </c>
      <c r="AT66" s="303">
        <v>1.2293595967897714E-4</v>
      </c>
      <c r="AU66" s="303">
        <v>1.2293595967897714E-4</v>
      </c>
      <c r="AV66" s="504"/>
    </row>
    <row r="67" spans="1:49" s="280" customFormat="1" ht="12.9" customHeight="1">
      <c r="A67" s="51" t="s">
        <v>399</v>
      </c>
      <c r="B67" s="303">
        <v>5.1557964091804333E-3</v>
      </c>
      <c r="C67" s="303">
        <v>9.9215200687948289E-3</v>
      </c>
      <c r="D67" s="303">
        <v>6.1796152784450737E-3</v>
      </c>
      <c r="E67" s="303">
        <v>1.1332353833410377E-2</v>
      </c>
      <c r="F67" s="303">
        <v>6.615925995702425E-3</v>
      </c>
      <c r="G67" s="303">
        <v>6.4067475516769376E-3</v>
      </c>
      <c r="H67" s="303">
        <v>1.1170492693989642E-2</v>
      </c>
      <c r="I67" s="303">
        <v>3.3219463293768882E-2</v>
      </c>
      <c r="J67" s="303">
        <v>3.1313177472848411E-2</v>
      </c>
      <c r="K67" s="303">
        <v>4.0799999999999996E-2</v>
      </c>
      <c r="L67" s="303">
        <v>5.099999999999999E-2</v>
      </c>
      <c r="M67" s="303">
        <v>6.1199999999999991E-2</v>
      </c>
      <c r="N67" s="303">
        <v>7.1399999999999991E-2</v>
      </c>
      <c r="O67" s="303">
        <v>8.1599999999999992E-2</v>
      </c>
      <c r="P67" s="303">
        <v>9.1799999999999993E-2</v>
      </c>
      <c r="Q67" s="303">
        <v>0.10199999999999999</v>
      </c>
      <c r="R67" s="303">
        <v>0.10199999999999999</v>
      </c>
      <c r="S67" s="303">
        <v>0.10199999999999999</v>
      </c>
      <c r="T67" s="303">
        <v>0.10199999999999998</v>
      </c>
      <c r="U67" s="303">
        <v>0.10199999999999998</v>
      </c>
      <c r="V67" s="303">
        <v>0.10199999999999998</v>
      </c>
      <c r="W67" s="303">
        <v>0.10199999999999999</v>
      </c>
      <c r="X67" s="303">
        <v>0.10199999999999999</v>
      </c>
      <c r="Y67" s="303">
        <v>0.10199999999999999</v>
      </c>
      <c r="Z67" s="303">
        <v>0.10199999999999999</v>
      </c>
      <c r="AA67" s="303">
        <v>0.10199999999999999</v>
      </c>
      <c r="AB67" s="303">
        <v>0.10199999999999999</v>
      </c>
      <c r="AC67" s="303">
        <v>0.10199999999999999</v>
      </c>
      <c r="AD67" s="303">
        <v>0.10199999999999999</v>
      </c>
      <c r="AE67" s="303">
        <v>0.10199999999999999</v>
      </c>
      <c r="AF67" s="303">
        <v>0.10199999999999999</v>
      </c>
      <c r="AG67" s="303">
        <v>0.10199999999999999</v>
      </c>
      <c r="AH67" s="303">
        <v>0.10199999999999999</v>
      </c>
      <c r="AI67" s="303">
        <v>0.10199999999999999</v>
      </c>
      <c r="AJ67" s="303">
        <v>0.10199999999999999</v>
      </c>
      <c r="AK67" s="303">
        <v>0.10199999999999999</v>
      </c>
      <c r="AL67" s="303">
        <v>0.10199999999999999</v>
      </c>
      <c r="AM67" s="303">
        <v>0.10199999999999999</v>
      </c>
      <c r="AN67" s="303">
        <v>0.10199999999999999</v>
      </c>
      <c r="AO67" s="303">
        <v>0.10199999999999999</v>
      </c>
      <c r="AP67" s="303">
        <v>0.10199999999999999</v>
      </c>
      <c r="AQ67" s="303">
        <v>0.10199999999999999</v>
      </c>
      <c r="AR67" s="303">
        <v>0.10199999999999999</v>
      </c>
      <c r="AS67" s="303">
        <v>0.10199999999999999</v>
      </c>
      <c r="AT67" s="303">
        <v>0.10199999999999999</v>
      </c>
      <c r="AU67" s="303">
        <v>0.10199999999999999</v>
      </c>
      <c r="AV67" s="504"/>
    </row>
    <row r="68" spans="1:49" s="280" customFormat="1" ht="12.9" customHeight="1">
      <c r="A68" s="51" t="s">
        <v>249</v>
      </c>
      <c r="B68" s="303">
        <v>0</v>
      </c>
      <c r="C68" s="303">
        <v>0</v>
      </c>
      <c r="D68" s="303">
        <v>0</v>
      </c>
      <c r="E68" s="303">
        <v>0</v>
      </c>
      <c r="F68" s="303">
        <v>0</v>
      </c>
      <c r="G68" s="303">
        <v>0</v>
      </c>
      <c r="H68" s="303">
        <v>0</v>
      </c>
      <c r="I68" s="303">
        <v>4.8000000000000001E-4</v>
      </c>
      <c r="J68" s="303">
        <v>7.1999999999999994E-4</v>
      </c>
      <c r="K68" s="303">
        <v>9.5999999999999992E-4</v>
      </c>
      <c r="L68" s="303">
        <v>1.1999999999999999E-3</v>
      </c>
      <c r="M68" s="303">
        <v>1.4399999999999999E-3</v>
      </c>
      <c r="N68" s="303">
        <v>1.6799999999999999E-3</v>
      </c>
      <c r="O68" s="303">
        <v>1.9199999999999998E-3</v>
      </c>
      <c r="P68" s="303">
        <v>2.1599999999999996E-3</v>
      </c>
      <c r="Q68" s="303">
        <v>2.3999999999999998E-3</v>
      </c>
      <c r="R68" s="303">
        <v>2.3999999999999998E-3</v>
      </c>
      <c r="S68" s="303">
        <v>2.3999999999999998E-3</v>
      </c>
      <c r="T68" s="303">
        <v>2.3999999999999998E-3</v>
      </c>
      <c r="U68" s="303">
        <v>2.4642088559872735E-3</v>
      </c>
      <c r="V68" s="303">
        <v>2.4642088559872735E-3</v>
      </c>
      <c r="W68" s="303">
        <v>3.2661369779701213E-3</v>
      </c>
      <c r="X68" s="303">
        <v>3.2661369779701213E-3</v>
      </c>
      <c r="Y68" s="303">
        <v>3.2661369779701213E-3</v>
      </c>
      <c r="Z68" s="303">
        <v>3.7649310341666391E-3</v>
      </c>
      <c r="AA68" s="303">
        <v>3.7649310341666391E-3</v>
      </c>
      <c r="AB68" s="303">
        <v>3.7649310341666391E-3</v>
      </c>
      <c r="AC68" s="303">
        <v>3.7649310341666391E-3</v>
      </c>
      <c r="AD68" s="303">
        <v>3.7649310341666391E-3</v>
      </c>
      <c r="AE68" s="303">
        <v>3.7649310341666391E-3</v>
      </c>
      <c r="AF68" s="303">
        <v>3.7649310341666391E-3</v>
      </c>
      <c r="AG68" s="303">
        <v>3.7649310341666391E-3</v>
      </c>
      <c r="AH68" s="303">
        <v>3.7649310341666391E-3</v>
      </c>
      <c r="AI68" s="303">
        <v>3.7649310341666391E-3</v>
      </c>
      <c r="AJ68" s="303">
        <v>3.7649310341666391E-3</v>
      </c>
      <c r="AK68" s="303">
        <v>3.7649310341666391E-3</v>
      </c>
      <c r="AL68" s="303">
        <v>3.7649310341666391E-3</v>
      </c>
      <c r="AM68" s="303">
        <v>3.7649310341666391E-3</v>
      </c>
      <c r="AN68" s="303">
        <v>3.7649310341666391E-3</v>
      </c>
      <c r="AO68" s="303">
        <v>3.7649310341666391E-3</v>
      </c>
      <c r="AP68" s="303">
        <v>3.7649310341666391E-3</v>
      </c>
      <c r="AQ68" s="303">
        <v>3.7649310341666391E-3</v>
      </c>
      <c r="AR68" s="303">
        <v>3.7649310341666391E-3</v>
      </c>
      <c r="AS68" s="303">
        <v>3.7649310341666391E-3</v>
      </c>
      <c r="AT68" s="303">
        <v>3.7649310341666391E-3</v>
      </c>
      <c r="AU68" s="303">
        <v>3.7649310341666391E-3</v>
      </c>
      <c r="AV68" s="504"/>
    </row>
    <row r="69" spans="1:49" s="280" customFormat="1" ht="12.9" customHeight="1">
      <c r="A69" s="51" t="s">
        <v>354</v>
      </c>
      <c r="B69" s="303">
        <v>9.592633848641679E-4</v>
      </c>
      <c r="C69" s="303">
        <v>6.6179805189737096E-4</v>
      </c>
      <c r="D69" s="303">
        <v>5.5542676186193815E-4</v>
      </c>
      <c r="E69" s="303">
        <v>2.5830910345953057E-4</v>
      </c>
      <c r="F69" s="303">
        <v>1.8068367152797817E-4</v>
      </c>
      <c r="G69" s="303">
        <v>2.1218061970037025E-4</v>
      </c>
      <c r="H69" s="303">
        <v>5.4013262840766458E-4</v>
      </c>
      <c r="I69" s="303">
        <v>9.2300684908240842E-4</v>
      </c>
      <c r="J69" s="303">
        <v>6.6516882400011375E-4</v>
      </c>
      <c r="K69" s="303">
        <v>1.1378056921532269E-3</v>
      </c>
      <c r="L69" s="303">
        <v>1.5073479589894744E-3</v>
      </c>
      <c r="M69" s="303">
        <v>1.6943692538730864E-3</v>
      </c>
      <c r="N69" s="303">
        <v>1.292764921153633E-3</v>
      </c>
      <c r="O69" s="303">
        <v>1.1933598960928769E-3</v>
      </c>
      <c r="P69" s="303">
        <v>1.1933598960928769E-3</v>
      </c>
      <c r="Q69" s="303">
        <v>1.1933598960928769E-3</v>
      </c>
      <c r="R69" s="303">
        <v>1.1933598960928769E-3</v>
      </c>
      <c r="S69" s="303">
        <v>1.1933598960928769E-3</v>
      </c>
      <c r="T69" s="303">
        <v>1.1933598960928769E-3</v>
      </c>
      <c r="U69" s="303">
        <v>1.1933598960928769E-3</v>
      </c>
      <c r="V69" s="303">
        <v>1.1933598960928769E-3</v>
      </c>
      <c r="W69" s="303">
        <v>1.1933598960928769E-3</v>
      </c>
      <c r="X69" s="303">
        <v>1.1933598960928769E-3</v>
      </c>
      <c r="Y69" s="303">
        <v>1.1933598960928769E-3</v>
      </c>
      <c r="Z69" s="303">
        <v>1.1933598960928769E-3</v>
      </c>
      <c r="AA69" s="303">
        <v>1.1933598960928769E-3</v>
      </c>
      <c r="AB69" s="303">
        <v>1.1933598960928769E-3</v>
      </c>
      <c r="AC69" s="303">
        <v>1.1933598960928769E-3</v>
      </c>
      <c r="AD69" s="303">
        <v>1.1933598960928769E-3</v>
      </c>
      <c r="AE69" s="303">
        <v>1.1933598960928769E-3</v>
      </c>
      <c r="AF69" s="303">
        <v>1.1933598960928769E-3</v>
      </c>
      <c r="AG69" s="303">
        <v>1.1933598960928769E-3</v>
      </c>
      <c r="AH69" s="303">
        <v>1.1933598960928769E-3</v>
      </c>
      <c r="AI69" s="303">
        <v>1.1933598960928769E-3</v>
      </c>
      <c r="AJ69" s="303">
        <v>1.1933598960928769E-3</v>
      </c>
      <c r="AK69" s="303">
        <v>1.1933598960928769E-3</v>
      </c>
      <c r="AL69" s="303">
        <v>1.1933598960928769E-3</v>
      </c>
      <c r="AM69" s="303">
        <v>1.1933598960928769E-3</v>
      </c>
      <c r="AN69" s="303">
        <v>1.1933598960928769E-3</v>
      </c>
      <c r="AO69" s="303">
        <v>1.1933598960928769E-3</v>
      </c>
      <c r="AP69" s="303">
        <v>1.1933598960928769E-3</v>
      </c>
      <c r="AQ69" s="303">
        <v>1.1933598960928769E-3</v>
      </c>
      <c r="AR69" s="303">
        <v>1.1933598960928769E-3</v>
      </c>
      <c r="AS69" s="303">
        <v>1.1933598960928769E-3</v>
      </c>
      <c r="AT69" s="303">
        <v>1.1933598960928769E-3</v>
      </c>
      <c r="AU69" s="303">
        <v>1.1933598960928769E-3</v>
      </c>
      <c r="AV69" s="504"/>
    </row>
    <row r="70" spans="1:49" s="280" customFormat="1" ht="12.9" customHeight="1">
      <c r="A70" s="51" t="s">
        <v>353</v>
      </c>
      <c r="B70" s="303">
        <v>1.7988273821387636E-3</v>
      </c>
      <c r="C70" s="303">
        <v>3.7971039237130817E-3</v>
      </c>
      <c r="D70" s="303">
        <v>3.2678155152453536E-3</v>
      </c>
      <c r="E70" s="303">
        <v>3.1014176230452096E-3</v>
      </c>
      <c r="F70" s="303">
        <v>3.3325198104813083E-3</v>
      </c>
      <c r="G70" s="303">
        <v>3.757657773227268E-3</v>
      </c>
      <c r="H70" s="303">
        <v>3.6984032984225127E-3</v>
      </c>
      <c r="I70" s="303">
        <v>3.343485915486194E-3</v>
      </c>
      <c r="J70" s="303">
        <v>2.4301587792292067E-3</v>
      </c>
      <c r="K70" s="303">
        <v>2.2222026885845405E-3</v>
      </c>
      <c r="L70" s="303">
        <v>1.2535607064825709E-3</v>
      </c>
      <c r="M70" s="303">
        <v>1.2658171108505154E-3</v>
      </c>
      <c r="N70" s="303">
        <v>1.8524568626935116E-3</v>
      </c>
      <c r="O70" s="303">
        <v>2.0591872218044594E-3</v>
      </c>
      <c r="P70" s="303">
        <v>2.0591872218044594E-3</v>
      </c>
      <c r="Q70" s="303">
        <v>2.0591872218044594E-3</v>
      </c>
      <c r="R70" s="303">
        <v>2.0591872218044594E-3</v>
      </c>
      <c r="S70" s="303">
        <v>2.0591872218044594E-3</v>
      </c>
      <c r="T70" s="303">
        <v>2.0591872218044594E-3</v>
      </c>
      <c r="U70" s="303">
        <v>2.0591872218044594E-3</v>
      </c>
      <c r="V70" s="303">
        <v>2.0591872218044594E-3</v>
      </c>
      <c r="W70" s="303">
        <v>2.0591872218044594E-3</v>
      </c>
      <c r="X70" s="303">
        <v>2.0591872218044594E-3</v>
      </c>
      <c r="Y70" s="303">
        <v>2.0591872218044594E-3</v>
      </c>
      <c r="Z70" s="303">
        <v>2.0591872218044594E-3</v>
      </c>
      <c r="AA70" s="303">
        <v>2.0591872218044594E-3</v>
      </c>
      <c r="AB70" s="303">
        <v>2.0591872218044594E-3</v>
      </c>
      <c r="AC70" s="303">
        <v>2.0591872218044594E-3</v>
      </c>
      <c r="AD70" s="303">
        <v>2.0591872218044594E-3</v>
      </c>
      <c r="AE70" s="303">
        <v>2.0591872218044594E-3</v>
      </c>
      <c r="AF70" s="303">
        <v>2.0591872218044594E-3</v>
      </c>
      <c r="AG70" s="303">
        <v>2.0591872218044594E-3</v>
      </c>
      <c r="AH70" s="303">
        <v>2.0591872218044594E-3</v>
      </c>
      <c r="AI70" s="303">
        <v>2.0591872218044594E-3</v>
      </c>
      <c r="AJ70" s="303">
        <v>2.0591872218044594E-3</v>
      </c>
      <c r="AK70" s="303">
        <v>2.0591872218044594E-3</v>
      </c>
      <c r="AL70" s="303">
        <v>2.0591872218044594E-3</v>
      </c>
      <c r="AM70" s="303">
        <v>2.0591872218044594E-3</v>
      </c>
      <c r="AN70" s="303">
        <v>2.0591872218044594E-3</v>
      </c>
      <c r="AO70" s="303">
        <v>2.0591872218044594E-3</v>
      </c>
      <c r="AP70" s="303">
        <v>2.0591872218044594E-3</v>
      </c>
      <c r="AQ70" s="303">
        <v>2.0591872218044594E-3</v>
      </c>
      <c r="AR70" s="303">
        <v>2.0591872218044594E-3</v>
      </c>
      <c r="AS70" s="303">
        <v>2.0591872218044594E-3</v>
      </c>
      <c r="AT70" s="303">
        <v>2.0591872218044594E-3</v>
      </c>
      <c r="AU70" s="303">
        <v>2.0591872218044594E-3</v>
      </c>
      <c r="AV70" s="504"/>
    </row>
    <row r="71" spans="1:49" s="280" customFormat="1" ht="12.9" customHeight="1">
      <c r="A71" s="51" t="s">
        <v>355</v>
      </c>
      <c r="B71" s="303">
        <v>3.7126472073078278E-4</v>
      </c>
      <c r="C71" s="303">
        <v>1.2425532829452244E-4</v>
      </c>
      <c r="D71" s="303">
        <v>1.4636471939059393E-4</v>
      </c>
      <c r="E71" s="303">
        <v>2.1736563262060333E-4</v>
      </c>
      <c r="F71" s="303">
        <v>3.2235988416141811E-4</v>
      </c>
      <c r="G71" s="303">
        <v>3.2192229378798264E-4</v>
      </c>
      <c r="H71" s="303">
        <v>2.9972500167656517E-4</v>
      </c>
      <c r="I71" s="303">
        <v>4.015224300404352E-4</v>
      </c>
      <c r="J71" s="303">
        <v>4.3286730997305067E-4</v>
      </c>
      <c r="K71" s="303">
        <v>6.5332497557524238E-4</v>
      </c>
      <c r="L71" s="303">
        <v>5.6699344327659773E-4</v>
      </c>
      <c r="M71" s="303">
        <v>5.4995504879307155E-4</v>
      </c>
      <c r="N71" s="303">
        <v>3.7468765306014618E-4</v>
      </c>
      <c r="O71" s="303">
        <v>4.931094611706488E-4</v>
      </c>
      <c r="P71" s="303">
        <v>4.9310946117042675E-4</v>
      </c>
      <c r="Q71" s="303">
        <v>4.931094611706488E-4</v>
      </c>
      <c r="R71" s="303">
        <v>4.931094611706488E-4</v>
      </c>
      <c r="S71" s="303">
        <v>4.931094611706488E-4</v>
      </c>
      <c r="T71" s="303">
        <v>4.9310946117075982E-4</v>
      </c>
      <c r="U71" s="303">
        <v>4.931094611706488E-4</v>
      </c>
      <c r="V71" s="303">
        <v>4.931094611706488E-4</v>
      </c>
      <c r="W71" s="303">
        <v>4.931094611706488E-4</v>
      </c>
      <c r="X71" s="303">
        <v>4.931094611706488E-4</v>
      </c>
      <c r="Y71" s="303">
        <v>4.931094611706488E-4</v>
      </c>
      <c r="Z71" s="303">
        <v>4.931094611706488E-4</v>
      </c>
      <c r="AA71" s="303">
        <v>4.931094611706488E-4</v>
      </c>
      <c r="AB71" s="303">
        <v>4.931094611706488E-4</v>
      </c>
      <c r="AC71" s="303">
        <v>4.931094611706488E-4</v>
      </c>
      <c r="AD71" s="303">
        <v>4.931094611706488E-4</v>
      </c>
      <c r="AE71" s="303">
        <v>4.931094611706488E-4</v>
      </c>
      <c r="AF71" s="303">
        <v>4.931094611706488E-4</v>
      </c>
      <c r="AG71" s="303">
        <v>4.931094611706488E-4</v>
      </c>
      <c r="AH71" s="303">
        <v>4.931094611706488E-4</v>
      </c>
      <c r="AI71" s="303">
        <v>4.931094611706488E-4</v>
      </c>
      <c r="AJ71" s="303">
        <v>4.931094611706488E-4</v>
      </c>
      <c r="AK71" s="303">
        <v>4.931094611706488E-4</v>
      </c>
      <c r="AL71" s="303">
        <v>4.931094611706488E-4</v>
      </c>
      <c r="AM71" s="303">
        <v>4.931094611706488E-4</v>
      </c>
      <c r="AN71" s="303">
        <v>4.931094611706488E-4</v>
      </c>
      <c r="AO71" s="303">
        <v>4.931094611706488E-4</v>
      </c>
      <c r="AP71" s="303">
        <v>4.931094611706488E-4</v>
      </c>
      <c r="AQ71" s="303">
        <v>4.931094611706488E-4</v>
      </c>
      <c r="AR71" s="303">
        <v>4.931094611706488E-4</v>
      </c>
      <c r="AS71" s="303">
        <v>4.931094611706488E-4</v>
      </c>
      <c r="AT71" s="303">
        <v>4.931094611706488E-4</v>
      </c>
      <c r="AU71" s="303">
        <v>4.931094611706488E-4</v>
      </c>
      <c r="AV71" s="504"/>
    </row>
    <row r="72" spans="1:49" s="398" customFormat="1" ht="12.9" customHeight="1">
      <c r="A72" s="104"/>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504"/>
    </row>
    <row r="73" spans="1:49" s="398" customFormat="1" ht="12.9" customHeight="1">
      <c r="A73" s="63" t="s">
        <v>1320</v>
      </c>
      <c r="B73" s="304"/>
      <c r="C73" s="304"/>
      <c r="D73" s="304"/>
      <c r="E73" s="304"/>
      <c r="F73" s="304"/>
      <c r="G73" s="304"/>
      <c r="H73" s="304"/>
      <c r="I73" s="304"/>
      <c r="J73" s="304"/>
      <c r="K73" s="304"/>
      <c r="L73" s="304"/>
      <c r="M73" s="304"/>
      <c r="N73" s="304"/>
      <c r="O73" s="302">
        <v>1.6914595240973111E-2</v>
      </c>
      <c r="P73" s="302">
        <v>1.6914595240973111E-2</v>
      </c>
      <c r="Q73" s="302">
        <v>1.6914595240973111E-2</v>
      </c>
      <c r="R73" s="302">
        <v>1.1930158979769527E-2</v>
      </c>
      <c r="S73" s="302">
        <v>1.1930158979769527E-2</v>
      </c>
      <c r="T73" s="302">
        <v>4.9844362612035849E-3</v>
      </c>
      <c r="U73" s="302">
        <v>4.9844362612035849E-3</v>
      </c>
      <c r="V73" s="302">
        <v>4.9844362612035849E-3</v>
      </c>
      <c r="W73" s="302">
        <v>0</v>
      </c>
      <c r="X73" s="302">
        <v>0</v>
      </c>
      <c r="Y73" s="302">
        <v>0</v>
      </c>
      <c r="Z73" s="302">
        <v>0</v>
      </c>
      <c r="AA73" s="302">
        <v>0</v>
      </c>
      <c r="AB73" s="302">
        <v>0</v>
      </c>
      <c r="AC73" s="302">
        <v>0</v>
      </c>
      <c r="AD73" s="302">
        <v>0</v>
      </c>
      <c r="AE73" s="302">
        <v>0</v>
      </c>
      <c r="AF73" s="302">
        <v>0</v>
      </c>
      <c r="AG73" s="302">
        <v>0</v>
      </c>
      <c r="AH73" s="302">
        <v>0</v>
      </c>
      <c r="AI73" s="302">
        <v>0</v>
      </c>
      <c r="AJ73" s="302">
        <v>0</v>
      </c>
      <c r="AK73" s="302">
        <v>0</v>
      </c>
      <c r="AL73" s="302">
        <v>0</v>
      </c>
      <c r="AM73" s="302">
        <v>0</v>
      </c>
      <c r="AN73" s="302">
        <v>0</v>
      </c>
      <c r="AO73" s="302">
        <v>0</v>
      </c>
      <c r="AP73" s="302">
        <v>0</v>
      </c>
      <c r="AQ73" s="302">
        <v>0</v>
      </c>
      <c r="AR73" s="302">
        <v>0</v>
      </c>
      <c r="AS73" s="302">
        <v>0</v>
      </c>
      <c r="AT73" s="302">
        <v>0</v>
      </c>
      <c r="AU73" s="302">
        <v>0</v>
      </c>
      <c r="AV73" s="504"/>
    </row>
    <row r="74" spans="1:49" s="280" customFormat="1" ht="12.9" customHeight="1">
      <c r="AV74" s="504"/>
    </row>
    <row r="75" spans="1:49" s="280" customFormat="1" ht="12.9" customHeight="1">
      <c r="A75" s="280" t="s">
        <v>456</v>
      </c>
      <c r="AV75" s="504"/>
    </row>
    <row r="76" spans="1:49" s="280" customFormat="1" ht="12.9" customHeight="1">
      <c r="A76" s="53" t="s">
        <v>449</v>
      </c>
      <c r="B76" s="302">
        <v>0.5</v>
      </c>
      <c r="C76" s="302">
        <v>0.5</v>
      </c>
      <c r="D76" s="302">
        <v>0.5</v>
      </c>
      <c r="E76" s="302">
        <v>0.3</v>
      </c>
      <c r="F76" s="302">
        <v>0.3</v>
      </c>
      <c r="G76" s="302">
        <v>0.3</v>
      </c>
      <c r="H76" s="302">
        <v>0.3</v>
      </c>
      <c r="I76" s="302">
        <v>0.34</v>
      </c>
      <c r="J76" s="302">
        <v>0.29199999999999998</v>
      </c>
      <c r="K76" s="302">
        <v>0.29199999999999998</v>
      </c>
      <c r="L76" s="302">
        <v>0.29799999999999999</v>
      </c>
      <c r="M76" s="302">
        <v>0.30193360000000002</v>
      </c>
      <c r="N76" s="302">
        <v>0.30591912352000006</v>
      </c>
      <c r="O76" s="302">
        <v>0.30995725595046408</v>
      </c>
      <c r="P76" s="302">
        <v>0.31404869172901023</v>
      </c>
      <c r="Q76" s="302">
        <v>0.31819413445983319</v>
      </c>
      <c r="R76" s="302">
        <v>0.32239429703470301</v>
      </c>
      <c r="S76" s="302">
        <v>0.32664990175556113</v>
      </c>
      <c r="T76" s="302">
        <v>0.33096168045873459</v>
      </c>
      <c r="U76" s="302">
        <v>0.33533037464078991</v>
      </c>
      <c r="V76" s="302">
        <v>0.33975673558604835</v>
      </c>
      <c r="W76" s="302">
        <v>0.34424152449578421</v>
      </c>
      <c r="X76" s="302">
        <v>0.3487855126191286</v>
      </c>
      <c r="Y76" s="302">
        <v>0.35338948138570114</v>
      </c>
      <c r="Z76" s="302">
        <v>0.35805422253999242</v>
      </c>
      <c r="AA76" s="302">
        <v>0.36278053827752033</v>
      </c>
      <c r="AB76" s="302">
        <v>0.36756924138278363</v>
      </c>
      <c r="AC76" s="302">
        <v>0.37242115536903642</v>
      </c>
      <c r="AD76" s="302">
        <v>0.37733711461990771</v>
      </c>
      <c r="AE76" s="302">
        <v>0.38231796453289052</v>
      </c>
      <c r="AF76" s="302">
        <v>0.38736456166472472</v>
      </c>
      <c r="AG76" s="302">
        <v>0.39247777387869914</v>
      </c>
      <c r="AH76" s="302">
        <v>0.39765848049389801</v>
      </c>
      <c r="AI76" s="302">
        <v>0.4029075724364175</v>
      </c>
      <c r="AJ76" s="302">
        <v>0.40822595239257825</v>
      </c>
      <c r="AK76" s="302">
        <v>0.41361453496416034</v>
      </c>
      <c r="AL76" s="302">
        <v>0.41907424682568728</v>
      </c>
      <c r="AM76" s="302">
        <v>0.4246060268837864</v>
      </c>
      <c r="AN76" s="302">
        <v>0.43021082643865244</v>
      </c>
      <c r="AO76" s="302">
        <v>0.4358896093476427</v>
      </c>
      <c r="AP76" s="302">
        <v>0.44164335219103162</v>
      </c>
      <c r="AQ76" s="302">
        <v>0.44747304443995328</v>
      </c>
      <c r="AR76" s="302">
        <v>0.4533796886265607</v>
      </c>
      <c r="AS76" s="302">
        <v>0.45936430051643135</v>
      </c>
      <c r="AT76" s="302">
        <v>0.46542790928324829</v>
      </c>
      <c r="AU76" s="302">
        <v>0.47157155768578723</v>
      </c>
      <c r="AV76" s="472">
        <f t="shared" ref="AV76:AV82" si="5">((AU76-O76)/O76)/32</f>
        <v>1.6294010971745043E-2</v>
      </c>
      <c r="AW76" s="513" t="s">
        <v>1468</v>
      </c>
    </row>
    <row r="77" spans="1:49" s="280" customFormat="1" ht="12.9" customHeight="1">
      <c r="A77" s="53" t="s">
        <v>450</v>
      </c>
      <c r="B77" s="302">
        <v>1</v>
      </c>
      <c r="C77" s="302">
        <v>2.1</v>
      </c>
      <c r="D77" s="302">
        <v>0.8</v>
      </c>
      <c r="E77" s="302">
        <v>0.9</v>
      </c>
      <c r="F77" s="302">
        <v>0.5</v>
      </c>
      <c r="G77" s="302">
        <v>0.5</v>
      </c>
      <c r="H77" s="302">
        <v>0.5</v>
      </c>
      <c r="I77" s="302">
        <v>0.64</v>
      </c>
      <c r="J77" s="302">
        <v>0.72599999999999998</v>
      </c>
      <c r="K77" s="302">
        <v>0.72599999999999998</v>
      </c>
      <c r="L77" s="302">
        <v>0.78</v>
      </c>
      <c r="M77" s="302">
        <v>0.79029600000000011</v>
      </c>
      <c r="N77" s="302">
        <v>0.8007279072000002</v>
      </c>
      <c r="O77" s="302">
        <v>0.81129751557504026</v>
      </c>
      <c r="P77" s="302">
        <v>0.82200664278063085</v>
      </c>
      <c r="Q77" s="302">
        <v>0.83285713046533527</v>
      </c>
      <c r="R77" s="302">
        <v>0.84385084458747783</v>
      </c>
      <c r="S77" s="302">
        <v>0.85498967573603257</v>
      </c>
      <c r="T77" s="302">
        <v>0.86627553945574831</v>
      </c>
      <c r="U77" s="302">
        <v>0.87771037657656426</v>
      </c>
      <c r="V77" s="302">
        <v>0.88929615354737501</v>
      </c>
      <c r="W77" s="302">
        <v>0.90103486277420042</v>
      </c>
      <c r="X77" s="302">
        <v>0.9129285229628199</v>
      </c>
      <c r="Y77" s="302">
        <v>0.92497917946592922</v>
      </c>
      <c r="Z77" s="302">
        <v>0.93718890463487958</v>
      </c>
      <c r="AA77" s="302">
        <v>0.94955979817606007</v>
      </c>
      <c r="AB77" s="302">
        <v>0.96209398751198416</v>
      </c>
      <c r="AC77" s="302">
        <v>0.97479362814714243</v>
      </c>
      <c r="AD77" s="302">
        <v>0.98766090403868478</v>
      </c>
      <c r="AE77" s="302">
        <v>1.0006980279719955</v>
      </c>
      <c r="AF77" s="302">
        <v>1.0139072419412258</v>
      </c>
      <c r="AG77" s="302">
        <v>1.0272908175348501</v>
      </c>
      <c r="AH77" s="302">
        <v>1.0408510563263103</v>
      </c>
      <c r="AI77" s="302">
        <v>1.0545902902698177</v>
      </c>
      <c r="AJ77" s="302">
        <v>1.0685108821013793</v>
      </c>
      <c r="AK77" s="302">
        <v>1.0826152257451176</v>
      </c>
      <c r="AL77" s="302">
        <v>1.0969057467249532</v>
      </c>
      <c r="AM77" s="302">
        <v>1.1113849025817226</v>
      </c>
      <c r="AN77" s="302">
        <v>1.1260551832958015</v>
      </c>
      <c r="AO77" s="302">
        <v>1.1409191117153061</v>
      </c>
      <c r="AP77" s="302">
        <v>1.1559792439899483</v>
      </c>
      <c r="AQ77" s="302">
        <v>1.1712381700106158</v>
      </c>
      <c r="AR77" s="302">
        <v>1.1866985138547561</v>
      </c>
      <c r="AS77" s="302">
        <v>1.202362934237639</v>
      </c>
      <c r="AT77" s="302">
        <v>1.2182341249695758</v>
      </c>
      <c r="AU77" s="302">
        <v>1.2343148154191743</v>
      </c>
      <c r="AV77" s="472">
        <f t="shared" si="5"/>
        <v>1.6294010971745029E-2</v>
      </c>
      <c r="AW77" s="513" t="s">
        <v>1468</v>
      </c>
    </row>
    <row r="78" spans="1:49" s="280" customFormat="1" ht="12.9" customHeight="1">
      <c r="A78" s="53" t="s">
        <v>451</v>
      </c>
      <c r="B78" s="302">
        <v>0.03</v>
      </c>
      <c r="C78" s="302">
        <v>2.5000000000000001E-2</v>
      </c>
      <c r="D78" s="302">
        <v>0.02</v>
      </c>
      <c r="E78" s="302">
        <v>0.02</v>
      </c>
      <c r="F78" s="302">
        <v>1.4999999999999999E-2</v>
      </c>
      <c r="G78" s="302">
        <v>0.01</v>
      </c>
      <c r="H78" s="302">
        <v>0.01</v>
      </c>
      <c r="I78" s="302">
        <v>1.4999999999999999E-2</v>
      </c>
      <c r="J78" s="302">
        <v>1.3000000000000001E-2</v>
      </c>
      <c r="K78" s="302">
        <v>1.3000000000000001E-2</v>
      </c>
      <c r="L78" s="302">
        <v>1.1000000000000001E-2</v>
      </c>
      <c r="M78" s="302">
        <v>1.1145200000000003E-2</v>
      </c>
      <c r="N78" s="302">
        <v>1.1292316640000005E-2</v>
      </c>
      <c r="O78" s="302">
        <v>1.1441375219648007E-2</v>
      </c>
      <c r="P78" s="302">
        <v>1.1592401372547361E-2</v>
      </c>
      <c r="Q78" s="302">
        <v>1.1745421070664988E-2</v>
      </c>
      <c r="R78" s="302">
        <v>1.1900460628797767E-2</v>
      </c>
      <c r="S78" s="302">
        <v>1.2057546709097899E-2</v>
      </c>
      <c r="T78" s="302">
        <v>1.2216706325657993E-2</v>
      </c>
      <c r="U78" s="302">
        <v>1.237796684915668E-2</v>
      </c>
      <c r="V78" s="302">
        <v>1.2541356011565549E-2</v>
      </c>
      <c r="W78" s="302">
        <v>1.2706901910918215E-2</v>
      </c>
      <c r="X78" s="302">
        <v>1.2874633016142337E-2</v>
      </c>
      <c r="Y78" s="302">
        <v>1.3044578171955418E-2</v>
      </c>
      <c r="Z78" s="302">
        <v>1.3216766603825231E-2</v>
      </c>
      <c r="AA78" s="302">
        <v>1.3391227922995725E-2</v>
      </c>
      <c r="AB78" s="302">
        <v>1.3567992131579271E-2</v>
      </c>
      <c r="AC78" s="302">
        <v>1.3747089627716119E-2</v>
      </c>
      <c r="AD78" s="302">
        <v>1.3928551210801974E-2</v>
      </c>
      <c r="AE78" s="302">
        <v>1.4112408086784562E-2</v>
      </c>
      <c r="AF78" s="302">
        <v>1.429869187353012E-2</v>
      </c>
      <c r="AG78" s="302">
        <v>1.4487434606260719E-2</v>
      </c>
      <c r="AH78" s="302">
        <v>1.4678668743063361E-2</v>
      </c>
      <c r="AI78" s="302">
        <v>1.4872427170471799E-2</v>
      </c>
      <c r="AJ78" s="302">
        <v>1.5068743209122028E-2</v>
      </c>
      <c r="AK78" s="302">
        <v>1.526765061948244E-2</v>
      </c>
      <c r="AL78" s="302">
        <v>1.5469183607659609E-2</v>
      </c>
      <c r="AM78" s="302">
        <v>1.5673376831280717E-2</v>
      </c>
      <c r="AN78" s="302">
        <v>1.5880265405453623E-2</v>
      </c>
      <c r="AO78" s="302">
        <v>1.6089884908805613E-2</v>
      </c>
      <c r="AP78" s="302">
        <v>1.6302271389601847E-2</v>
      </c>
      <c r="AQ78" s="302">
        <v>1.6517461371944594E-2</v>
      </c>
      <c r="AR78" s="302">
        <v>1.6735491862054263E-2</v>
      </c>
      <c r="AS78" s="302">
        <v>1.6956400354633382E-2</v>
      </c>
      <c r="AT78" s="302">
        <v>1.7180224839314542E-2</v>
      </c>
      <c r="AU78" s="302">
        <v>1.7407003807193497E-2</v>
      </c>
      <c r="AV78" s="472">
        <f t="shared" si="5"/>
        <v>1.6294010971745054E-2</v>
      </c>
      <c r="AW78" s="513" t="s">
        <v>1468</v>
      </c>
    </row>
    <row r="79" spans="1:49" s="280" customFormat="1" ht="12.9" customHeight="1">
      <c r="A79" s="53" t="s">
        <v>452</v>
      </c>
      <c r="B79" s="302">
        <v>0.1</v>
      </c>
      <c r="C79" s="302">
        <v>0.1</v>
      </c>
      <c r="D79" s="302">
        <v>0.1</v>
      </c>
      <c r="E79" s="302">
        <v>0.1</v>
      </c>
      <c r="F79" s="302">
        <v>0.1</v>
      </c>
      <c r="G79" s="302">
        <v>0.1</v>
      </c>
      <c r="H79" s="302">
        <v>0.1</v>
      </c>
      <c r="I79" s="302">
        <v>0.1</v>
      </c>
      <c r="J79" s="302">
        <v>0.09</v>
      </c>
      <c r="K79" s="302">
        <v>0.09</v>
      </c>
      <c r="L79" s="302">
        <v>0.08</v>
      </c>
      <c r="M79" s="302">
        <v>8.1056000000000003E-2</v>
      </c>
      <c r="N79" s="302">
        <v>8.2125939200000012E-2</v>
      </c>
      <c r="O79" s="302">
        <v>8.321000159744002E-2</v>
      </c>
      <c r="P79" s="302">
        <v>8.4308373618526236E-2</v>
      </c>
      <c r="Q79" s="302">
        <v>8.5421244150290787E-2</v>
      </c>
      <c r="R79" s="302">
        <v>8.6548804573074636E-2</v>
      </c>
      <c r="S79" s="302">
        <v>8.769124879343923E-2</v>
      </c>
      <c r="T79" s="302">
        <v>8.8848773277512644E-2</v>
      </c>
      <c r="U79" s="302">
        <v>9.0021577084775817E-2</v>
      </c>
      <c r="V79" s="302">
        <v>9.1209861902294867E-2</v>
      </c>
      <c r="W79" s="302">
        <v>9.2413832079405164E-2</v>
      </c>
      <c r="X79" s="302">
        <v>9.3633694662853317E-2</v>
      </c>
      <c r="Y79" s="302">
        <v>9.4869659432402997E-2</v>
      </c>
      <c r="Z79" s="302">
        <v>9.612193893691072E-2</v>
      </c>
      <c r="AA79" s="302">
        <v>9.7390748530877952E-2</v>
      </c>
      <c r="AB79" s="302">
        <v>9.8676306411485545E-2</v>
      </c>
      <c r="AC79" s="302">
        <v>9.9978833656117164E-2</v>
      </c>
      <c r="AD79" s="302">
        <v>0.10129855426037793</v>
      </c>
      <c r="AE79" s="302">
        <v>0.10263569517661493</v>
      </c>
      <c r="AF79" s="302">
        <v>0.10399048635294626</v>
      </c>
      <c r="AG79" s="302">
        <v>0.10536316077280516</v>
      </c>
      <c r="AH79" s="302">
        <v>0.1067539544950062</v>
      </c>
      <c r="AI79" s="302">
        <v>0.10816310669434029</v>
      </c>
      <c r="AJ79" s="302">
        <v>0.10959085970270559</v>
      </c>
      <c r="AK79" s="302">
        <v>0.11103745905078131</v>
      </c>
      <c r="AL79" s="302">
        <v>0.11250315351025164</v>
      </c>
      <c r="AM79" s="302">
        <v>0.11398819513658698</v>
      </c>
      <c r="AN79" s="302">
        <v>0.11549283931238993</v>
      </c>
      <c r="AO79" s="302">
        <v>0.1170173447913135</v>
      </c>
      <c r="AP79" s="302">
        <v>0.11856197374255885</v>
      </c>
      <c r="AQ79" s="302">
        <v>0.12012699179596063</v>
      </c>
      <c r="AR79" s="302">
        <v>0.12171266808766733</v>
      </c>
      <c r="AS79" s="302">
        <v>0.12331927530642454</v>
      </c>
      <c r="AT79" s="302">
        <v>0.12494708974046936</v>
      </c>
      <c r="AU79" s="302">
        <v>0.12659639132504358</v>
      </c>
      <c r="AV79" s="472">
        <f t="shared" si="5"/>
        <v>1.6294010971745054E-2</v>
      </c>
      <c r="AW79" s="513" t="s">
        <v>1468</v>
      </c>
    </row>
    <row r="80" spans="1:49" s="280" customFormat="1" ht="12.9" customHeight="1">
      <c r="A80" s="53" t="s">
        <v>453</v>
      </c>
      <c r="B80" s="302">
        <v>2.1</v>
      </c>
      <c r="C80" s="302">
        <v>2.2000000000000002</v>
      </c>
      <c r="D80" s="302">
        <v>2.2000000000000002</v>
      </c>
      <c r="E80" s="302">
        <v>2.2000000000000002</v>
      </c>
      <c r="F80" s="302">
        <v>2.2999999999999998</v>
      </c>
      <c r="G80" s="302">
        <v>2.5</v>
      </c>
      <c r="H80" s="302">
        <v>2.6</v>
      </c>
      <c r="I80" s="302">
        <v>2.36</v>
      </c>
      <c r="J80" s="302">
        <v>2.5799999999999996</v>
      </c>
      <c r="K80" s="302">
        <v>2.5799999999999996</v>
      </c>
      <c r="L80" s="302">
        <v>2.8220000000000001</v>
      </c>
      <c r="M80" s="522">
        <v>2.8990834687246143</v>
      </c>
      <c r="N80" s="522">
        <v>2.978272487112807</v>
      </c>
      <c r="O80" s="522">
        <v>3.0596245686555918</v>
      </c>
      <c r="P80" s="522">
        <v>3.1431987978359692</v>
      </c>
      <c r="Q80" s="522">
        <v>3.2290558730408714</v>
      </c>
      <c r="R80" s="522">
        <v>3.3172581506452579</v>
      </c>
      <c r="S80" s="522">
        <v>3.4078696903003731</v>
      </c>
      <c r="T80" s="522">
        <v>3.5009563014590652</v>
      </c>
      <c r="U80" s="522">
        <v>3.5965855911719502</v>
      </c>
      <c r="V80" s="522">
        <v>3.694827013189137</v>
      </c>
      <c r="W80" s="522">
        <v>3.7957519184031785</v>
      </c>
      <c r="X80" s="522">
        <v>3.899433606669878</v>
      </c>
      <c r="Y80" s="522">
        <v>4.0059473800445939</v>
      </c>
      <c r="Z80" s="522">
        <v>4.1153705974727011</v>
      </c>
      <c r="AA80" s="522">
        <v>4.227782730973936</v>
      </c>
      <c r="AB80" s="522">
        <v>4.3432654233614247</v>
      </c>
      <c r="AC80" s="522">
        <v>4.4619025475373206</v>
      </c>
      <c r="AD80" s="522">
        <v>4.5837802674081107</v>
      </c>
      <c r="AE80" s="522">
        <v>4.708987100463836</v>
      </c>
      <c r="AF80" s="522">
        <v>4.8376139820666761</v>
      </c>
      <c r="AG80" s="522">
        <v>4.9697543314955892</v>
      </c>
      <c r="AH80" s="522">
        <v>5.1055041197949711</v>
      </c>
      <c r="AI80" s="522">
        <v>5.2449619394766174</v>
      </c>
      <c r="AJ80" s="522">
        <v>5.3882290761256035</v>
      </c>
      <c r="AK80" s="522">
        <v>5.5354095819620976</v>
      </c>
      <c r="AL80" s="522">
        <v>5.6866103514125248</v>
      </c>
      <c r="AM80" s="522">
        <v>5.8419411987449754</v>
      </c>
      <c r="AN80" s="522">
        <v>6.0015149378252355</v>
      </c>
      <c r="AO80" s="522">
        <v>6.1654474640513719</v>
      </c>
      <c r="AP80" s="522">
        <v>6.3338578385263737</v>
      </c>
      <c r="AQ80" s="522">
        <v>6.5068683745299882</v>
      </c>
      <c r="AR80" s="522">
        <v>6.6846047263525481</v>
      </c>
      <c r="AS80" s="522">
        <v>6.867195980555314</v>
      </c>
      <c r="AT80" s="522">
        <v>7.0547747497236104</v>
      </c>
      <c r="AU80" s="522">
        <v>7.2474772687808455</v>
      </c>
      <c r="AV80" s="472">
        <f t="shared" si="5"/>
        <v>4.2773351416908974E-2</v>
      </c>
      <c r="AW80" s="513" t="s">
        <v>1466</v>
      </c>
    </row>
    <row r="81" spans="1:49" s="280" customFormat="1" ht="12.9" customHeight="1">
      <c r="A81" s="53" t="s">
        <v>454</v>
      </c>
      <c r="B81" s="302">
        <v>0.1</v>
      </c>
      <c r="C81" s="302">
        <v>0.1</v>
      </c>
      <c r="D81" s="302">
        <v>0.1</v>
      </c>
      <c r="E81" s="302">
        <v>0.1</v>
      </c>
      <c r="F81" s="302">
        <v>0.1</v>
      </c>
      <c r="G81" s="302">
        <v>0.1</v>
      </c>
      <c r="H81" s="302">
        <v>0.1</v>
      </c>
      <c r="I81" s="302">
        <v>0.1</v>
      </c>
      <c r="J81" s="302">
        <v>9.1999999999999998E-2</v>
      </c>
      <c r="K81" s="302">
        <v>9.1999999999999998E-2</v>
      </c>
      <c r="L81" s="302">
        <v>8.6000000000000007E-2</v>
      </c>
      <c r="M81" s="302">
        <v>8.713520000000001E-2</v>
      </c>
      <c r="N81" s="302">
        <v>8.828538464000002E-2</v>
      </c>
      <c r="O81" s="302">
        <v>8.9450751717248034E-2</v>
      </c>
      <c r="P81" s="302">
        <v>9.0631501639915721E-2</v>
      </c>
      <c r="Q81" s="302">
        <v>9.1827837461562617E-2</v>
      </c>
      <c r="R81" s="302">
        <v>9.3039964916055248E-2</v>
      </c>
      <c r="S81" s="302">
        <v>9.4268092452947191E-2</v>
      </c>
      <c r="T81" s="302">
        <v>9.5512431273326107E-2</v>
      </c>
      <c r="U81" s="302">
        <v>9.6773195366134018E-2</v>
      </c>
      <c r="V81" s="302">
        <v>9.8050601544967003E-2</v>
      </c>
      <c r="W81" s="302">
        <v>9.9344869485360573E-2</v>
      </c>
      <c r="X81" s="302">
        <v>0.10065622176256735</v>
      </c>
      <c r="Y81" s="302">
        <v>0.10198488388983325</v>
      </c>
      <c r="Z81" s="302">
        <v>0.10333108435717905</v>
      </c>
      <c r="AA81" s="302">
        <v>0.10469505467069383</v>
      </c>
      <c r="AB81" s="302">
        <v>0.10607702939234701</v>
      </c>
      <c r="AC81" s="302">
        <v>0.107477246180326</v>
      </c>
      <c r="AD81" s="302">
        <v>0.10889594582990632</v>
      </c>
      <c r="AE81" s="302">
        <v>0.11033337231486109</v>
      </c>
      <c r="AF81" s="302">
        <v>0.11178977282941727</v>
      </c>
      <c r="AG81" s="302">
        <v>0.11326539783076559</v>
      </c>
      <c r="AH81" s="302">
        <v>0.11476050108213171</v>
      </c>
      <c r="AI81" s="302">
        <v>0.11627533969641586</v>
      </c>
      <c r="AJ81" s="302">
        <v>0.11781017418040857</v>
      </c>
      <c r="AK81" s="302">
        <v>0.11936526847958998</v>
      </c>
      <c r="AL81" s="302">
        <v>0.12094089002352057</v>
      </c>
      <c r="AM81" s="302">
        <v>0.12253730977183105</v>
      </c>
      <c r="AN81" s="302">
        <v>0.12415480226081924</v>
      </c>
      <c r="AO81" s="302">
        <v>0.12579364565066206</v>
      </c>
      <c r="AP81" s="302">
        <v>0.1274541217732508</v>
      </c>
      <c r="AQ81" s="302">
        <v>0.12913651618065772</v>
      </c>
      <c r="AR81" s="302">
        <v>0.13084111819424241</v>
      </c>
      <c r="AS81" s="302">
        <v>0.13256822095440643</v>
      </c>
      <c r="AT81" s="302">
        <v>0.13431812147100461</v>
      </c>
      <c r="AU81" s="302">
        <v>0.13609112067442189</v>
      </c>
      <c r="AV81" s="472">
        <f t="shared" si="5"/>
        <v>1.6294010971745064E-2</v>
      </c>
      <c r="AW81" s="513" t="s">
        <v>1468</v>
      </c>
    </row>
    <row r="82" spans="1:49" s="280" customFormat="1" ht="12.9" customHeight="1">
      <c r="A82" s="53" t="s">
        <v>455</v>
      </c>
      <c r="B82" s="302">
        <v>0.19</v>
      </c>
      <c r="C82" s="302">
        <v>0.18</v>
      </c>
      <c r="D82" s="302">
        <v>0.17</v>
      </c>
      <c r="E82" s="302">
        <v>0.16</v>
      </c>
      <c r="F82" s="302">
        <v>0.15</v>
      </c>
      <c r="G82" s="302">
        <v>0.14000000000000001</v>
      </c>
      <c r="H82" s="302">
        <v>0.13</v>
      </c>
      <c r="I82" s="302">
        <v>0.15</v>
      </c>
      <c r="J82" s="302">
        <v>0.14000000000000001</v>
      </c>
      <c r="K82" s="302">
        <v>0.14000000000000001</v>
      </c>
      <c r="L82" s="302">
        <v>0.13</v>
      </c>
      <c r="M82" s="302">
        <v>0.13171600000000003</v>
      </c>
      <c r="N82" s="302">
        <v>0.13345465120000005</v>
      </c>
      <c r="O82" s="302">
        <v>0.13521625259584005</v>
      </c>
      <c r="P82" s="302">
        <v>0.13700110713010516</v>
      </c>
      <c r="Q82" s="302">
        <v>0.13880952174422256</v>
      </c>
      <c r="R82" s="302">
        <v>0.14064180743124632</v>
      </c>
      <c r="S82" s="302">
        <v>0.14249827928933878</v>
      </c>
      <c r="T82" s="302">
        <v>0.14437925657595807</v>
      </c>
      <c r="U82" s="302">
        <v>0.14628506276276074</v>
      </c>
      <c r="V82" s="302">
        <v>0.14821602559122921</v>
      </c>
      <c r="W82" s="302">
        <v>0.15017247712903345</v>
      </c>
      <c r="X82" s="302">
        <v>0.1521547538271367</v>
      </c>
      <c r="Y82" s="302">
        <v>0.15416319657765493</v>
      </c>
      <c r="Z82" s="302">
        <v>0.15619815077247998</v>
      </c>
      <c r="AA82" s="302">
        <v>0.15825996636267672</v>
      </c>
      <c r="AB82" s="302">
        <v>0.16034899791866408</v>
      </c>
      <c r="AC82" s="302">
        <v>0.16246560469119045</v>
      </c>
      <c r="AD82" s="302">
        <v>0.16461015067311419</v>
      </c>
      <c r="AE82" s="302">
        <v>0.1667830046619993</v>
      </c>
      <c r="AF82" s="302">
        <v>0.16898454032353771</v>
      </c>
      <c r="AG82" s="302">
        <v>0.17121513625580842</v>
      </c>
      <c r="AH82" s="302">
        <v>0.17347517605438512</v>
      </c>
      <c r="AI82" s="302">
        <v>0.17576504837830301</v>
      </c>
      <c r="AJ82" s="302">
        <v>0.17808514701689662</v>
      </c>
      <c r="AK82" s="302">
        <v>0.18043587095751967</v>
      </c>
      <c r="AL82" s="302">
        <v>0.18281762445415894</v>
      </c>
      <c r="AM82" s="302">
        <v>0.18523081709695385</v>
      </c>
      <c r="AN82" s="302">
        <v>0.18767586388263366</v>
      </c>
      <c r="AO82" s="302">
        <v>0.19015318528588443</v>
      </c>
      <c r="AP82" s="302">
        <v>0.19266320733165812</v>
      </c>
      <c r="AQ82" s="302">
        <v>0.19520636166843602</v>
      </c>
      <c r="AR82" s="302">
        <v>0.19778308564245939</v>
      </c>
      <c r="AS82" s="302">
        <v>0.20039382237293987</v>
      </c>
      <c r="AT82" s="302">
        <v>0.2030390208282627</v>
      </c>
      <c r="AU82" s="302">
        <v>0.20571913590319579</v>
      </c>
      <c r="AV82" s="472">
        <f t="shared" si="5"/>
        <v>1.6294010971745043E-2</v>
      </c>
      <c r="AW82" s="513" t="s">
        <v>1468</v>
      </c>
    </row>
    <row r="83" spans="1:49" s="280" customFormat="1" ht="12.9" customHeight="1"/>
    <row r="84" spans="1:49" s="280" customFormat="1" ht="12.9" customHeight="1"/>
    <row r="85" spans="1:49" s="280" customFormat="1" ht="12.9" customHeight="1"/>
    <row r="86" spans="1:49" s="280" customFormat="1" ht="12.9" customHeight="1"/>
    <row r="87" spans="1:49" s="280" customFormat="1" ht="12.9" customHeight="1"/>
    <row r="88" spans="1:49" s="280" customFormat="1" ht="12.9" customHeight="1"/>
    <row r="89" spans="1:49" s="280" customFormat="1" ht="12.9" customHeight="1"/>
  </sheetData>
  <hyperlinks>
    <hyperlink ref="D1" location="Cover!B16" display="return to TOC"/>
  </hyperlink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BA64"/>
  <sheetViews>
    <sheetView workbookViewId="0">
      <pane xSplit="1" ySplit="7" topLeftCell="B8" activePane="bottomRight" state="frozen"/>
      <selection pane="topRight" activeCell="B1" sqref="B1"/>
      <selection pane="bottomLeft" activeCell="A8" sqref="A8"/>
      <selection pane="bottomRight" activeCell="V11" sqref="V11"/>
    </sheetView>
  </sheetViews>
  <sheetFormatPr defaultColWidth="9.33203125" defaultRowHeight="12"/>
  <cols>
    <col min="1" max="1" width="33.33203125" style="40" customWidth="1"/>
    <col min="2" max="37" width="8.88671875" style="40" customWidth="1"/>
    <col min="38" max="47" width="8.88671875" style="224" customWidth="1"/>
    <col min="48" max="48" width="8.88671875" customWidth="1"/>
    <col min="54" max="16384" width="9.33203125" style="40"/>
  </cols>
  <sheetData>
    <row r="1" spans="1:53" s="280" customFormat="1" ht="26.15" customHeight="1">
      <c r="A1" s="281" t="s">
        <v>345</v>
      </c>
      <c r="D1" s="295" t="s">
        <v>1216</v>
      </c>
      <c r="I1" s="44"/>
      <c r="J1" s="165"/>
      <c r="AV1"/>
      <c r="AW1"/>
      <c r="AX1"/>
      <c r="AY1"/>
      <c r="AZ1"/>
      <c r="BA1"/>
    </row>
    <row r="2" spans="1:53" s="280" customFormat="1" ht="12.9" customHeight="1">
      <c r="A2" s="43" t="s">
        <v>359</v>
      </c>
      <c r="B2" s="41" t="s">
        <v>1221</v>
      </c>
      <c r="I2" s="44"/>
      <c r="J2" s="165"/>
    </row>
    <row r="3" spans="1:53" s="280" customFormat="1" ht="12.9" customHeight="1">
      <c r="A3" s="43" t="s">
        <v>360</v>
      </c>
      <c r="B3" s="41" t="s">
        <v>1220</v>
      </c>
      <c r="I3" s="44"/>
      <c r="J3" s="165"/>
      <c r="K3"/>
      <c r="L3"/>
      <c r="M3"/>
      <c r="N3"/>
      <c r="O3"/>
      <c r="AV3"/>
      <c r="AW3"/>
      <c r="AX3"/>
      <c r="AY3"/>
      <c r="AZ3"/>
      <c r="BA3"/>
    </row>
    <row r="4" spans="1:53" s="280" customFormat="1" ht="12.9" customHeight="1">
      <c r="A4" s="43" t="s">
        <v>357</v>
      </c>
      <c r="B4" s="41" t="str">
        <f>'price scenario A'!B3</f>
        <v>2018 dollars per million Btu</v>
      </c>
      <c r="H4" s="178"/>
      <c r="I4" s="44"/>
      <c r="J4" s="165"/>
      <c r="K4"/>
      <c r="L4"/>
      <c r="M4"/>
      <c r="N4"/>
      <c r="O4"/>
      <c r="AV4"/>
      <c r="AW4"/>
      <c r="AX4"/>
      <c r="AY4"/>
      <c r="AZ4"/>
      <c r="BA4"/>
    </row>
    <row r="5" spans="1:53" s="280" customFormat="1" ht="12.9" customHeight="1">
      <c r="D5" s="280" t="s">
        <v>19</v>
      </c>
      <c r="E5" s="280" t="s">
        <v>19</v>
      </c>
      <c r="F5" s="280" t="s">
        <v>19</v>
      </c>
      <c r="G5" s="280" t="s">
        <v>19</v>
      </c>
      <c r="I5" s="44"/>
      <c r="J5" s="165"/>
      <c r="K5"/>
      <c r="L5"/>
      <c r="M5"/>
      <c r="N5"/>
      <c r="O5"/>
      <c r="P5" s="280" t="s">
        <v>19</v>
      </c>
      <c r="Q5" s="280" t="s">
        <v>19</v>
      </c>
      <c r="R5" s="280" t="s">
        <v>19</v>
      </c>
      <c r="S5" s="280" t="s">
        <v>19</v>
      </c>
      <c r="T5" s="280" t="s">
        <v>19</v>
      </c>
      <c r="U5" s="280" t="s">
        <v>19</v>
      </c>
      <c r="V5" s="280" t="s">
        <v>19</v>
      </c>
      <c r="W5" s="280" t="s">
        <v>19</v>
      </c>
      <c r="X5" s="280" t="s">
        <v>19</v>
      </c>
      <c r="Y5" s="280" t="s">
        <v>19</v>
      </c>
      <c r="Z5" s="280" t="s">
        <v>19</v>
      </c>
      <c r="AA5" s="280" t="s">
        <v>19</v>
      </c>
      <c r="AB5" s="280" t="s">
        <v>19</v>
      </c>
      <c r="AC5" s="280" t="s">
        <v>19</v>
      </c>
      <c r="AD5" s="280" t="s">
        <v>19</v>
      </c>
      <c r="AE5" s="280" t="s">
        <v>19</v>
      </c>
      <c r="AF5" s="280" t="s">
        <v>19</v>
      </c>
      <c r="AV5"/>
      <c r="AW5"/>
      <c r="AX5"/>
      <c r="AY5"/>
      <c r="AZ5"/>
      <c r="BA5"/>
    </row>
    <row r="6" spans="1:53" s="5" customFormat="1" ht="13">
      <c r="A6" s="250" t="s">
        <v>76</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1"/>
    </row>
    <row r="7" spans="1:53" s="280" customFormat="1" ht="12.9" customHeight="1">
      <c r="A7" s="282" t="s">
        <v>6</v>
      </c>
      <c r="B7" s="282">
        <v>2005</v>
      </c>
      <c r="C7" s="282">
        <v>2006</v>
      </c>
      <c r="D7" s="282">
        <v>2007</v>
      </c>
      <c r="E7" s="282">
        <v>2008</v>
      </c>
      <c r="F7" s="282">
        <v>2009</v>
      </c>
      <c r="G7" s="282">
        <v>2010</v>
      </c>
      <c r="H7" s="282">
        <v>2011</v>
      </c>
      <c r="I7" s="282">
        <v>2012</v>
      </c>
      <c r="J7" s="282">
        <v>2013</v>
      </c>
      <c r="K7" s="282">
        <v>2014</v>
      </c>
      <c r="L7" s="282">
        <v>2015</v>
      </c>
      <c r="M7" s="282">
        <v>2016</v>
      </c>
      <c r="N7" s="282">
        <v>2017</v>
      </c>
      <c r="O7" s="282">
        <v>2018</v>
      </c>
      <c r="P7" s="282">
        <v>2019</v>
      </c>
      <c r="Q7" s="282">
        <v>2020</v>
      </c>
      <c r="R7" s="282">
        <v>2021</v>
      </c>
      <c r="S7" s="282">
        <v>2022</v>
      </c>
      <c r="T7" s="282">
        <v>2023</v>
      </c>
      <c r="U7" s="282">
        <v>2024</v>
      </c>
      <c r="V7" s="282">
        <v>2025</v>
      </c>
      <c r="W7" s="282">
        <v>2026</v>
      </c>
      <c r="X7" s="282">
        <v>2027</v>
      </c>
      <c r="Y7" s="282">
        <v>2028</v>
      </c>
      <c r="Z7" s="282">
        <v>2029</v>
      </c>
      <c r="AA7" s="282">
        <v>2030</v>
      </c>
      <c r="AB7" s="282">
        <v>2031</v>
      </c>
      <c r="AC7" s="282">
        <v>2032</v>
      </c>
      <c r="AD7" s="282">
        <v>2033</v>
      </c>
      <c r="AE7" s="282">
        <v>2034</v>
      </c>
      <c r="AF7" s="282">
        <v>2035</v>
      </c>
      <c r="AG7" s="282">
        <v>2036</v>
      </c>
      <c r="AH7" s="282">
        <v>2037</v>
      </c>
      <c r="AI7" s="282">
        <v>2038</v>
      </c>
      <c r="AJ7" s="282">
        <v>2039</v>
      </c>
      <c r="AK7" s="282">
        <v>2040</v>
      </c>
      <c r="AL7" s="282">
        <v>2041</v>
      </c>
      <c r="AM7" s="282">
        <v>2042</v>
      </c>
      <c r="AN7" s="282">
        <v>2043</v>
      </c>
      <c r="AO7" s="282">
        <v>2044</v>
      </c>
      <c r="AP7" s="282">
        <v>2045</v>
      </c>
      <c r="AQ7" s="282">
        <v>2046</v>
      </c>
      <c r="AR7" s="282">
        <v>2047</v>
      </c>
      <c r="AS7" s="282">
        <v>2048</v>
      </c>
      <c r="AT7" s="282">
        <v>2049</v>
      </c>
      <c r="AU7" s="282">
        <v>2050</v>
      </c>
      <c r="AV7"/>
      <c r="AW7"/>
      <c r="AX7"/>
      <c r="AY7"/>
      <c r="AZ7"/>
      <c r="BA7"/>
    </row>
    <row r="8" spans="1:53">
      <c r="A8" s="40" t="s">
        <v>22</v>
      </c>
      <c r="B8" s="274">
        <f>IF(parameters!$B$33="B",'price scenario B'!B7,IF(parameters!$B$33="C",'price scenario C'!B7,'price scenario A'!B7))</f>
        <v>26.051241846129606</v>
      </c>
      <c r="C8" s="274">
        <f>IF(parameters!$B$33="B",'price scenario B'!C7,IF(parameters!$B$33="C",'price scenario C'!C7,'price scenario A'!C7))</f>
        <v>30.66863980999922</v>
      </c>
      <c r="D8" s="274">
        <f>IF(parameters!$B$33="B",'price scenario B'!D7,IF(parameters!$B$33="C",'price scenario C'!D7,'price scenario A'!D7))</f>
        <v>33.494805329687082</v>
      </c>
      <c r="E8" s="274">
        <f>IF(parameters!$B$33="B",'price scenario B'!E7,IF(parameters!$B$33="C",'price scenario C'!E7,'price scenario A'!E7))</f>
        <v>39.750843853397861</v>
      </c>
      <c r="F8" s="274">
        <f>IF(parameters!$B$33="B",'price scenario B'!F7,IF(parameters!$B$33="C",'price scenario C'!F7,'price scenario A'!F7))</f>
        <v>33.68748039407636</v>
      </c>
      <c r="G8" s="274">
        <f>IF(parameters!$B$33="B",'price scenario B'!G7,IF(parameters!$B$33="C",'price scenario C'!G7,'price scenario A'!G7))</f>
        <v>32.896204367100005</v>
      </c>
      <c r="H8" s="274">
        <f>IF(parameters!$B$33="B",'price scenario B'!H7,IF(parameters!$B$33="C",'price scenario C'!H7,'price scenario A'!H7))</f>
        <v>26.402289025800002</v>
      </c>
      <c r="I8" s="274">
        <f>IF(parameters!$B$33="B",'price scenario B'!I7,IF(parameters!$B$33="C",'price scenario C'!I7,'price scenario A'!I7))</f>
        <v>32.827971883030571</v>
      </c>
      <c r="J8" s="274">
        <f>IF(parameters!$B$33="B",'price scenario B'!J7,IF(parameters!$B$33="C",'price scenario C'!J7,'price scenario A'!J7))</f>
        <v>31.825563371076825</v>
      </c>
      <c r="K8" s="274">
        <f>IF(parameters!$B$33="B",'price scenario B'!K7,IF(parameters!$B$33="C",'price scenario C'!K7,'price scenario A'!K7))</f>
        <v>30.970272137119878</v>
      </c>
      <c r="L8" s="274">
        <f>IF(parameters!$B$33="B",'price scenario B'!L7,IF(parameters!$B$33="C",'price scenario C'!L7,'price scenario A'!L7))</f>
        <v>21.634897387147461</v>
      </c>
      <c r="M8" s="274">
        <f>IF(parameters!$B$33="B",'price scenario B'!M7,IF(parameters!$B$33="C",'price scenario C'!M7,'price scenario A'!M7))</f>
        <v>20.895941805744414</v>
      </c>
      <c r="N8" s="274">
        <f>IF(parameters!$B$33="B",'price scenario B'!N7,IF(parameters!$B$33="C",'price scenario C'!N7,'price scenario A'!N7))</f>
        <v>21.402353005899997</v>
      </c>
      <c r="O8" s="274">
        <f>IF(parameters!$B$33="B",'price scenario B'!O7,IF(parameters!$B$33="C",'price scenario C'!O7,'price scenario A'!O7))</f>
        <v>24.026717999999999</v>
      </c>
      <c r="P8" s="274">
        <f>IF(parameters!$B$33="B",'price scenario B'!P7,IF(parameters!$B$33="C",'price scenario C'!P7,'price scenario A'!P7))</f>
        <v>26.796012999999999</v>
      </c>
      <c r="Q8" s="274">
        <f>IF(parameters!$B$33="B",'price scenario B'!Q7,IF(parameters!$B$33="C",'price scenario C'!Q7,'price scenario A'!Q7))</f>
        <v>28.587838999999999</v>
      </c>
      <c r="R8" s="274">
        <f>IF(parameters!$B$33="B",'price scenario B'!R7,IF(parameters!$B$33="C",'price scenario C'!R7,'price scenario A'!R7))</f>
        <v>29.957803999999999</v>
      </c>
      <c r="S8" s="274">
        <f>IF(parameters!$B$33="B",'price scenario B'!S7,IF(parameters!$B$33="C",'price scenario C'!S7,'price scenario A'!S7))</f>
        <v>31.268070000000002</v>
      </c>
      <c r="T8" s="274">
        <f>IF(parameters!$B$33="B",'price scenario B'!T7,IF(parameters!$B$33="C",'price scenario C'!T7,'price scenario A'!T7))</f>
        <v>32.335315999999999</v>
      </c>
      <c r="U8" s="274">
        <f>IF(parameters!$B$33="B",'price scenario B'!U7,IF(parameters!$B$33="C",'price scenario C'!U7,'price scenario A'!U7))</f>
        <v>33.417403999999998</v>
      </c>
      <c r="V8" s="274">
        <f>IF(parameters!$B$33="B",'price scenario B'!V7,IF(parameters!$B$33="C",'price scenario C'!V7,'price scenario A'!V7))</f>
        <v>34.504601000000001</v>
      </c>
      <c r="W8" s="274">
        <f>IF(parameters!$B$33="B",'price scenario B'!W7,IF(parameters!$B$33="C",'price scenario C'!W7,'price scenario A'!W7))</f>
        <v>35.468609000000001</v>
      </c>
      <c r="X8" s="274">
        <f>IF(parameters!$B$33="B",'price scenario B'!X7,IF(parameters!$B$33="C",'price scenario C'!X7,'price scenario A'!X7))</f>
        <v>36.250328000000003</v>
      </c>
      <c r="Y8" s="274">
        <f>IF(parameters!$B$33="B",'price scenario B'!Y7,IF(parameters!$B$33="C",'price scenario C'!Y7,'price scenario A'!Y7))</f>
        <v>36.863334999999999</v>
      </c>
      <c r="Z8" s="274">
        <f>IF(parameters!$B$33="B",'price scenario B'!Z7,IF(parameters!$B$33="C",'price scenario C'!Z7,'price scenario A'!Z7))</f>
        <v>39.643250000000002</v>
      </c>
      <c r="AA8" s="274">
        <f>IF(parameters!$B$33="B",'price scenario B'!AA7,IF(parameters!$B$33="C",'price scenario C'!AA7,'price scenario A'!AA7))</f>
        <v>39.921745000000001</v>
      </c>
      <c r="AB8" s="274">
        <f>IF(parameters!$B$33="B",'price scenario B'!AB7,IF(parameters!$B$33="C",'price scenario C'!AB7,'price scenario A'!AB7))</f>
        <v>40.455536000000002</v>
      </c>
      <c r="AC8" s="274">
        <f>IF(parameters!$B$33="B",'price scenario B'!AC7,IF(parameters!$B$33="C",'price scenario C'!AC7,'price scenario A'!AC7))</f>
        <v>40.727454999999999</v>
      </c>
      <c r="AD8" s="274">
        <f>IF(parameters!$B$33="B",'price scenario B'!AD7,IF(parameters!$B$33="C",'price scenario C'!AD7,'price scenario A'!AD7))</f>
        <v>41.05162</v>
      </c>
      <c r="AE8" s="274">
        <f>IF(parameters!$B$33="B",'price scenario B'!AE7,IF(parameters!$B$33="C",'price scenario C'!AE7,'price scenario A'!AE7))</f>
        <v>41.385154999999997</v>
      </c>
      <c r="AF8" s="274">
        <f>IF(parameters!$B$33="B",'price scenario B'!AF7,IF(parameters!$B$33="C",'price scenario C'!AF7,'price scenario A'!AF7))</f>
        <v>41.698093</v>
      </c>
      <c r="AG8" s="274">
        <f>IF(parameters!$B$33="B",'price scenario B'!AG7,IF(parameters!$B$33="C",'price scenario C'!AG7,'price scenario A'!AG7))</f>
        <v>42.020218</v>
      </c>
      <c r="AH8" s="274">
        <f>IF(parameters!$B$33="B",'price scenario B'!AH7,IF(parameters!$B$33="C",'price scenario C'!AH7,'price scenario A'!AH7))</f>
        <v>42.283904999999997</v>
      </c>
      <c r="AI8" s="274">
        <f>IF(parameters!$B$33="B",'price scenario B'!AI7,IF(parameters!$B$33="C",'price scenario C'!AI7,'price scenario A'!AI7))</f>
        <v>42.494765999999998</v>
      </c>
      <c r="AJ8" s="274">
        <f>IF(parameters!$B$33="B",'price scenario B'!AJ7,IF(parameters!$B$33="C",'price scenario C'!AJ7,'price scenario A'!AJ7))</f>
        <v>42.687435000000001</v>
      </c>
      <c r="AK8" s="274">
        <f>IF(parameters!$B$33="B",'price scenario B'!AK7,IF(parameters!$B$33="C",'price scenario C'!AK7,'price scenario A'!AK7))</f>
        <v>42.861911999999997</v>
      </c>
      <c r="AL8" s="274">
        <f>IF(parameters!$B$33="B",'price scenario B'!AL7,IF(parameters!$B$33="C",'price scenario C'!AL7,'price scenario A'!AL7))</f>
        <v>42.983058999999997</v>
      </c>
      <c r="AM8" s="274">
        <f>IF(parameters!$B$33="B",'price scenario B'!AM7,IF(parameters!$B$33="C",'price scenario C'!AM7,'price scenario A'!AM7))</f>
        <v>43.113213000000002</v>
      </c>
      <c r="AN8" s="274">
        <f>IF(parameters!$B$33="B",'price scenario B'!AN7,IF(parameters!$B$33="C",'price scenario C'!AN7,'price scenario A'!AN7))</f>
        <v>43.250655999999999</v>
      </c>
      <c r="AO8" s="274">
        <f>IF(parameters!$B$33="B",'price scenario B'!AO7,IF(parameters!$B$33="C",'price scenario C'!AO7,'price scenario A'!AO7))</f>
        <v>43.383381</v>
      </c>
      <c r="AP8" s="274">
        <f>IF(parameters!$B$33="B",'price scenario B'!AP7,IF(parameters!$B$33="C",'price scenario C'!AP7,'price scenario A'!AP7))</f>
        <v>43.481276999999999</v>
      </c>
      <c r="AQ8" s="274">
        <f>IF(parameters!$B$33="B",'price scenario B'!AQ7,IF(parameters!$B$33="C",'price scenario C'!AQ7,'price scenario A'!AQ7))</f>
        <v>43.538116000000002</v>
      </c>
      <c r="AR8" s="274">
        <f>IF(parameters!$B$33="B",'price scenario B'!AR7,IF(parameters!$B$33="C",'price scenario C'!AR7,'price scenario A'!AR7))</f>
        <v>43.567355999999997</v>
      </c>
      <c r="AS8" s="274">
        <f>IF(parameters!$B$33="B",'price scenario B'!AS7,IF(parameters!$B$33="C",'price scenario C'!AS7,'price scenario A'!AS7))</f>
        <v>43.578364999999998</v>
      </c>
      <c r="AT8" s="274">
        <f>IF(parameters!$B$33="B",'price scenario B'!AT7,IF(parameters!$B$33="C",'price scenario C'!AT7,'price scenario A'!AT7))</f>
        <v>43.536366000000001</v>
      </c>
      <c r="AU8" s="274">
        <f>IF(parameters!$B$33="B",'price scenario B'!AU7,IF(parameters!$B$33="C",'price scenario C'!AU7,'price scenario A'!AU7))</f>
        <v>43.428074000000002</v>
      </c>
    </row>
    <row r="9" spans="1:53">
      <c r="A9" s="40" t="s">
        <v>23</v>
      </c>
      <c r="B9" s="274">
        <f>IF(parameters!$B$33="B",'price scenario B'!B8,IF(parameters!$B$33="C",'price scenario C'!B8,'price scenario A'!B8))</f>
        <v>20.654778534439036</v>
      </c>
      <c r="C9" s="274">
        <f>IF(parameters!$B$33="B",'price scenario B'!C8,IF(parameters!$B$33="C",'price scenario C'!C8,'price scenario A'!C8))</f>
        <v>21.813877535660978</v>
      </c>
      <c r="D9" s="274">
        <f>IF(parameters!$B$33="B",'price scenario B'!D8,IF(parameters!$B$33="C",'price scenario C'!D8,'price scenario A'!D8))</f>
        <v>26.118203975052712</v>
      </c>
      <c r="E9" s="274">
        <f>IF(parameters!$B$33="B",'price scenario B'!E8,IF(parameters!$B$33="C",'price scenario C'!E8,'price scenario A'!E8))</f>
        <v>28.360250296964857</v>
      </c>
      <c r="F9" s="274">
        <f>IF(parameters!$B$33="B",'price scenario B'!F8,IF(parameters!$B$33="C",'price scenario C'!F8,'price scenario A'!F8))</f>
        <v>20.84400916446355</v>
      </c>
      <c r="G9" s="274">
        <f>IF(parameters!$B$33="B",'price scenario B'!G8,IF(parameters!$B$33="C",'price scenario C'!G8,'price scenario A'!G8))</f>
        <v>23.640661560000002</v>
      </c>
      <c r="H9" s="274">
        <f>IF(parameters!$B$33="B",'price scenario B'!H8,IF(parameters!$B$33="C",'price scenario C'!H8,'price scenario A'!H8))</f>
        <v>28.773628173599999</v>
      </c>
      <c r="I9" s="274">
        <f>IF(parameters!$B$33="B",'price scenario B'!I8,IF(parameters!$B$33="C",'price scenario C'!I8,'price scenario A'!I8))</f>
        <v>33.762666430365009</v>
      </c>
      <c r="J9" s="274">
        <f>IF(parameters!$B$33="B",'price scenario B'!J8,IF(parameters!$B$33="C",'price scenario C'!J8,'price scenario A'!J8))</f>
        <v>33.676814796651236</v>
      </c>
      <c r="K9" s="274">
        <f>IF(parameters!$B$33="B",'price scenario B'!K8,IF(parameters!$B$33="C",'price scenario C'!K8,'price scenario A'!K8))</f>
        <v>32.484117417178155</v>
      </c>
      <c r="L9" s="274">
        <f>IF(parameters!$B$33="B",'price scenario B'!L8,IF(parameters!$B$33="C",'price scenario C'!L8,'price scenario A'!L8))</f>
        <v>21.74043992991864</v>
      </c>
      <c r="M9" s="274">
        <f>IF(parameters!$B$33="B",'price scenario B'!M8,IF(parameters!$B$33="C",'price scenario C'!M8,'price scenario A'!M8))</f>
        <v>16.891901336801794</v>
      </c>
      <c r="N9" s="274">
        <f>IF(parameters!$B$33="B",'price scenario B'!N8,IF(parameters!$B$33="C",'price scenario C'!N8,'price scenario A'!N8))</f>
        <v>19.135932534824992</v>
      </c>
      <c r="O9" s="274">
        <f>IF(parameters!$B$33="B",'price scenario B'!O8,IF(parameters!$B$33="C",'price scenario C'!O8,'price scenario A'!O8))</f>
        <v>21.856318000000002</v>
      </c>
      <c r="P9" s="274">
        <f>IF(parameters!$B$33="B",'price scenario B'!P8,IF(parameters!$B$33="C",'price scenario C'!P8,'price scenario A'!P8))</f>
        <v>22.591221000000001</v>
      </c>
      <c r="Q9" s="274">
        <f>IF(parameters!$B$33="B",'price scenario B'!Q8,IF(parameters!$B$33="C",'price scenario C'!Q8,'price scenario A'!Q8))</f>
        <v>23.243964999999999</v>
      </c>
      <c r="R9" s="274">
        <f>IF(parameters!$B$33="B",'price scenario B'!R8,IF(parameters!$B$33="C",'price scenario C'!R8,'price scenario A'!R8))</f>
        <v>23.554289000000001</v>
      </c>
      <c r="S9" s="274">
        <f>IF(parameters!$B$33="B",'price scenario B'!S8,IF(parameters!$B$33="C",'price scenario C'!S8,'price scenario A'!S8))</f>
        <v>23.604921000000001</v>
      </c>
      <c r="T9" s="274">
        <f>IF(parameters!$B$33="B",'price scenario B'!T8,IF(parameters!$B$33="C",'price scenario C'!T8,'price scenario A'!T8))</f>
        <v>24.158328999999998</v>
      </c>
      <c r="U9" s="274">
        <f>IF(parameters!$B$33="B",'price scenario B'!U8,IF(parameters!$B$33="C",'price scenario C'!U8,'price scenario A'!U8))</f>
        <v>25.019112</v>
      </c>
      <c r="V9" s="274">
        <f>IF(parameters!$B$33="B",'price scenario B'!V8,IF(parameters!$B$33="C",'price scenario C'!V8,'price scenario A'!V8))</f>
        <v>25.380568</v>
      </c>
      <c r="W9" s="274">
        <f>IF(parameters!$B$33="B",'price scenario B'!W8,IF(parameters!$B$33="C",'price scenario C'!W8,'price scenario A'!W8))</f>
        <v>25.860652999999999</v>
      </c>
      <c r="X9" s="274">
        <f>IF(parameters!$B$33="B",'price scenario B'!X8,IF(parameters!$B$33="C",'price scenario C'!X8,'price scenario A'!X8))</f>
        <v>26.504989999999999</v>
      </c>
      <c r="Y9" s="274">
        <f>IF(parameters!$B$33="B",'price scenario B'!Y8,IF(parameters!$B$33="C",'price scenario C'!Y8,'price scenario A'!Y8))</f>
        <v>26.697690999999999</v>
      </c>
      <c r="Z9" s="274">
        <f>IF(parameters!$B$33="B",'price scenario B'!Z8,IF(parameters!$B$33="C",'price scenario C'!Z8,'price scenario A'!Z8))</f>
        <v>27.409008</v>
      </c>
      <c r="AA9" s="274">
        <f>IF(parameters!$B$33="B",'price scenario B'!AA8,IF(parameters!$B$33="C",'price scenario C'!AA8,'price scenario A'!AA8))</f>
        <v>27.506865999999999</v>
      </c>
      <c r="AB9" s="274">
        <f>IF(parameters!$B$33="B",'price scenario B'!AB8,IF(parameters!$B$33="C",'price scenario C'!AB8,'price scenario A'!AB8))</f>
        <v>27.744880999999999</v>
      </c>
      <c r="AC9" s="274">
        <f>IF(parameters!$B$33="B",'price scenario B'!AC8,IF(parameters!$B$33="C",'price scenario C'!AC8,'price scenario A'!AC8))</f>
        <v>28.070539</v>
      </c>
      <c r="AD9" s="274">
        <f>IF(parameters!$B$33="B",'price scenario B'!AD8,IF(parameters!$B$33="C",'price scenario C'!AD8,'price scenario A'!AD8))</f>
        <v>28.330863999999998</v>
      </c>
      <c r="AE9" s="274">
        <f>IF(parameters!$B$33="B",'price scenario B'!AE8,IF(parameters!$B$33="C",'price scenario C'!AE8,'price scenario A'!AE8))</f>
        <v>28.383526</v>
      </c>
      <c r="AF9" s="274">
        <f>IF(parameters!$B$33="B",'price scenario B'!AF8,IF(parameters!$B$33="C",'price scenario C'!AF8,'price scenario A'!AF8))</f>
        <v>28.622097</v>
      </c>
      <c r="AG9" s="274">
        <f>IF(parameters!$B$33="B",'price scenario B'!AG8,IF(parameters!$B$33="C",'price scenario C'!AG8,'price scenario A'!AG8))</f>
        <v>28.966367999999999</v>
      </c>
      <c r="AH9" s="274">
        <f>IF(parameters!$B$33="B",'price scenario B'!AH8,IF(parameters!$B$33="C",'price scenario C'!AH8,'price scenario A'!AH8))</f>
        <v>28.927399000000001</v>
      </c>
      <c r="AI9" s="274">
        <f>IF(parameters!$B$33="B",'price scenario B'!AI8,IF(parameters!$B$33="C",'price scenario C'!AI8,'price scenario A'!AI8))</f>
        <v>29.101818000000002</v>
      </c>
      <c r="AJ9" s="274">
        <f>IF(parameters!$B$33="B",'price scenario B'!AJ8,IF(parameters!$B$33="C",'price scenario C'!AJ8,'price scenario A'!AJ8))</f>
        <v>29.279848000000001</v>
      </c>
      <c r="AK9" s="274">
        <f>IF(parameters!$B$33="B",'price scenario B'!AK8,IF(parameters!$B$33="C",'price scenario C'!AK8,'price scenario A'!AK8))</f>
        <v>29.387568000000002</v>
      </c>
      <c r="AL9" s="274">
        <f>IF(parameters!$B$33="B",'price scenario B'!AL8,IF(parameters!$B$33="C",'price scenario C'!AL8,'price scenario A'!AL8))</f>
        <v>29.473253</v>
      </c>
      <c r="AM9" s="274">
        <f>IF(parameters!$B$33="B",'price scenario B'!AM8,IF(parameters!$B$33="C",'price scenario C'!AM8,'price scenario A'!AM8))</f>
        <v>29.748391999999999</v>
      </c>
      <c r="AN9" s="274">
        <f>IF(parameters!$B$33="B",'price scenario B'!AN8,IF(parameters!$B$33="C",'price scenario C'!AN8,'price scenario A'!AN8))</f>
        <v>29.797965999999999</v>
      </c>
      <c r="AO9" s="274">
        <f>IF(parameters!$B$33="B",'price scenario B'!AO8,IF(parameters!$B$33="C",'price scenario C'!AO8,'price scenario A'!AO8))</f>
        <v>29.766047</v>
      </c>
      <c r="AP9" s="274">
        <f>IF(parameters!$B$33="B",'price scenario B'!AP8,IF(parameters!$B$33="C",'price scenario C'!AP8,'price scenario A'!AP8))</f>
        <v>29.832816999999999</v>
      </c>
      <c r="AQ9" s="274">
        <f>IF(parameters!$B$33="B",'price scenario B'!AQ8,IF(parameters!$B$33="C",'price scenario C'!AQ8,'price scenario A'!AQ8))</f>
        <v>29.854174</v>
      </c>
      <c r="AR9" s="274">
        <f>IF(parameters!$B$33="B",'price scenario B'!AR8,IF(parameters!$B$33="C",'price scenario C'!AR8,'price scenario A'!AR8))</f>
        <v>29.867487000000001</v>
      </c>
      <c r="AS9" s="274">
        <f>IF(parameters!$B$33="B",'price scenario B'!AS8,IF(parameters!$B$33="C",'price scenario C'!AS8,'price scenario A'!AS8))</f>
        <v>29.929006999999999</v>
      </c>
      <c r="AT9" s="274">
        <f>IF(parameters!$B$33="B",'price scenario B'!AT8,IF(parameters!$B$33="C",'price scenario C'!AT8,'price scenario A'!AT8))</f>
        <v>29.874903</v>
      </c>
      <c r="AU9" s="274">
        <f>IF(parameters!$B$33="B",'price scenario B'!AU8,IF(parameters!$B$33="C",'price scenario C'!AU8,'price scenario A'!AU8))</f>
        <v>29.852502999999999</v>
      </c>
    </row>
    <row r="10" spans="1:53">
      <c r="A10" s="40" t="s">
        <v>24</v>
      </c>
      <c r="B10" s="274">
        <f>IF(parameters!$B$33="B",'price scenario B'!B9,IF(parameters!$B$33="C",'price scenario C'!B9,'price scenario A'!B9))</f>
        <v>14.064256366483393</v>
      </c>
      <c r="C10" s="274">
        <f>IF(parameters!$B$33="B",'price scenario B'!C9,IF(parameters!$B$33="C",'price scenario C'!C9,'price scenario A'!C9))</f>
        <v>13.948068335222674</v>
      </c>
      <c r="D10" s="274">
        <f>IF(parameters!$B$33="B",'price scenario B'!D9,IF(parameters!$B$33="C",'price scenario C'!D9,'price scenario A'!D9))</f>
        <v>13.786249584779203</v>
      </c>
      <c r="E10" s="274">
        <f>IF(parameters!$B$33="B",'price scenario B'!E9,IF(parameters!$B$33="C",'price scenario C'!E9,'price scenario A'!E9))</f>
        <v>14.349725806705393</v>
      </c>
      <c r="F10" s="274">
        <f>IF(parameters!$B$33="B",'price scenario B'!F9,IF(parameters!$B$33="C",'price scenario C'!F9,'price scenario A'!F9))</f>
        <v>13.021244137356957</v>
      </c>
      <c r="G10" s="274">
        <f>IF(parameters!$B$33="B",'price scenario B'!G9,IF(parameters!$B$33="C",'price scenario C'!G9,'price scenario A'!G9))</f>
        <v>10.983029568600001</v>
      </c>
      <c r="H10" s="274">
        <f>IF(parameters!$B$33="B",'price scenario B'!H9,IF(parameters!$B$33="C",'price scenario C'!H9,'price scenario A'!H9))</f>
        <v>10.777743023399999</v>
      </c>
      <c r="I10" s="274">
        <f>IF(parameters!$B$33="B",'price scenario B'!I9,IF(parameters!$B$33="C",'price scenario C'!I9,'price scenario A'!I9))</f>
        <v>11.547649323472024</v>
      </c>
      <c r="J10" s="274">
        <f>IF(parameters!$B$33="B",'price scenario B'!J9,IF(parameters!$B$33="C",'price scenario C'!J9,'price scenario A'!J9))</f>
        <v>11.940632153851961</v>
      </c>
      <c r="K10" s="274">
        <f>IF(parameters!$B$33="B",'price scenario B'!K9,IF(parameters!$B$33="C",'price scenario C'!K9,'price scenario A'!K9))</f>
        <v>13.096351886482942</v>
      </c>
      <c r="L10" s="274">
        <f>IF(parameters!$B$33="B",'price scenario B'!L9,IF(parameters!$B$33="C",'price scenario C'!L9,'price scenario A'!L9))</f>
        <v>13.012680876274734</v>
      </c>
      <c r="M10" s="274">
        <f>IF(parameters!$B$33="B",'price scenario B'!M9,IF(parameters!$B$33="C",'price scenario C'!M9,'price scenario A'!M9))</f>
        <v>13.148625335831495</v>
      </c>
      <c r="N10" s="274">
        <f>IF(parameters!$B$33="B",'price scenario B'!N9,IF(parameters!$B$33="C",'price scenario C'!N9,'price scenario A'!N9))</f>
        <v>12.857657429724997</v>
      </c>
      <c r="O10" s="274">
        <f>IF(parameters!$B$33="B",'price scenario B'!O9,IF(parameters!$B$33="C",'price scenario C'!O9,'price scenario A'!O9))</f>
        <v>11.889313</v>
      </c>
      <c r="P10" s="274">
        <f>IF(parameters!$B$33="B",'price scenario B'!P9,IF(parameters!$B$33="C",'price scenario C'!P9,'price scenario A'!P9))</f>
        <v>12.122930999999999</v>
      </c>
      <c r="Q10" s="274">
        <f>IF(parameters!$B$33="B",'price scenario B'!Q9,IF(parameters!$B$33="C",'price scenario C'!Q9,'price scenario A'!Q9))</f>
        <v>11.971394999999999</v>
      </c>
      <c r="R10" s="274">
        <f>IF(parameters!$B$33="B",'price scenario B'!R9,IF(parameters!$B$33="C",'price scenario C'!R9,'price scenario A'!R9))</f>
        <v>11.630845000000001</v>
      </c>
      <c r="S10" s="274">
        <f>IF(parameters!$B$33="B",'price scenario B'!S9,IF(parameters!$B$33="C",'price scenario C'!S9,'price scenario A'!S9))</f>
        <v>11.380217</v>
      </c>
      <c r="T10" s="274">
        <f>IF(parameters!$B$33="B",'price scenario B'!T9,IF(parameters!$B$33="C",'price scenario C'!T9,'price scenario A'!T9))</f>
        <v>11.209633999999999</v>
      </c>
      <c r="U10" s="274">
        <f>IF(parameters!$B$33="B",'price scenario B'!U9,IF(parameters!$B$33="C",'price scenario C'!U9,'price scenario A'!U9))</f>
        <v>11.029769999999999</v>
      </c>
      <c r="V10" s="274">
        <f>IF(parameters!$B$33="B",'price scenario B'!V9,IF(parameters!$B$33="C",'price scenario C'!V9,'price scenario A'!V9))</f>
        <v>11.248926000000001</v>
      </c>
      <c r="W10" s="274">
        <f>IF(parameters!$B$33="B",'price scenario B'!W9,IF(parameters!$B$33="C",'price scenario C'!W9,'price scenario A'!W9))</f>
        <v>11.379861999999999</v>
      </c>
      <c r="X10" s="274">
        <f>IF(parameters!$B$33="B",'price scenario B'!X9,IF(parameters!$B$33="C",'price scenario C'!X9,'price scenario A'!X9))</f>
        <v>11.423484999999999</v>
      </c>
      <c r="Y10" s="274">
        <f>IF(parameters!$B$33="B",'price scenario B'!Y9,IF(parameters!$B$33="C",'price scenario C'!Y9,'price scenario A'!Y9))</f>
        <v>11.505354000000001</v>
      </c>
      <c r="Z10" s="274">
        <f>IF(parameters!$B$33="B",'price scenario B'!Z9,IF(parameters!$B$33="C",'price scenario C'!Z9,'price scenario A'!Z9))</f>
        <v>13.708961</v>
      </c>
      <c r="AA10" s="274">
        <f>IF(parameters!$B$33="B",'price scenario B'!AA9,IF(parameters!$B$33="C",'price scenario C'!AA9,'price scenario A'!AA9))</f>
        <v>13.769283</v>
      </c>
      <c r="AB10" s="274">
        <f>IF(parameters!$B$33="B",'price scenario B'!AB9,IF(parameters!$B$33="C",'price scenario C'!AB9,'price scenario A'!AB9))</f>
        <v>14.109347</v>
      </c>
      <c r="AC10" s="274">
        <f>IF(parameters!$B$33="B",'price scenario B'!AC9,IF(parameters!$B$33="C",'price scenario C'!AC9,'price scenario A'!AC9))</f>
        <v>14.221469000000001</v>
      </c>
      <c r="AD10" s="274">
        <f>IF(parameters!$B$33="B",'price scenario B'!AD9,IF(parameters!$B$33="C",'price scenario C'!AD9,'price scenario A'!AD9))</f>
        <v>14.314843</v>
      </c>
      <c r="AE10" s="274">
        <f>IF(parameters!$B$33="B",'price scenario B'!AE9,IF(parameters!$B$33="C",'price scenario C'!AE9,'price scenario A'!AE9))</f>
        <v>14.380561</v>
      </c>
      <c r="AF10" s="274">
        <f>IF(parameters!$B$33="B",'price scenario B'!AF9,IF(parameters!$B$33="C",'price scenario C'!AF9,'price scenario A'!AF9))</f>
        <v>14.443552</v>
      </c>
      <c r="AG10" s="274">
        <f>IF(parameters!$B$33="B",'price scenario B'!AG9,IF(parameters!$B$33="C",'price scenario C'!AG9,'price scenario A'!AG9))</f>
        <v>14.509767999999999</v>
      </c>
      <c r="AH10" s="274">
        <f>IF(parameters!$B$33="B",'price scenario B'!AH9,IF(parameters!$B$33="C",'price scenario C'!AH9,'price scenario A'!AH9))</f>
        <v>14.567409</v>
      </c>
      <c r="AI10" s="274">
        <f>IF(parameters!$B$33="B",'price scenario B'!AI9,IF(parameters!$B$33="C",'price scenario C'!AI9,'price scenario A'!AI9))</f>
        <v>14.599546</v>
      </c>
      <c r="AJ10" s="274">
        <f>IF(parameters!$B$33="B",'price scenario B'!AJ9,IF(parameters!$B$33="C",'price scenario C'!AJ9,'price scenario A'!AJ9))</f>
        <v>14.637878000000001</v>
      </c>
      <c r="AK10" s="274">
        <f>IF(parameters!$B$33="B",'price scenario B'!AK9,IF(parameters!$B$33="C",'price scenario C'!AK9,'price scenario A'!AK9))</f>
        <v>14.706719</v>
      </c>
      <c r="AL10" s="274">
        <f>IF(parameters!$B$33="B",'price scenario B'!AL9,IF(parameters!$B$33="C",'price scenario C'!AL9,'price scenario A'!AL9))</f>
        <v>14.735201999999999</v>
      </c>
      <c r="AM10" s="274">
        <f>IF(parameters!$B$33="B",'price scenario B'!AM9,IF(parameters!$B$33="C",'price scenario C'!AM9,'price scenario A'!AM9))</f>
        <v>14.787333</v>
      </c>
      <c r="AN10" s="274">
        <f>IF(parameters!$B$33="B",'price scenario B'!AN9,IF(parameters!$B$33="C",'price scenario C'!AN9,'price scenario A'!AN9))</f>
        <v>14.861799</v>
      </c>
      <c r="AO10" s="274">
        <f>IF(parameters!$B$33="B",'price scenario B'!AO9,IF(parameters!$B$33="C",'price scenario C'!AO9,'price scenario A'!AO9))</f>
        <v>14.948676000000001</v>
      </c>
      <c r="AP10" s="274">
        <f>IF(parameters!$B$33="B",'price scenario B'!AP9,IF(parameters!$B$33="C",'price scenario C'!AP9,'price scenario A'!AP9))</f>
        <v>15.048655999999999</v>
      </c>
      <c r="AQ10" s="274">
        <f>IF(parameters!$B$33="B",'price scenario B'!AQ9,IF(parameters!$B$33="C",'price scenario C'!AQ9,'price scenario A'!AQ9))</f>
        <v>15.131309</v>
      </c>
      <c r="AR10" s="274">
        <f>IF(parameters!$B$33="B",'price scenario B'!AR9,IF(parameters!$B$33="C",'price scenario C'!AR9,'price scenario A'!AR9))</f>
        <v>15.234745999999999</v>
      </c>
      <c r="AS10" s="274">
        <f>IF(parameters!$B$33="B",'price scenario B'!AS9,IF(parameters!$B$33="C",'price scenario C'!AS9,'price scenario A'!AS9))</f>
        <v>15.360277999999999</v>
      </c>
      <c r="AT10" s="274">
        <f>IF(parameters!$B$33="B",'price scenario B'!AT9,IF(parameters!$B$33="C",'price scenario C'!AT9,'price scenario A'!AT9))</f>
        <v>15.482372</v>
      </c>
      <c r="AU10" s="274">
        <f>IF(parameters!$B$33="B",'price scenario B'!AU9,IF(parameters!$B$33="C",'price scenario C'!AU9,'price scenario A'!AU9))</f>
        <v>15.578808</v>
      </c>
    </row>
    <row r="11" spans="1:53">
      <c r="A11" s="46" t="s">
        <v>8</v>
      </c>
      <c r="B11" s="274">
        <f>IF(parameters!$B$33="B",'price scenario B'!B10,IF(parameters!$B$33="C",'price scenario C'!B10,'price scenario A'!B10))</f>
        <v>24.437607720489037</v>
      </c>
      <c r="C11" s="274">
        <f>IF(parameters!$B$33="B",'price scenario B'!C10,IF(parameters!$B$33="C",'price scenario C'!C10,'price scenario A'!C10))</f>
        <v>26.748142607449822</v>
      </c>
      <c r="D11" s="274">
        <f>IF(parameters!$B$33="B",'price scenario B'!D10,IF(parameters!$B$33="C",'price scenario C'!D10,'price scenario A'!D10))</f>
        <v>26.864904992864833</v>
      </c>
      <c r="E11" s="274">
        <f>IF(parameters!$B$33="B",'price scenario B'!E10,IF(parameters!$B$33="C",'price scenario C'!E10,'price scenario A'!E10))</f>
        <v>25.673123481965842</v>
      </c>
      <c r="F11" s="274">
        <f>IF(parameters!$B$33="B",'price scenario B'!F10,IF(parameters!$B$33="C",'price scenario C'!F10,'price scenario A'!F10))</f>
        <v>24.417329661592778</v>
      </c>
      <c r="G11" s="274">
        <f>IF(parameters!$B$33="B",'price scenario B'!G10,IF(parameters!$B$33="C",'price scenario C'!G10,'price scenario A'!G10))</f>
        <v>24.222396268240214</v>
      </c>
      <c r="H11" s="274">
        <f>IF(parameters!$B$33="B",'price scenario B'!H10,IF(parameters!$B$33="C",'price scenario C'!H10,'price scenario A'!H10))</f>
        <v>24.41365919630044</v>
      </c>
      <c r="I11" s="274">
        <f>IF(parameters!$B$33="B",'price scenario B'!I10,IF(parameters!$B$33="C",'price scenario C'!I10,'price scenario A'!I10))</f>
        <v>28.925176719202749</v>
      </c>
      <c r="J11" s="274">
        <f>IF(parameters!$B$33="B",'price scenario B'!J10,IF(parameters!$B$33="C",'price scenario C'!J10,'price scenario A'!J10))</f>
        <v>29.8739966865467</v>
      </c>
      <c r="K11" s="274">
        <f>IF(parameters!$B$33="B",'price scenario B'!K10,IF(parameters!$B$33="C",'price scenario C'!K10,'price scenario A'!K10))</f>
        <v>29.552729330044723</v>
      </c>
      <c r="L11" s="274">
        <f>IF(parameters!$B$33="B",'price scenario B'!L10,IF(parameters!$B$33="C",'price scenario C'!L10,'price scenario A'!L10))</f>
        <v>29.694798988934249</v>
      </c>
      <c r="M11" s="274">
        <f>IF(parameters!$B$33="B",'price scenario B'!M10,IF(parameters!$B$33="C",'price scenario C'!M10,'price scenario A'!M10))</f>
        <v>29.672949676700952</v>
      </c>
      <c r="N11" s="274">
        <f>IF(parameters!$B$33="B",'price scenario B'!N10,IF(parameters!$B$33="C",'price scenario C'!N10,'price scenario A'!N10))</f>
        <v>29.207648354107935</v>
      </c>
      <c r="O11" s="274">
        <f>IF(parameters!$B$33="B",'price scenario B'!O10,IF(parameters!$B$33="C",'price scenario C'!O10,'price scenario A'!O10))</f>
        <v>27.575151236615874</v>
      </c>
      <c r="P11" s="274">
        <f>IF(parameters!$B$33="B",'price scenario B'!P10,IF(parameters!$B$33="C",'price scenario C'!P10,'price scenario A'!P10))</f>
        <v>27.542566225754992</v>
      </c>
      <c r="Q11" s="274">
        <f>IF(parameters!$B$33="B",'price scenario B'!Q10,IF(parameters!$B$33="C",'price scenario C'!Q10,'price scenario A'!Q10))</f>
        <v>26.600343896313685</v>
      </c>
      <c r="R11" s="274">
        <f>IF(parameters!$B$33="B",'price scenario B'!R10,IF(parameters!$B$33="C",'price scenario C'!R10,'price scenario A'!R10))</f>
        <v>25.622671137859996</v>
      </c>
      <c r="S11" s="274">
        <f>IF(parameters!$B$33="B",'price scenario B'!S10,IF(parameters!$B$33="C",'price scenario C'!S10,'price scenario A'!S10))</f>
        <v>26.221300521308109</v>
      </c>
      <c r="T11" s="274">
        <f>IF(parameters!$B$33="B",'price scenario B'!T10,IF(parameters!$B$33="C",'price scenario C'!T10,'price scenario A'!T10))</f>
        <v>27.224410822255582</v>
      </c>
      <c r="U11" s="274">
        <f>IF(parameters!$B$33="B",'price scenario B'!U10,IF(parameters!$B$33="C",'price scenario C'!U10,'price scenario A'!U10))</f>
        <v>27.56659084626428</v>
      </c>
      <c r="V11" s="274">
        <f>IF(parameters!$B$33="B",'price scenario B'!V10,IF(parameters!$B$33="C",'price scenario C'!V10,'price scenario A'!V10))</f>
        <v>28.480106434729503</v>
      </c>
      <c r="W11" s="274">
        <f>IF(parameters!$B$33="B",'price scenario B'!W10,IF(parameters!$B$33="C",'price scenario C'!W10,'price scenario A'!W10))</f>
        <v>29.55864389082495</v>
      </c>
      <c r="X11" s="274">
        <f>IF(parameters!$B$33="B",'price scenario B'!X10,IF(parameters!$B$33="C",'price scenario C'!X10,'price scenario A'!X10))</f>
        <v>29.989531918289302</v>
      </c>
      <c r="Y11" s="274">
        <f>IF(parameters!$B$33="B",'price scenario B'!Y10,IF(parameters!$B$33="C",'price scenario C'!Y10,'price scenario A'!Y10))</f>
        <v>30.350353237294357</v>
      </c>
      <c r="Z11" s="274">
        <f>IF(parameters!$B$33="B",'price scenario B'!Z10,IF(parameters!$B$33="C",'price scenario C'!Z10,'price scenario A'!Z10))</f>
        <v>30.890642855581209</v>
      </c>
      <c r="AA11" s="274">
        <f>IF(parameters!$B$33="B",'price scenario B'!AA10,IF(parameters!$B$33="C",'price scenario C'!AA10,'price scenario A'!AA10))</f>
        <v>31.470906108270643</v>
      </c>
      <c r="AB11" s="274">
        <f>IF(parameters!$B$33="B",'price scenario B'!AB10,IF(parameters!$B$33="C",'price scenario C'!AB10,'price scenario A'!AB10))</f>
        <v>32.089297849103687</v>
      </c>
      <c r="AC11" s="274">
        <f>IF(parameters!$B$33="B",'price scenario B'!AC10,IF(parameters!$B$33="C",'price scenario C'!AC10,'price scenario A'!AC10))</f>
        <v>32.654235999620774</v>
      </c>
      <c r="AD11" s="274">
        <f>IF(parameters!$B$33="B",'price scenario B'!AD10,IF(parameters!$B$33="C",'price scenario C'!AD10,'price scenario A'!AD10))</f>
        <v>32.994755763004356</v>
      </c>
      <c r="AE11" s="274">
        <f>IF(parameters!$B$33="B",'price scenario B'!AE10,IF(parameters!$B$33="C",'price scenario C'!AE10,'price scenario A'!AE10))</f>
        <v>33.327149215350623</v>
      </c>
      <c r="AF11" s="274">
        <f>IF(parameters!$B$33="B",'price scenario B'!AF10,IF(parameters!$B$33="C",'price scenario C'!AF10,'price scenario A'!AF10))</f>
        <v>33.685840948660008</v>
      </c>
      <c r="AG11" s="274">
        <f>IF(parameters!$B$33="B",'price scenario B'!AG10,IF(parameters!$B$33="C",'price scenario C'!AG10,'price scenario A'!AG10))</f>
        <v>34.226002569200347</v>
      </c>
      <c r="AH11" s="274">
        <f>IF(parameters!$B$33="B",'price scenario B'!AH10,IF(parameters!$B$33="C",'price scenario C'!AH10,'price scenario A'!AH10))</f>
        <v>34.632915443883533</v>
      </c>
      <c r="AI11" s="274">
        <f>IF(parameters!$B$33="B",'price scenario B'!AI10,IF(parameters!$B$33="C",'price scenario C'!AI10,'price scenario A'!AI10))</f>
        <v>34.840374438776834</v>
      </c>
      <c r="AJ11" s="274">
        <f>IF(parameters!$B$33="B",'price scenario B'!AJ10,IF(parameters!$B$33="C",'price scenario C'!AJ10,'price scenario A'!AJ10))</f>
        <v>35.018346339282921</v>
      </c>
      <c r="AK11" s="274">
        <f>IF(parameters!$B$33="B",'price scenario B'!AK10,IF(parameters!$B$33="C",'price scenario C'!AK10,'price scenario A'!AK10))</f>
        <v>35.159025137904067</v>
      </c>
      <c r="AL11" s="274">
        <f>IF(parameters!$B$33="B",'price scenario B'!AL10,IF(parameters!$B$33="C",'price scenario C'!AL10,'price scenario A'!AL10))</f>
        <v>35.456284136351336</v>
      </c>
      <c r="AM11" s="274">
        <f>IF(parameters!$B$33="B",'price scenario B'!AM10,IF(parameters!$B$33="C",'price scenario C'!AM10,'price scenario A'!AM10))</f>
        <v>35.779292323979554</v>
      </c>
      <c r="AN11" s="274">
        <f>IF(parameters!$B$33="B",'price scenario B'!AN10,IF(parameters!$B$33="C",'price scenario C'!AN10,'price scenario A'!AN10))</f>
        <v>35.950744377919101</v>
      </c>
      <c r="AO11" s="274">
        <f>IF(parameters!$B$33="B",'price scenario B'!AO10,IF(parameters!$B$33="C",'price scenario C'!AO10,'price scenario A'!AO10))</f>
        <v>36.170148592460784</v>
      </c>
      <c r="AP11" s="274">
        <f>IF(parameters!$B$33="B",'price scenario B'!AP10,IF(parameters!$B$33="C",'price scenario C'!AP10,'price scenario A'!AP10))</f>
        <v>36.483411637648878</v>
      </c>
      <c r="AQ11" s="274">
        <f>IF(parameters!$B$33="B",'price scenario B'!AQ10,IF(parameters!$B$33="C",'price scenario C'!AQ10,'price scenario A'!AQ10))</f>
        <v>36.797538513039314</v>
      </c>
      <c r="AR11" s="274">
        <f>IF(parameters!$B$33="B",'price scenario B'!AR10,IF(parameters!$B$33="C",'price scenario C'!AR10,'price scenario A'!AR10))</f>
        <v>37.036655617237805</v>
      </c>
      <c r="AS11" s="274">
        <f>IF(parameters!$B$33="B",'price scenario B'!AS10,IF(parameters!$B$33="C",'price scenario C'!AS10,'price scenario A'!AS10))</f>
        <v>37.276187632005929</v>
      </c>
      <c r="AT11" s="274">
        <f>IF(parameters!$B$33="B",'price scenario B'!AT10,IF(parameters!$B$33="C",'price scenario C'!AT10,'price scenario A'!AT10))</f>
        <v>37.464016595687028</v>
      </c>
      <c r="AU11" s="274">
        <f>IF(parameters!$B$33="B",'price scenario B'!AU10,IF(parameters!$B$33="C",'price scenario C'!AU10,'price scenario A'!AU10))</f>
        <v>37.579128617374664</v>
      </c>
    </row>
    <row r="12" spans="1:53">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row>
    <row r="13" spans="1:53" s="5" customFormat="1" ht="13">
      <c r="A13" s="250" t="str">
        <f>'Price Change'!A13</f>
        <v xml:space="preserve"> Commercial</v>
      </c>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1"/>
    </row>
    <row r="14" spans="1:53" s="377" customFormat="1" ht="12.9" customHeight="1">
      <c r="A14" s="379" t="s">
        <v>6</v>
      </c>
      <c r="B14" s="379">
        <v>2005</v>
      </c>
      <c r="C14" s="379">
        <v>2006</v>
      </c>
      <c r="D14" s="379">
        <v>2007</v>
      </c>
      <c r="E14" s="379">
        <v>2008</v>
      </c>
      <c r="F14" s="379">
        <v>2009</v>
      </c>
      <c r="G14" s="379">
        <v>2010</v>
      </c>
      <c r="H14" s="379">
        <v>2011</v>
      </c>
      <c r="I14" s="379">
        <v>2012</v>
      </c>
      <c r="J14" s="379">
        <v>2013</v>
      </c>
      <c r="K14" s="379">
        <v>2014</v>
      </c>
      <c r="L14" s="379">
        <v>2015</v>
      </c>
      <c r="M14" s="379">
        <v>2016</v>
      </c>
      <c r="N14" s="379">
        <v>2017</v>
      </c>
      <c r="O14" s="379">
        <v>2018</v>
      </c>
      <c r="P14" s="379">
        <v>2019</v>
      </c>
      <c r="Q14" s="379">
        <v>2020</v>
      </c>
      <c r="R14" s="379">
        <v>2021</v>
      </c>
      <c r="S14" s="379">
        <v>2022</v>
      </c>
      <c r="T14" s="379">
        <v>2023</v>
      </c>
      <c r="U14" s="379">
        <v>2024</v>
      </c>
      <c r="V14" s="379">
        <v>2025</v>
      </c>
      <c r="W14" s="379">
        <v>2026</v>
      </c>
      <c r="X14" s="379">
        <v>2027</v>
      </c>
      <c r="Y14" s="379">
        <v>2028</v>
      </c>
      <c r="Z14" s="379">
        <v>2029</v>
      </c>
      <c r="AA14" s="379">
        <v>2030</v>
      </c>
      <c r="AB14" s="379">
        <v>2031</v>
      </c>
      <c r="AC14" s="379">
        <v>2032</v>
      </c>
      <c r="AD14" s="379">
        <v>2033</v>
      </c>
      <c r="AE14" s="379">
        <v>2034</v>
      </c>
      <c r="AF14" s="379">
        <v>2035</v>
      </c>
      <c r="AG14" s="379">
        <v>2036</v>
      </c>
      <c r="AH14" s="379">
        <v>2037</v>
      </c>
      <c r="AI14" s="379">
        <v>2038</v>
      </c>
      <c r="AJ14" s="379">
        <v>2039</v>
      </c>
      <c r="AK14" s="379">
        <v>2040</v>
      </c>
      <c r="AL14" s="379">
        <v>2041</v>
      </c>
      <c r="AM14" s="379">
        <v>2042</v>
      </c>
      <c r="AN14" s="379">
        <v>2043</v>
      </c>
      <c r="AO14" s="379">
        <v>2044</v>
      </c>
      <c r="AP14" s="379">
        <v>2045</v>
      </c>
      <c r="AQ14" s="379">
        <v>2046</v>
      </c>
      <c r="AR14" s="379">
        <v>2047</v>
      </c>
      <c r="AS14" s="379">
        <v>2048</v>
      </c>
      <c r="AT14" s="379">
        <v>2049</v>
      </c>
      <c r="AU14" s="379">
        <v>2050</v>
      </c>
    </row>
    <row r="15" spans="1:53">
      <c r="A15" s="40" t="s">
        <v>22</v>
      </c>
      <c r="B15" s="274">
        <f>IF(parameters!$B$33="B",'price scenario B'!B13,IF(parameters!$B$33="C",'price scenario C'!B13,'price scenario A'!B13))</f>
        <v>22.273055432643208</v>
      </c>
      <c r="C15" s="274">
        <f>IF(parameters!$B$33="B",'price scenario B'!C13,IF(parameters!$B$33="C",'price scenario C'!C13,'price scenario A'!C13))</f>
        <v>27.821644812554112</v>
      </c>
      <c r="D15" s="274">
        <f>IF(parameters!$B$33="B",'price scenario B'!D13,IF(parameters!$B$33="C",'price scenario C'!D13,'price scenario A'!D13))</f>
        <v>27.880069095901991</v>
      </c>
      <c r="E15" s="274">
        <f>IF(parameters!$B$33="B",'price scenario B'!E13,IF(parameters!$B$33="C",'price scenario C'!E13,'price scenario A'!E13))</f>
        <v>31.033551188957645</v>
      </c>
      <c r="F15" s="274">
        <f>IF(parameters!$B$33="B",'price scenario B'!F13,IF(parameters!$B$33="C",'price scenario C'!F13,'price scenario A'!F13))</f>
        <v>23.517310056456335</v>
      </c>
      <c r="G15" s="274">
        <f>IF(parameters!$B$33="B",'price scenario B'!G13,IF(parameters!$B$33="C",'price scenario C'!G13,'price scenario A'!G13))</f>
        <v>26.521402959300005</v>
      </c>
      <c r="H15" s="274">
        <f>IF(parameters!$B$33="B",'price scenario B'!H13,IF(parameters!$B$33="C",'price scenario C'!H13,'price scenario A'!H13))</f>
        <v>23.188544743200001</v>
      </c>
      <c r="I15" s="274">
        <f>IF(parameters!$B$33="B",'price scenario B'!I13,IF(parameters!$B$33="C",'price scenario C'!I13,'price scenario A'!I13))</f>
        <v>26.507598792581543</v>
      </c>
      <c r="J15" s="274">
        <f>IF(parameters!$B$33="B",'price scenario B'!J13,IF(parameters!$B$33="C",'price scenario C'!J13,'price scenario A'!J13))</f>
        <v>25.322604411743573</v>
      </c>
      <c r="K15" s="274">
        <f>IF(parameters!$B$33="B",'price scenario B'!K13,IF(parameters!$B$33="C",'price scenario C'!K13,'price scenario A'!K13))</f>
        <v>25.548612004249346</v>
      </c>
      <c r="L15" s="274">
        <f>IF(parameters!$B$33="B",'price scenario B'!L13,IF(parameters!$B$33="C",'price scenario C'!L13,'price scenario A'!L13))</f>
        <v>18.214250867579299</v>
      </c>
      <c r="M15" s="274">
        <f>IF(parameters!$B$33="B",'price scenario B'!M13,IF(parameters!$B$33="C",'price scenario C'!M13,'price scenario A'!M13))</f>
        <v>17.493409780397585</v>
      </c>
      <c r="N15" s="274">
        <f>IF(parameters!$B$33="B",'price scenario B'!N13,IF(parameters!$B$33="C",'price scenario C'!N13,'price scenario A'!N13))</f>
        <v>17.896012854399995</v>
      </c>
      <c r="O15" s="274">
        <f>IF(parameters!$B$33="B",'price scenario B'!O13,IF(parameters!$B$33="C",'price scenario C'!O13,'price scenario A'!O13))</f>
        <v>19.493424999999998</v>
      </c>
      <c r="P15" s="274">
        <f>IF(parameters!$B$33="B",'price scenario B'!P13,IF(parameters!$B$33="C",'price scenario C'!P13,'price scenario A'!P13))</f>
        <v>20.568432000000001</v>
      </c>
      <c r="Q15" s="274">
        <f>IF(parameters!$B$33="B",'price scenario B'!Q13,IF(parameters!$B$33="C",'price scenario C'!Q13,'price scenario A'!Q13))</f>
        <v>20.724325</v>
      </c>
      <c r="R15" s="274">
        <f>IF(parameters!$B$33="B",'price scenario B'!R13,IF(parameters!$B$33="C",'price scenario C'!R13,'price scenario A'!R13))</f>
        <v>21.057566000000001</v>
      </c>
      <c r="S15" s="274">
        <f>IF(parameters!$B$33="B",'price scenario B'!S13,IF(parameters!$B$33="C",'price scenario C'!S13,'price scenario A'!S13))</f>
        <v>21.630219</v>
      </c>
      <c r="T15" s="274">
        <f>IF(parameters!$B$33="B",'price scenario B'!T13,IF(parameters!$B$33="C",'price scenario C'!T13,'price scenario A'!T13))</f>
        <v>22.039038000000001</v>
      </c>
      <c r="U15" s="274">
        <f>IF(parameters!$B$33="B",'price scenario B'!U13,IF(parameters!$B$33="C",'price scenario C'!U13,'price scenario A'!U13))</f>
        <v>22.586746000000002</v>
      </c>
      <c r="V15" s="274">
        <f>IF(parameters!$B$33="B",'price scenario B'!V13,IF(parameters!$B$33="C",'price scenario C'!V13,'price scenario A'!V13))</f>
        <v>23.164100999999999</v>
      </c>
      <c r="W15" s="274">
        <f>IF(parameters!$B$33="B",'price scenario B'!W13,IF(parameters!$B$33="C",'price scenario C'!W13,'price scenario A'!W13))</f>
        <v>23.612912999999999</v>
      </c>
      <c r="X15" s="274">
        <f>IF(parameters!$B$33="B",'price scenario B'!X13,IF(parameters!$B$33="C",'price scenario C'!X13,'price scenario A'!X13))</f>
        <v>23.919976999999999</v>
      </c>
      <c r="Y15" s="274">
        <f>IF(parameters!$B$33="B",'price scenario B'!Y13,IF(parameters!$B$33="C",'price scenario C'!Y13,'price scenario A'!Y13))</f>
        <v>24.134181999999999</v>
      </c>
      <c r="Z15" s="274">
        <f>IF(parameters!$B$33="B",'price scenario B'!Z13,IF(parameters!$B$33="C",'price scenario C'!Z13,'price scenario A'!Z13))</f>
        <v>26.199290999999999</v>
      </c>
      <c r="AA15" s="274">
        <f>IF(parameters!$B$33="B",'price scenario B'!AA13,IF(parameters!$B$33="C",'price scenario C'!AA13,'price scenario A'!AA13))</f>
        <v>26.254795000000001</v>
      </c>
      <c r="AB15" s="274">
        <f>IF(parameters!$B$33="B",'price scenario B'!AB13,IF(parameters!$B$33="C",'price scenario C'!AB13,'price scenario A'!AB13))</f>
        <v>26.579574999999998</v>
      </c>
      <c r="AC15" s="274">
        <f>IF(parameters!$B$33="B",'price scenario B'!AC13,IF(parameters!$B$33="C",'price scenario C'!AC13,'price scenario A'!AC13))</f>
        <v>26.747864</v>
      </c>
      <c r="AD15" s="274">
        <f>IF(parameters!$B$33="B",'price scenario B'!AD13,IF(parameters!$B$33="C",'price scenario C'!AD13,'price scenario A'!AD13))</f>
        <v>26.953564</v>
      </c>
      <c r="AE15" s="274">
        <f>IF(parameters!$B$33="B",'price scenario B'!AE13,IF(parameters!$B$33="C",'price scenario C'!AE13,'price scenario A'!AE13))</f>
        <v>27.146222999999999</v>
      </c>
      <c r="AF15" s="274">
        <f>IF(parameters!$B$33="B",'price scenario B'!AF13,IF(parameters!$B$33="C",'price scenario C'!AF13,'price scenario A'!AF13))</f>
        <v>27.308767</v>
      </c>
      <c r="AG15" s="274">
        <f>IF(parameters!$B$33="B",'price scenario B'!AG13,IF(parameters!$B$33="C",'price scenario C'!AG13,'price scenario A'!AG13))</f>
        <v>27.485765000000001</v>
      </c>
      <c r="AH15" s="274">
        <f>IF(parameters!$B$33="B",'price scenario B'!AH13,IF(parameters!$B$33="C",'price scenario C'!AH13,'price scenario A'!AH13))</f>
        <v>27.601700000000001</v>
      </c>
      <c r="AI15" s="274">
        <f>IF(parameters!$B$33="B",'price scenario B'!AI13,IF(parameters!$B$33="C",'price scenario C'!AI13,'price scenario A'!AI13))</f>
        <v>27.685053</v>
      </c>
      <c r="AJ15" s="274">
        <f>IF(parameters!$B$33="B",'price scenario B'!AJ13,IF(parameters!$B$33="C",'price scenario C'!AJ13,'price scenario A'!AJ13))</f>
        <v>27.774585999999999</v>
      </c>
      <c r="AK15" s="274">
        <f>IF(parameters!$B$33="B",'price scenario B'!AK13,IF(parameters!$B$33="C",'price scenario C'!AK13,'price scenario A'!AK13))</f>
        <v>27.858264999999999</v>
      </c>
      <c r="AL15" s="274">
        <f>IF(parameters!$B$33="B",'price scenario B'!AL13,IF(parameters!$B$33="C",'price scenario C'!AL13,'price scenario A'!AL13))</f>
        <v>27.898174000000001</v>
      </c>
      <c r="AM15" s="274">
        <f>IF(parameters!$B$33="B",'price scenario B'!AM13,IF(parameters!$B$33="C",'price scenario C'!AM13,'price scenario A'!AM13))</f>
        <v>27.969211999999999</v>
      </c>
      <c r="AN15" s="274">
        <f>IF(parameters!$B$33="B",'price scenario B'!AN13,IF(parameters!$B$33="C",'price scenario C'!AN13,'price scenario A'!AN13))</f>
        <v>28.049977999999999</v>
      </c>
      <c r="AO15" s="274">
        <f>IF(parameters!$B$33="B",'price scenario B'!AO13,IF(parameters!$B$33="C",'price scenario C'!AO13,'price scenario A'!AO13))</f>
        <v>28.124182000000001</v>
      </c>
      <c r="AP15" s="274">
        <f>IF(parameters!$B$33="B",'price scenario B'!AP13,IF(parameters!$B$33="C",'price scenario C'!AP13,'price scenario A'!AP13))</f>
        <v>28.164836999999999</v>
      </c>
      <c r="AQ15" s="274">
        <f>IF(parameters!$B$33="B",'price scenario B'!AQ13,IF(parameters!$B$33="C",'price scenario C'!AQ13,'price scenario A'!AQ13))</f>
        <v>28.177430999999999</v>
      </c>
      <c r="AR15" s="274">
        <f>IF(parameters!$B$33="B",'price scenario B'!AR13,IF(parameters!$B$33="C",'price scenario C'!AR13,'price scenario A'!AR13))</f>
        <v>28.180620000000001</v>
      </c>
      <c r="AS15" s="274">
        <f>IF(parameters!$B$33="B",'price scenario B'!AS13,IF(parameters!$B$33="C",'price scenario C'!AS13,'price scenario A'!AS13))</f>
        <v>28.179376999999999</v>
      </c>
      <c r="AT15" s="274">
        <f>IF(parameters!$B$33="B",'price scenario B'!AT13,IF(parameters!$B$33="C",'price scenario C'!AT13,'price scenario A'!AT13))</f>
        <v>28.135705999999999</v>
      </c>
      <c r="AU15" s="274">
        <f>IF(parameters!$B$33="B",'price scenario B'!AU13,IF(parameters!$B$33="C",'price scenario C'!AU13,'price scenario A'!AU13))</f>
        <v>28.047127</v>
      </c>
    </row>
    <row r="16" spans="1:53">
      <c r="A16" s="40" t="s">
        <v>23</v>
      </c>
      <c r="B16" s="274">
        <f>IF(parameters!$B$33="B",'price scenario B'!B14,IF(parameters!$B$33="C",'price scenario C'!B14,'price scenario A'!B14))</f>
        <v>18.336578255962607</v>
      </c>
      <c r="C16" s="274">
        <f>IF(parameters!$B$33="B",'price scenario B'!C14,IF(parameters!$B$33="C",'price scenario C'!C14,'price scenario A'!C14))</f>
        <v>19.362665933700775</v>
      </c>
      <c r="D16" s="274">
        <f>IF(parameters!$B$33="B",'price scenario B'!D14,IF(parameters!$B$33="C",'price scenario C'!D14,'price scenario A'!D14))</f>
        <v>21.16174832675086</v>
      </c>
      <c r="E16" s="274">
        <f>IF(parameters!$B$33="B",'price scenario B'!E14,IF(parameters!$B$33="C",'price scenario C'!E14,'price scenario A'!E14))</f>
        <v>25.764433837219542</v>
      </c>
      <c r="F16" s="274">
        <f>IF(parameters!$B$33="B",'price scenario B'!F14,IF(parameters!$B$33="C",'price scenario C'!F14,'price scenario A'!F14))</f>
        <v>18.926205218183977</v>
      </c>
      <c r="G16" s="274">
        <f>IF(parameters!$B$33="B",'price scenario B'!G14,IF(parameters!$B$33="C",'price scenario C'!G14,'price scenario A'!G14))</f>
        <v>23.231780717700001</v>
      </c>
      <c r="H16" s="274">
        <f>IF(parameters!$B$33="B",'price scenario B'!H14,IF(parameters!$B$33="C",'price scenario C'!H14,'price scenario A'!H14))</f>
        <v>28.271112897599998</v>
      </c>
      <c r="I16" s="274">
        <f>IF(parameters!$B$33="B",'price scenario B'!I14,IF(parameters!$B$33="C",'price scenario C'!I14,'price scenario A'!I14))</f>
        <v>33.159286638489348</v>
      </c>
      <c r="J16" s="274">
        <f>IF(parameters!$B$33="B",'price scenario B'!J14,IF(parameters!$B$33="C",'price scenario C'!J14,'price scenario A'!J14))</f>
        <v>33.073435004775575</v>
      </c>
      <c r="K16" s="274">
        <f>IF(parameters!$B$33="B",'price scenario B'!K14,IF(parameters!$B$33="C",'price scenario C'!K14,'price scenario A'!K14))</f>
        <v>31.922558113485184</v>
      </c>
      <c r="L16" s="274">
        <f>IF(parameters!$B$33="B",'price scenario B'!L14,IF(parameters!$B$33="C",'price scenario C'!L14,'price scenario A'!L14))</f>
        <v>20.081025704897051</v>
      </c>
      <c r="M16" s="274">
        <f>IF(parameters!$B$33="B",'price scenario B'!M14,IF(parameters!$B$33="C",'price scenario C'!M14,'price scenario A'!M14))</f>
        <v>16.07795196826989</v>
      </c>
      <c r="N16" s="274">
        <f>IF(parameters!$B$33="B",'price scenario B'!N14,IF(parameters!$B$33="C",'price scenario C'!N14,'price scenario A'!N14))</f>
        <v>20.674324284824994</v>
      </c>
      <c r="O16" s="274">
        <f>IF(parameters!$B$33="B",'price scenario B'!O14,IF(parameters!$B$33="C",'price scenario C'!O14,'price scenario A'!O14))</f>
        <v>23.525245999999999</v>
      </c>
      <c r="P16" s="274">
        <f>IF(parameters!$B$33="B",'price scenario B'!P14,IF(parameters!$B$33="C",'price scenario C'!P14,'price scenario A'!P14))</f>
        <v>24.190204999999999</v>
      </c>
      <c r="Q16" s="274">
        <f>IF(parameters!$B$33="B",'price scenario B'!Q14,IF(parameters!$B$33="C",'price scenario C'!Q14,'price scenario A'!Q14))</f>
        <v>23.796192000000001</v>
      </c>
      <c r="R16" s="274">
        <f>IF(parameters!$B$33="B",'price scenario B'!R14,IF(parameters!$B$33="C",'price scenario C'!R14,'price scenario A'!R14))</f>
        <v>23.166775000000001</v>
      </c>
      <c r="S16" s="274">
        <f>IF(parameters!$B$33="B",'price scenario B'!S14,IF(parameters!$B$33="C",'price scenario C'!S14,'price scenario A'!S14))</f>
        <v>22.382401000000002</v>
      </c>
      <c r="T16" s="274">
        <f>IF(parameters!$B$33="B",'price scenario B'!T14,IF(parameters!$B$33="C",'price scenario C'!T14,'price scenario A'!T14))</f>
        <v>22.009723999999999</v>
      </c>
      <c r="U16" s="274">
        <f>IF(parameters!$B$33="B",'price scenario B'!U14,IF(parameters!$B$33="C",'price scenario C'!U14,'price scenario A'!U14))</f>
        <v>22.047388000000002</v>
      </c>
      <c r="V16" s="274">
        <f>IF(parameters!$B$33="B",'price scenario B'!V14,IF(parameters!$B$33="C",'price scenario C'!V14,'price scenario A'!V14))</f>
        <v>22.581669000000002</v>
      </c>
      <c r="W16" s="274">
        <f>IF(parameters!$B$33="B",'price scenario B'!W14,IF(parameters!$B$33="C",'price scenario C'!W14,'price scenario A'!W14))</f>
        <v>23.029392000000001</v>
      </c>
      <c r="X16" s="274">
        <f>IF(parameters!$B$33="B",'price scenario B'!X14,IF(parameters!$B$33="C",'price scenario C'!X14,'price scenario A'!X14))</f>
        <v>23.689896000000001</v>
      </c>
      <c r="Y16" s="274">
        <f>IF(parameters!$B$33="B",'price scenario B'!Y14,IF(parameters!$B$33="C",'price scenario C'!Y14,'price scenario A'!Y14))</f>
        <v>23.948902</v>
      </c>
      <c r="Z16" s="274">
        <f>IF(parameters!$B$33="B",'price scenario B'!Z14,IF(parameters!$B$33="C",'price scenario C'!Z14,'price scenario A'!Z14))</f>
        <v>26.725059999999999</v>
      </c>
      <c r="AA16" s="274">
        <f>IF(parameters!$B$33="B",'price scenario B'!AA14,IF(parameters!$B$33="C",'price scenario C'!AA14,'price scenario A'!AA14))</f>
        <v>26.887356</v>
      </c>
      <c r="AB16" s="274">
        <f>IF(parameters!$B$33="B",'price scenario B'!AB14,IF(parameters!$B$33="C",'price scenario C'!AB14,'price scenario A'!AB14))</f>
        <v>27.432673999999999</v>
      </c>
      <c r="AC16" s="274">
        <f>IF(parameters!$B$33="B",'price scenario B'!AC14,IF(parameters!$B$33="C",'price scenario C'!AC14,'price scenario A'!AC14))</f>
        <v>27.753166</v>
      </c>
      <c r="AD16" s="274">
        <f>IF(parameters!$B$33="B",'price scenario B'!AD14,IF(parameters!$B$33="C",'price scenario C'!AD14,'price scenario A'!AD14))</f>
        <v>27.991185999999999</v>
      </c>
      <c r="AE16" s="274">
        <f>IF(parameters!$B$33="B",'price scenario B'!AE14,IF(parameters!$B$33="C",'price scenario C'!AE14,'price scenario A'!AE14))</f>
        <v>28.077691999999999</v>
      </c>
      <c r="AF16" s="274">
        <f>IF(parameters!$B$33="B",'price scenario B'!AF14,IF(parameters!$B$33="C",'price scenario C'!AF14,'price scenario A'!AF14))</f>
        <v>28.326263000000001</v>
      </c>
      <c r="AG16" s="274">
        <f>IF(parameters!$B$33="B",'price scenario B'!AG14,IF(parameters!$B$33="C",'price scenario C'!AG14,'price scenario A'!AG14))</f>
        <v>28.663737999999999</v>
      </c>
      <c r="AH16" s="274">
        <f>IF(parameters!$B$33="B",'price scenario B'!AH14,IF(parameters!$B$33="C",'price scenario C'!AH14,'price scenario A'!AH14))</f>
        <v>28.615437</v>
      </c>
      <c r="AI16" s="274">
        <f>IF(parameters!$B$33="B",'price scenario B'!AI14,IF(parameters!$B$33="C",'price scenario C'!AI14,'price scenario A'!AI14))</f>
        <v>28.797667000000001</v>
      </c>
      <c r="AJ16" s="274">
        <f>IF(parameters!$B$33="B",'price scenario B'!AJ14,IF(parameters!$B$33="C",'price scenario C'!AJ14,'price scenario A'!AJ14))</f>
        <v>28.956769999999999</v>
      </c>
      <c r="AK16" s="274">
        <f>IF(parameters!$B$33="B",'price scenario B'!AK14,IF(parameters!$B$33="C",'price scenario C'!AK14,'price scenario A'!AK14))</f>
        <v>29.057278</v>
      </c>
      <c r="AL16" s="274">
        <f>IF(parameters!$B$33="B",'price scenario B'!AL14,IF(parameters!$B$33="C",'price scenario C'!AL14,'price scenario A'!AL14))</f>
        <v>29.105346999999998</v>
      </c>
      <c r="AM16" s="274">
        <f>IF(parameters!$B$33="B",'price scenario B'!AM14,IF(parameters!$B$33="C",'price scenario C'!AM14,'price scenario A'!AM14))</f>
        <v>29.331168999999999</v>
      </c>
      <c r="AN16" s="274">
        <f>IF(parameters!$B$33="B",'price scenario B'!AN14,IF(parameters!$B$33="C",'price scenario C'!AN14,'price scenario A'!AN14))</f>
        <v>29.343067000000001</v>
      </c>
      <c r="AO16" s="274">
        <f>IF(parameters!$B$33="B",'price scenario B'!AO14,IF(parameters!$B$33="C",'price scenario C'!AO14,'price scenario A'!AO14))</f>
        <v>29.232641000000001</v>
      </c>
      <c r="AP16" s="274">
        <f>IF(parameters!$B$33="B",'price scenario B'!AP14,IF(parameters!$B$33="C",'price scenario C'!AP14,'price scenario A'!AP14))</f>
        <v>29.265039000000002</v>
      </c>
      <c r="AQ16" s="274">
        <f>IF(parameters!$B$33="B",'price scenario B'!AQ14,IF(parameters!$B$33="C",'price scenario C'!AQ14,'price scenario A'!AQ14))</f>
        <v>29.204478999999999</v>
      </c>
      <c r="AR16" s="274">
        <f>IF(parameters!$B$33="B",'price scenario B'!AR14,IF(parameters!$B$33="C",'price scenario C'!AR14,'price scenario A'!AR14))</f>
        <v>29.103828</v>
      </c>
      <c r="AS16" s="274">
        <f>IF(parameters!$B$33="B",'price scenario B'!AS14,IF(parameters!$B$33="C",'price scenario C'!AS14,'price scenario A'!AS14))</f>
        <v>29.147362000000001</v>
      </c>
      <c r="AT16" s="274">
        <f>IF(parameters!$B$33="B",'price scenario B'!AT14,IF(parameters!$B$33="C",'price scenario C'!AT14,'price scenario A'!AT14))</f>
        <v>29.093060999999999</v>
      </c>
      <c r="AU16" s="274">
        <f>IF(parameters!$B$33="B",'price scenario B'!AU14,IF(parameters!$B$33="C",'price scenario C'!AU14,'price scenario A'!AU14))</f>
        <v>29.073174999999999</v>
      </c>
    </row>
    <row r="17" spans="1:47">
      <c r="A17" s="40" t="s">
        <v>43</v>
      </c>
      <c r="B17" s="274">
        <f>IF(parameters!$B$33="B",'price scenario B'!B15,IF(parameters!$B$33="C",'price scenario C'!B15,'price scenario A'!B15))</f>
        <v>12.921112351189148</v>
      </c>
      <c r="C17" s="274">
        <f>IF(parameters!$B$33="B",'price scenario B'!C15,IF(parameters!$B$33="C",'price scenario C'!C15,'price scenario A'!C15))</f>
        <v>6.0615216361345912</v>
      </c>
      <c r="D17" s="274">
        <f>IF(parameters!$B$33="B",'price scenario B'!D15,IF(parameters!$B$33="C",'price scenario C'!D15,'price scenario A'!D15))</f>
        <v>5.8083483068085409</v>
      </c>
      <c r="E17" s="274">
        <f>IF(parameters!$B$33="B",'price scenario B'!E15,IF(parameters!$B$33="C",'price scenario C'!E15,'price scenario A'!E15))</f>
        <v>10.712581042967264</v>
      </c>
      <c r="F17" s="274">
        <f>IF(parameters!$B$33="B",'price scenario B'!F15,IF(parameters!$B$33="C",'price scenario C'!F15,'price scenario A'!F15))</f>
        <v>6.4120503501815724</v>
      </c>
      <c r="G17" s="274">
        <f>IF(parameters!$B$33="B",'price scenario B'!G15,IF(parameters!$B$33="C",'price scenario C'!G15,'price scenario A'!G15))</f>
        <v>12.935456585700001</v>
      </c>
      <c r="H17" s="274">
        <f>IF(parameters!$B$33="B",'price scenario B'!H15,IF(parameters!$B$33="C",'price scenario C'!H15,'price scenario A'!H15))</f>
        <v>21.757031170800001</v>
      </c>
      <c r="I17" s="274">
        <f>IF(parameters!$B$33="B",'price scenario B'!I15,IF(parameters!$B$33="C",'price scenario C'!I15,'price scenario A'!I15))</f>
        <v>20.778513714611861</v>
      </c>
      <c r="J17" s="274">
        <f>IF(parameters!$B$33="B",'price scenario B'!J15,IF(parameters!$B$33="C",'price scenario C'!J15,'price scenario A'!J15))</f>
        <v>20.067517086109078</v>
      </c>
      <c r="K17" s="274">
        <f>IF(parameters!$B$33="B",'price scenario B'!K15,IF(parameters!$B$33="C",'price scenario C'!K15,'price scenario A'!K15))</f>
        <v>14.79496045157877</v>
      </c>
      <c r="L17" s="274">
        <f>IF(parameters!$B$33="B",'price scenario B'!L15,IF(parameters!$B$33="C",'price scenario C'!L15,'price scenario A'!L15))</f>
        <v>12.141037887954141</v>
      </c>
      <c r="M17" s="274">
        <f>IF(parameters!$B$33="B",'price scenario B'!M15,IF(parameters!$B$33="C",'price scenario C'!M15,'price scenario A'!M15))</f>
        <v>8.5961481409439155</v>
      </c>
      <c r="N17" s="274">
        <f>IF(parameters!$B$33="B",'price scenario B'!N15,IF(parameters!$B$33="C",'price scenario C'!N15,'price scenario A'!N15))</f>
        <v>11.024877150699997</v>
      </c>
      <c r="O17" s="274">
        <f>IF(parameters!$B$33="B",'price scenario B'!O15,IF(parameters!$B$33="C",'price scenario C'!O15,'price scenario A'!O15))</f>
        <v>13.332437000000001</v>
      </c>
      <c r="P17" s="274">
        <f>IF(parameters!$B$33="B",'price scenario B'!P15,IF(parameters!$B$33="C",'price scenario C'!P15,'price scenario A'!P15))</f>
        <v>9.8787369999999992</v>
      </c>
      <c r="Q17" s="274">
        <f>IF(parameters!$B$33="B",'price scenario B'!Q15,IF(parameters!$B$33="C",'price scenario C'!Q15,'price scenario A'!Q15))</f>
        <v>10.265613999999999</v>
      </c>
      <c r="R17" s="274">
        <f>IF(parameters!$B$33="B",'price scenario B'!R15,IF(parameters!$B$33="C",'price scenario C'!R15,'price scenario A'!R15))</f>
        <v>10.486031000000001</v>
      </c>
      <c r="S17" s="274">
        <f>IF(parameters!$B$33="B",'price scenario B'!S15,IF(parameters!$B$33="C",'price scenario C'!S15,'price scenario A'!S15))</f>
        <v>10.528746999999999</v>
      </c>
      <c r="T17" s="274">
        <f>IF(parameters!$B$33="B",'price scenario B'!T15,IF(parameters!$B$33="C",'price scenario C'!T15,'price scenario A'!T15))</f>
        <v>10.947609</v>
      </c>
      <c r="U17" s="274">
        <f>IF(parameters!$B$33="B",'price scenario B'!U15,IF(parameters!$B$33="C",'price scenario C'!U15,'price scenario A'!U15))</f>
        <v>11.540540999999999</v>
      </c>
      <c r="V17" s="274">
        <f>IF(parameters!$B$33="B",'price scenario B'!V15,IF(parameters!$B$33="C",'price scenario C'!V15,'price scenario A'!V15))</f>
        <v>11.762791</v>
      </c>
      <c r="W17" s="274">
        <f>IF(parameters!$B$33="B",'price scenario B'!W15,IF(parameters!$B$33="C",'price scenario C'!W15,'price scenario A'!W15))</f>
        <v>12.160868000000001</v>
      </c>
      <c r="X17" s="274">
        <f>IF(parameters!$B$33="B",'price scenario B'!X15,IF(parameters!$B$33="C",'price scenario C'!X15,'price scenario A'!X15))</f>
        <v>12.705256</v>
      </c>
      <c r="Y17" s="274">
        <f>IF(parameters!$B$33="B",'price scenario B'!Y15,IF(parameters!$B$33="C",'price scenario C'!Y15,'price scenario A'!Y15))</f>
        <v>12.901865000000001</v>
      </c>
      <c r="Z17" s="274">
        <f>IF(parameters!$B$33="B",'price scenario B'!Z15,IF(parameters!$B$33="C",'price scenario C'!Z15,'price scenario A'!Z15))</f>
        <v>13.316670999999999</v>
      </c>
      <c r="AA17" s="274">
        <f>IF(parameters!$B$33="B",'price scenario B'!AA15,IF(parameters!$B$33="C",'price scenario C'!AA15,'price scenario A'!AA15))</f>
        <v>13.421931000000001</v>
      </c>
      <c r="AB17" s="274">
        <f>IF(parameters!$B$33="B",'price scenario B'!AB15,IF(parameters!$B$33="C",'price scenario C'!AB15,'price scenario A'!AB15))</f>
        <v>13.621895</v>
      </c>
      <c r="AC17" s="274">
        <f>IF(parameters!$B$33="B",'price scenario B'!AC15,IF(parameters!$B$33="C",'price scenario C'!AC15,'price scenario A'!AC15))</f>
        <v>13.856438000000001</v>
      </c>
      <c r="AD17" s="274">
        <f>IF(parameters!$B$33="B",'price scenario B'!AD15,IF(parameters!$B$33="C",'price scenario C'!AD15,'price scenario A'!AD15))</f>
        <v>14.002591000000001</v>
      </c>
      <c r="AE17" s="274">
        <f>IF(parameters!$B$33="B",'price scenario B'!AE15,IF(parameters!$B$33="C",'price scenario C'!AE15,'price scenario A'!AE15))</f>
        <v>14.099449</v>
      </c>
      <c r="AF17" s="274">
        <f>IF(parameters!$B$33="B",'price scenario B'!AF15,IF(parameters!$B$33="C",'price scenario C'!AF15,'price scenario A'!AF15))</f>
        <v>14.282861</v>
      </c>
      <c r="AG17" s="274">
        <f>IF(parameters!$B$33="B",'price scenario B'!AG15,IF(parameters!$B$33="C",'price scenario C'!AG15,'price scenario A'!AG15))</f>
        <v>14.554171999999999</v>
      </c>
      <c r="AH17" s="274">
        <f>IF(parameters!$B$33="B",'price scenario B'!AH15,IF(parameters!$B$33="C",'price scenario C'!AH15,'price scenario A'!AH15))</f>
        <v>14.690308</v>
      </c>
      <c r="AI17" s="274">
        <f>IF(parameters!$B$33="B",'price scenario B'!AI15,IF(parameters!$B$33="C",'price scenario C'!AI15,'price scenario A'!AI15))</f>
        <v>14.760121</v>
      </c>
      <c r="AJ17" s="274">
        <f>IF(parameters!$B$33="B",'price scenario B'!AJ15,IF(parameters!$B$33="C",'price scenario C'!AJ15,'price scenario A'!AJ15))</f>
        <v>14.88829</v>
      </c>
      <c r="AK17" s="274">
        <f>IF(parameters!$B$33="B",'price scenario B'!AK15,IF(parameters!$B$33="C",'price scenario C'!AK15,'price scenario A'!AK15))</f>
        <v>14.982219000000001</v>
      </c>
      <c r="AL17" s="274">
        <f>IF(parameters!$B$33="B",'price scenario B'!AL15,IF(parameters!$B$33="C",'price scenario C'!AL15,'price scenario A'!AL15))</f>
        <v>15.077785</v>
      </c>
      <c r="AM17" s="274">
        <f>IF(parameters!$B$33="B",'price scenario B'!AM15,IF(parameters!$B$33="C",'price scenario C'!AM15,'price scenario A'!AM15))</f>
        <v>15.395372</v>
      </c>
      <c r="AN17" s="274">
        <f>IF(parameters!$B$33="B",'price scenario B'!AN15,IF(parameters!$B$33="C",'price scenario C'!AN15,'price scenario A'!AN15))</f>
        <v>15.406392</v>
      </c>
      <c r="AO17" s="274">
        <f>IF(parameters!$B$33="B",'price scenario B'!AO15,IF(parameters!$B$33="C",'price scenario C'!AO15,'price scenario A'!AO15))</f>
        <v>15.300700000000001</v>
      </c>
      <c r="AP17" s="274">
        <f>IF(parameters!$B$33="B",'price scenario B'!AP15,IF(parameters!$B$33="C",'price scenario C'!AP15,'price scenario A'!AP15))</f>
        <v>15.311681</v>
      </c>
      <c r="AQ17" s="274">
        <f>IF(parameters!$B$33="B",'price scenario B'!AQ15,IF(parameters!$B$33="C",'price scenario C'!AQ15,'price scenario A'!AQ15))</f>
        <v>15.316814000000001</v>
      </c>
      <c r="AR17" s="274">
        <f>IF(parameters!$B$33="B",'price scenario B'!AR15,IF(parameters!$B$33="C",'price scenario C'!AR15,'price scenario A'!AR15))</f>
        <v>15.346301</v>
      </c>
      <c r="AS17" s="274">
        <f>IF(parameters!$B$33="B",'price scenario B'!AS15,IF(parameters!$B$33="C",'price scenario C'!AS15,'price scenario A'!AS15))</f>
        <v>15.366849999999999</v>
      </c>
      <c r="AT17" s="274">
        <f>IF(parameters!$B$33="B",'price scenario B'!AT15,IF(parameters!$B$33="C",'price scenario C'!AT15,'price scenario A'!AT15))</f>
        <v>15.336262</v>
      </c>
      <c r="AU17" s="274">
        <f>IF(parameters!$B$33="B",'price scenario B'!AU15,IF(parameters!$B$33="C",'price scenario C'!AU15,'price scenario A'!AU15))</f>
        <v>15.342311</v>
      </c>
    </row>
    <row r="18" spans="1:47">
      <c r="A18" s="40" t="s">
        <v>24</v>
      </c>
      <c r="B18" s="274">
        <f>IF(parameters!$B$33="B",'price scenario B'!B16,IF(parameters!$B$33="C",'price scenario C'!B16,'price scenario A'!B16))</f>
        <v>12.4588911739857</v>
      </c>
      <c r="C18" s="274">
        <f>IF(parameters!$B$33="B",'price scenario B'!C16,IF(parameters!$B$33="C",'price scenario C'!C16,'price scenario A'!C16))</f>
        <v>12.138027530451193</v>
      </c>
      <c r="D18" s="274">
        <f>IF(parameters!$B$33="B",'price scenario B'!D16,IF(parameters!$B$33="C",'price scenario C'!D16,'price scenario A'!D16))</f>
        <v>12.253838968934737</v>
      </c>
      <c r="E18" s="274">
        <f>IF(parameters!$B$33="B",'price scenario B'!E16,IF(parameters!$B$33="C",'price scenario C'!E16,'price scenario A'!E16))</f>
        <v>13.109720213375745</v>
      </c>
      <c r="F18" s="274">
        <f>IF(parameters!$B$33="B",'price scenario B'!F16,IF(parameters!$B$33="C",'price scenario C'!F16,'price scenario A'!F16))</f>
        <v>10.911478280941965</v>
      </c>
      <c r="G18" s="274">
        <f>IF(parameters!$B$33="B",'price scenario B'!G16,IF(parameters!$B$33="C",'price scenario C'!G16,'price scenario A'!G16))</f>
        <v>9.4729120800000004</v>
      </c>
      <c r="H18" s="274">
        <f>IF(parameters!$B$33="B",'price scenario B'!H16,IF(parameters!$B$33="C",'price scenario C'!H16,'price scenario A'!H16))</f>
        <v>9.3063090174000003</v>
      </c>
      <c r="I18" s="274">
        <f>IF(parameters!$B$33="B",'price scenario B'!I16,IF(parameters!$B$33="C",'price scenario C'!I16,'price scenario A'!I16))</f>
        <v>9.4340062849977713</v>
      </c>
      <c r="J18" s="274">
        <f>IF(parameters!$B$33="B",'price scenario B'!J16,IF(parameters!$B$33="C",'price scenario C'!J16,'price scenario A'!J16))</f>
        <v>9.6516583141312768</v>
      </c>
      <c r="K18" s="274">
        <f>IF(parameters!$B$33="B",'price scenario B'!K16,IF(parameters!$B$33="C",'price scenario C'!K16,'price scenario A'!K16))</f>
        <v>10.628701200965779</v>
      </c>
      <c r="L18" s="274">
        <f>IF(parameters!$B$33="B",'price scenario B'!L16,IF(parameters!$B$33="C",'price scenario C'!L16,'price scenario A'!L16))</f>
        <v>9.8059545564290662</v>
      </c>
      <c r="M18" s="274">
        <f>IF(parameters!$B$33="B",'price scenario B'!M16,IF(parameters!$B$33="C",'price scenario C'!M16,'price scenario A'!M16))</f>
        <v>9.9554157355696002</v>
      </c>
      <c r="N18" s="274">
        <f>IF(parameters!$B$33="B",'price scenario B'!N16,IF(parameters!$B$33="C",'price scenario C'!N16,'price scenario A'!N16))</f>
        <v>9.669041221699997</v>
      </c>
      <c r="O18" s="274">
        <f>IF(parameters!$B$33="B",'price scenario B'!O16,IF(parameters!$B$33="C",'price scenario C'!O16,'price scenario A'!O16))</f>
        <v>8.9304830000000006</v>
      </c>
      <c r="P18" s="274">
        <f>IF(parameters!$B$33="B",'price scenario B'!P16,IF(parameters!$B$33="C",'price scenario C'!P16,'price scenario A'!P16))</f>
        <v>8.8499870000000005</v>
      </c>
      <c r="Q18" s="274">
        <f>IF(parameters!$B$33="B",'price scenario B'!Q16,IF(parameters!$B$33="C",'price scenario C'!Q16,'price scenario A'!Q16))</f>
        <v>8.9983559999999994</v>
      </c>
      <c r="R18" s="274">
        <f>IF(parameters!$B$33="B",'price scenario B'!R16,IF(parameters!$B$33="C",'price scenario C'!R16,'price scenario A'!R16))</f>
        <v>8.9759429999999991</v>
      </c>
      <c r="S18" s="274">
        <f>IF(parameters!$B$33="B",'price scenario B'!S16,IF(parameters!$B$33="C",'price scenario C'!S16,'price scenario A'!S16))</f>
        <v>9.0340520000000009</v>
      </c>
      <c r="T18" s="274">
        <f>IF(parameters!$B$33="B",'price scenario B'!T16,IF(parameters!$B$33="C",'price scenario C'!T16,'price scenario A'!T16))</f>
        <v>9.1708800000000004</v>
      </c>
      <c r="U18" s="274">
        <f>IF(parameters!$B$33="B",'price scenario B'!U16,IF(parameters!$B$33="C",'price scenario C'!U16,'price scenario A'!U16))</f>
        <v>9.3041149999999995</v>
      </c>
      <c r="V18" s="274">
        <f>IF(parameters!$B$33="B",'price scenario B'!V16,IF(parameters!$B$33="C",'price scenario C'!V16,'price scenario A'!V16))</f>
        <v>9.5073319999999999</v>
      </c>
      <c r="W18" s="274">
        <f>IF(parameters!$B$33="B",'price scenario B'!W16,IF(parameters!$B$33="C",'price scenario C'!W16,'price scenario A'!W16))</f>
        <v>9.6193120000000008</v>
      </c>
      <c r="X18" s="274">
        <f>IF(parameters!$B$33="B",'price scenario B'!X16,IF(parameters!$B$33="C",'price scenario C'!X16,'price scenario A'!X16))</f>
        <v>9.6459609999999998</v>
      </c>
      <c r="Y18" s="274">
        <f>IF(parameters!$B$33="B",'price scenario B'!Y16,IF(parameters!$B$33="C",'price scenario C'!Y16,'price scenario A'!Y16))</f>
        <v>9.7137619999999991</v>
      </c>
      <c r="Z18" s="274">
        <f>IF(parameters!$B$33="B",'price scenario B'!Z16,IF(parameters!$B$33="C",'price scenario C'!Z16,'price scenario A'!Z16))</f>
        <v>11.751372</v>
      </c>
      <c r="AA18" s="274">
        <f>IF(parameters!$B$33="B",'price scenario B'!AA16,IF(parameters!$B$33="C",'price scenario C'!AA16,'price scenario A'!AA16))</f>
        <v>11.780252000000001</v>
      </c>
      <c r="AB18" s="274">
        <f>IF(parameters!$B$33="B",'price scenario B'!AB16,IF(parameters!$B$33="C",'price scenario C'!AB16,'price scenario A'!AB16))</f>
        <v>12.08018</v>
      </c>
      <c r="AC18" s="274">
        <f>IF(parameters!$B$33="B",'price scenario B'!AC16,IF(parameters!$B$33="C",'price scenario C'!AC16,'price scenario A'!AC16))</f>
        <v>12.178845000000001</v>
      </c>
      <c r="AD18" s="274">
        <f>IF(parameters!$B$33="B",'price scenario B'!AD16,IF(parameters!$B$33="C",'price scenario C'!AD16,'price scenario A'!AD16))</f>
        <v>12.261047</v>
      </c>
      <c r="AE18" s="274">
        <f>IF(parameters!$B$33="B",'price scenario B'!AE16,IF(parameters!$B$33="C",'price scenario C'!AE16,'price scenario A'!AE16))</f>
        <v>12.317386000000001</v>
      </c>
      <c r="AF18" s="274">
        <f>IF(parameters!$B$33="B",'price scenario B'!AF16,IF(parameters!$B$33="C",'price scenario C'!AF16,'price scenario A'!AF16))</f>
        <v>12.371734</v>
      </c>
      <c r="AG18" s="274">
        <f>IF(parameters!$B$33="B",'price scenario B'!AG16,IF(parameters!$B$33="C",'price scenario C'!AG16,'price scenario A'!AG16))</f>
        <v>12.42972</v>
      </c>
      <c r="AH18" s="274">
        <f>IF(parameters!$B$33="B",'price scenario B'!AH16,IF(parameters!$B$33="C",'price scenario C'!AH16,'price scenario A'!AH16))</f>
        <v>12.479036000000001</v>
      </c>
      <c r="AI18" s="274">
        <f>IF(parameters!$B$33="B",'price scenario B'!AI16,IF(parameters!$B$33="C",'price scenario C'!AI16,'price scenario A'!AI16))</f>
        <v>12.504175999999999</v>
      </c>
      <c r="AJ18" s="274">
        <f>IF(parameters!$B$33="B",'price scenario B'!AJ16,IF(parameters!$B$33="C",'price scenario C'!AJ16,'price scenario A'!AJ16))</f>
        <v>12.535812</v>
      </c>
      <c r="AK18" s="274">
        <f>IF(parameters!$B$33="B",'price scenario B'!AK16,IF(parameters!$B$33="C",'price scenario C'!AK16,'price scenario A'!AK16))</f>
        <v>12.597868999999999</v>
      </c>
      <c r="AL18" s="274">
        <f>IF(parameters!$B$33="B",'price scenario B'!AL16,IF(parameters!$B$33="C",'price scenario C'!AL16,'price scenario A'!AL16))</f>
        <v>12.619534</v>
      </c>
      <c r="AM18" s="274">
        <f>IF(parameters!$B$33="B",'price scenario B'!AM16,IF(parameters!$B$33="C",'price scenario C'!AM16,'price scenario A'!AM16))</f>
        <v>12.665647999999999</v>
      </c>
      <c r="AN18" s="274">
        <f>IF(parameters!$B$33="B",'price scenario B'!AN16,IF(parameters!$B$33="C",'price scenario C'!AN16,'price scenario A'!AN16))</f>
        <v>12.734216</v>
      </c>
      <c r="AO18" s="274">
        <f>IF(parameters!$B$33="B",'price scenario B'!AO16,IF(parameters!$B$33="C",'price scenario C'!AO16,'price scenario A'!AO16))</f>
        <v>12.814878</v>
      </c>
      <c r="AP18" s="274">
        <f>IF(parameters!$B$33="B",'price scenario B'!AP16,IF(parameters!$B$33="C",'price scenario C'!AP16,'price scenario A'!AP16))</f>
        <v>12.909483</v>
      </c>
      <c r="AQ18" s="274">
        <f>IF(parameters!$B$33="B",'price scenario B'!AQ16,IF(parameters!$B$33="C",'price scenario C'!AQ16,'price scenario A'!AQ16))</f>
        <v>12.987532</v>
      </c>
      <c r="AR18" s="274">
        <f>IF(parameters!$B$33="B",'price scenario B'!AR16,IF(parameters!$B$33="C",'price scenario C'!AR16,'price scenario A'!AR16))</f>
        <v>13.086663</v>
      </c>
      <c r="AS18" s="274">
        <f>IF(parameters!$B$33="B",'price scenario B'!AS16,IF(parameters!$B$33="C",'price scenario C'!AS16,'price scenario A'!AS16))</f>
        <v>13.207452999999999</v>
      </c>
      <c r="AT18" s="274">
        <f>IF(parameters!$B$33="B",'price scenario B'!AT16,IF(parameters!$B$33="C",'price scenario C'!AT16,'price scenario A'!AT16))</f>
        <v>13.325372</v>
      </c>
      <c r="AU18" s="274">
        <f>IF(parameters!$B$33="B",'price scenario B'!AU16,IF(parameters!$B$33="C",'price scenario C'!AU16,'price scenario A'!AU16))</f>
        <v>13.418079000000001</v>
      </c>
    </row>
    <row r="19" spans="1:47">
      <c r="A19" s="46" t="s">
        <v>8</v>
      </c>
      <c r="B19" s="274">
        <f>IF(parameters!$B$33="B",'price scenario B'!B17,IF(parameters!$B$33="C",'price scenario C'!B17,'price scenario A'!B17))</f>
        <v>23.1460737255574</v>
      </c>
      <c r="C19" s="274">
        <f>IF(parameters!$B$33="B",'price scenario B'!C17,IF(parameters!$B$33="C",'price scenario C'!C17,'price scenario A'!C17))</f>
        <v>24.624666882854779</v>
      </c>
      <c r="D19" s="274">
        <f>IF(parameters!$B$33="B",'price scenario B'!D17,IF(parameters!$B$33="C",'price scenario C'!D17,'price scenario A'!D17))</f>
        <v>24.228302186069008</v>
      </c>
      <c r="E19" s="274">
        <f>IF(parameters!$B$33="B",'price scenario B'!E17,IF(parameters!$B$33="C",'price scenario C'!E17,'price scenario A'!E17))</f>
        <v>23.393087422468135</v>
      </c>
      <c r="F19" s="274">
        <f>IF(parameters!$B$33="B",'price scenario B'!F17,IF(parameters!$B$33="C",'price scenario C'!F17,'price scenario A'!F17))</f>
        <v>22.521179950466806</v>
      </c>
      <c r="G19" s="274">
        <f>IF(parameters!$B$33="B",'price scenario B'!G17,IF(parameters!$B$33="C",'price scenario C'!G17,'price scenario A'!G17))</f>
        <v>23.088380996261964</v>
      </c>
      <c r="H19" s="274">
        <f>IF(parameters!$B$33="B",'price scenario B'!H17,IF(parameters!$B$33="C",'price scenario C'!H17,'price scenario A'!H17))</f>
        <v>21.771570740789318</v>
      </c>
      <c r="I19" s="274">
        <f>IF(parameters!$B$33="B",'price scenario B'!I17,IF(parameters!$B$33="C",'price scenario C'!I17,'price scenario A'!I17))</f>
        <v>25.425098586245213</v>
      </c>
      <c r="J19" s="274">
        <f>IF(parameters!$B$33="B",'price scenario B'!J17,IF(parameters!$B$33="C",'price scenario C'!J17,'price scenario A'!J17))</f>
        <v>26.676530267276746</v>
      </c>
      <c r="K19" s="274">
        <f>IF(parameters!$B$33="B",'price scenario B'!K17,IF(parameters!$B$33="C",'price scenario C'!K17,'price scenario A'!K17))</f>
        <v>28.139399716162046</v>
      </c>
      <c r="L19" s="274">
        <f>IF(parameters!$B$33="B",'price scenario B'!L17,IF(parameters!$B$33="C",'price scenario C'!L17,'price scenario A'!L17))</f>
        <v>27.245925460011041</v>
      </c>
      <c r="M19" s="274">
        <f>IF(parameters!$B$33="B",'price scenario B'!M17,IF(parameters!$B$33="C",'price scenario C'!M17,'price scenario A'!M17))</f>
        <v>25.768592421209323</v>
      </c>
      <c r="N19" s="274">
        <f>IF(parameters!$B$33="B",'price scenario B'!N17,IF(parameters!$B$33="C",'price scenario C'!N17,'price scenario A'!N17))</f>
        <v>26.338304717148926</v>
      </c>
      <c r="O19" s="274">
        <f>IF(parameters!$B$33="B",'price scenario B'!O17,IF(parameters!$B$33="C",'price scenario C'!O17,'price scenario A'!O17))</f>
        <v>24.646125513338959</v>
      </c>
      <c r="P19" s="274">
        <f>IF(parameters!$B$33="B",'price scenario B'!P17,IF(parameters!$B$33="C",'price scenario C'!P17,'price scenario A'!P17))</f>
        <v>23.893430360659401</v>
      </c>
      <c r="Q19" s="274">
        <f>IF(parameters!$B$33="B",'price scenario B'!Q17,IF(parameters!$B$33="C",'price scenario C'!Q17,'price scenario A'!Q17))</f>
        <v>23.033947248830618</v>
      </c>
      <c r="R19" s="274">
        <f>IF(parameters!$B$33="B",'price scenario B'!R17,IF(parameters!$B$33="C",'price scenario C'!R17,'price scenario A'!R17))</f>
        <v>22.275983611036121</v>
      </c>
      <c r="S19" s="274">
        <f>IF(parameters!$B$33="B",'price scenario B'!S17,IF(parameters!$B$33="C",'price scenario C'!S17,'price scenario A'!S17))</f>
        <v>23.25219663304982</v>
      </c>
      <c r="T19" s="274">
        <f>IF(parameters!$B$33="B",'price scenario B'!T17,IF(parameters!$B$33="C",'price scenario C'!T17,'price scenario A'!T17))</f>
        <v>23.847248851109224</v>
      </c>
      <c r="U19" s="274">
        <f>IF(parameters!$B$33="B",'price scenario B'!U17,IF(parameters!$B$33="C",'price scenario C'!U17,'price scenario A'!U17))</f>
        <v>23.99585799084738</v>
      </c>
      <c r="V19" s="274">
        <f>IF(parameters!$B$33="B",'price scenario B'!V17,IF(parameters!$B$33="C",'price scenario C'!V17,'price scenario A'!V17))</f>
        <v>25.088270182436698</v>
      </c>
      <c r="W19" s="274">
        <f>IF(parameters!$B$33="B",'price scenario B'!W17,IF(parameters!$B$33="C",'price scenario C'!W17,'price scenario A'!W17))</f>
        <v>25.665060205842028</v>
      </c>
      <c r="X19" s="274">
        <f>IF(parameters!$B$33="B",'price scenario B'!X17,IF(parameters!$B$33="C",'price scenario C'!X17,'price scenario A'!X17))</f>
        <v>25.82691722089999</v>
      </c>
      <c r="Y19" s="274">
        <f>IF(parameters!$B$33="B",'price scenario B'!Y17,IF(parameters!$B$33="C",'price scenario C'!Y17,'price scenario A'!Y17))</f>
        <v>25.867856782365696</v>
      </c>
      <c r="Z19" s="274">
        <f>IF(parameters!$B$33="B",'price scenario B'!Z17,IF(parameters!$B$33="C",'price scenario C'!Z17,'price scenario A'!Z17))</f>
        <v>26.104392539422285</v>
      </c>
      <c r="AA19" s="274">
        <f>IF(parameters!$B$33="B",'price scenario B'!AA17,IF(parameters!$B$33="C",'price scenario C'!AA17,'price scenario A'!AA17))</f>
        <v>26.469404086059296</v>
      </c>
      <c r="AB19" s="274">
        <f>IF(parameters!$B$33="B",'price scenario B'!AB17,IF(parameters!$B$33="C",'price scenario C'!AB17,'price scenario A'!AB17))</f>
        <v>26.72742068470945</v>
      </c>
      <c r="AC19" s="274">
        <f>IF(parameters!$B$33="B",'price scenario B'!AC17,IF(parameters!$B$33="C",'price scenario C'!AC17,'price scenario A'!AC17))</f>
        <v>26.98046837183302</v>
      </c>
      <c r="AD19" s="274">
        <f>IF(parameters!$B$33="B",'price scenario B'!AD17,IF(parameters!$B$33="C",'price scenario C'!AD17,'price scenario A'!AD17))</f>
        <v>26.993920877143303</v>
      </c>
      <c r="AE19" s="274">
        <f>IF(parameters!$B$33="B",'price scenario B'!AE17,IF(parameters!$B$33="C",'price scenario C'!AE17,'price scenario A'!AE17))</f>
        <v>27.006399178579631</v>
      </c>
      <c r="AF19" s="274">
        <f>IF(parameters!$B$33="B",'price scenario B'!AF17,IF(parameters!$B$33="C",'price scenario C'!AF17,'price scenario A'!AF17))</f>
        <v>27.068338966531588</v>
      </c>
      <c r="AG19" s="274">
        <f>IF(parameters!$B$33="B",'price scenario B'!AG17,IF(parameters!$B$33="C",'price scenario C'!AG17,'price scenario A'!AG17))</f>
        <v>27.350507211463636</v>
      </c>
      <c r="AH19" s="274">
        <f>IF(parameters!$B$33="B",'price scenario B'!AH17,IF(parameters!$B$33="C",'price scenario C'!AH17,'price scenario A'!AH17))</f>
        <v>27.457269813005983</v>
      </c>
      <c r="AI19" s="274">
        <f>IF(parameters!$B$33="B",'price scenario B'!AI17,IF(parameters!$B$33="C",'price scenario C'!AI17,'price scenario A'!AI17))</f>
        <v>27.390266169929554</v>
      </c>
      <c r="AJ19" s="274">
        <f>IF(parameters!$B$33="B",'price scenario B'!AJ17,IF(parameters!$B$33="C",'price scenario C'!AJ17,'price scenario A'!AJ17))</f>
        <v>27.287458175638253</v>
      </c>
      <c r="AK19" s="274">
        <f>IF(parameters!$B$33="B",'price scenario B'!AK17,IF(parameters!$B$33="C",'price scenario C'!AK17,'price scenario A'!AK17))</f>
        <v>27.134609008143613</v>
      </c>
      <c r="AL19" s="274">
        <f>IF(parameters!$B$33="B",'price scenario B'!AL17,IF(parameters!$B$33="C",'price scenario C'!AL17,'price scenario A'!AL17))</f>
        <v>27.148088640196146</v>
      </c>
      <c r="AM19" s="274">
        <f>IF(parameters!$B$33="B",'price scenario B'!AM17,IF(parameters!$B$33="C",'price scenario C'!AM17,'price scenario A'!AM17))</f>
        <v>27.139409851810587</v>
      </c>
      <c r="AN19" s="274">
        <f>IF(parameters!$B$33="B",'price scenario B'!AN17,IF(parameters!$B$33="C",'price scenario C'!AN17,'price scenario A'!AN17))</f>
        <v>26.993329396219831</v>
      </c>
      <c r="AO19" s="274">
        <f>IF(parameters!$B$33="B",'price scenario B'!AO17,IF(parameters!$B$33="C",'price scenario C'!AO17,'price scenario A'!AO17))</f>
        <v>26.870858052065913</v>
      </c>
      <c r="AP19" s="274">
        <f>IF(parameters!$B$33="B",'price scenario B'!AP17,IF(parameters!$B$33="C",'price scenario C'!AP17,'price scenario A'!AP17))</f>
        <v>26.828478414413656</v>
      </c>
      <c r="AQ19" s="274">
        <f>IF(parameters!$B$33="B",'price scenario B'!AQ17,IF(parameters!$B$33="C",'price scenario C'!AQ17,'price scenario A'!AQ17))</f>
        <v>26.77571690073178</v>
      </c>
      <c r="AR19" s="274">
        <f>IF(parameters!$B$33="B",'price scenario B'!AR17,IF(parameters!$B$33="C",'price scenario C'!AR17,'price scenario A'!AR17))</f>
        <v>26.656152245981438</v>
      </c>
      <c r="AS19" s="274">
        <f>IF(parameters!$B$33="B",'price scenario B'!AS17,IF(parameters!$B$33="C",'price scenario C'!AS17,'price scenario A'!AS17))</f>
        <v>26.554588543563042</v>
      </c>
      <c r="AT19" s="274">
        <f>IF(parameters!$B$33="B",'price scenario B'!AT17,IF(parameters!$B$33="C",'price scenario C'!AT17,'price scenario A'!AT17))</f>
        <v>26.408098238279553</v>
      </c>
      <c r="AU19" s="274">
        <f>IF(parameters!$B$33="B",'price scenario B'!AU17,IF(parameters!$B$33="C",'price scenario C'!AU17,'price scenario A'!AU17))</f>
        <v>26.210475792984731</v>
      </c>
    </row>
    <row r="20" spans="1:47">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row>
    <row r="21" spans="1:47" s="5" customFormat="1" ht="13">
      <c r="A21" s="250" t="str">
        <f>'Price Change'!A21</f>
        <v xml:space="preserve"> Industrial 1/</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c r="AS21" s="380"/>
      <c r="AT21" s="380"/>
      <c r="AU21" s="381"/>
    </row>
    <row r="22" spans="1:47" s="377" customFormat="1" ht="12.9" customHeight="1">
      <c r="A22" s="379" t="s">
        <v>6</v>
      </c>
      <c r="B22" s="379">
        <v>2005</v>
      </c>
      <c r="C22" s="379">
        <v>2006</v>
      </c>
      <c r="D22" s="379">
        <v>2007</v>
      </c>
      <c r="E22" s="379">
        <v>2008</v>
      </c>
      <c r="F22" s="379">
        <v>2009</v>
      </c>
      <c r="G22" s="379">
        <v>2010</v>
      </c>
      <c r="H22" s="379">
        <v>2011</v>
      </c>
      <c r="I22" s="379">
        <v>2012</v>
      </c>
      <c r="J22" s="379">
        <v>2013</v>
      </c>
      <c r="K22" s="379">
        <v>2014</v>
      </c>
      <c r="L22" s="379">
        <v>2015</v>
      </c>
      <c r="M22" s="379">
        <v>2016</v>
      </c>
      <c r="N22" s="379">
        <v>2017</v>
      </c>
      <c r="O22" s="379">
        <v>2018</v>
      </c>
      <c r="P22" s="379">
        <v>2019</v>
      </c>
      <c r="Q22" s="379">
        <v>2020</v>
      </c>
      <c r="R22" s="379">
        <v>2021</v>
      </c>
      <c r="S22" s="379">
        <v>2022</v>
      </c>
      <c r="T22" s="379">
        <v>2023</v>
      </c>
      <c r="U22" s="379">
        <v>2024</v>
      </c>
      <c r="V22" s="379">
        <v>2025</v>
      </c>
      <c r="W22" s="379">
        <v>2026</v>
      </c>
      <c r="X22" s="379">
        <v>2027</v>
      </c>
      <c r="Y22" s="379">
        <v>2028</v>
      </c>
      <c r="Z22" s="379">
        <v>2029</v>
      </c>
      <c r="AA22" s="379">
        <v>2030</v>
      </c>
      <c r="AB22" s="379">
        <v>2031</v>
      </c>
      <c r="AC22" s="379">
        <v>2032</v>
      </c>
      <c r="AD22" s="379">
        <v>2033</v>
      </c>
      <c r="AE22" s="379">
        <v>2034</v>
      </c>
      <c r="AF22" s="379">
        <v>2035</v>
      </c>
      <c r="AG22" s="379">
        <v>2036</v>
      </c>
      <c r="AH22" s="379">
        <v>2037</v>
      </c>
      <c r="AI22" s="379">
        <v>2038</v>
      </c>
      <c r="AJ22" s="379">
        <v>2039</v>
      </c>
      <c r="AK22" s="379">
        <v>2040</v>
      </c>
      <c r="AL22" s="379">
        <v>2041</v>
      </c>
      <c r="AM22" s="379">
        <v>2042</v>
      </c>
      <c r="AN22" s="379">
        <v>2043</v>
      </c>
      <c r="AO22" s="379">
        <v>2044</v>
      </c>
      <c r="AP22" s="379">
        <v>2045</v>
      </c>
      <c r="AQ22" s="379">
        <v>2046</v>
      </c>
      <c r="AR22" s="379">
        <v>2047</v>
      </c>
      <c r="AS22" s="379">
        <v>2048</v>
      </c>
      <c r="AT22" s="379">
        <v>2049</v>
      </c>
      <c r="AU22" s="379">
        <v>2050</v>
      </c>
    </row>
    <row r="23" spans="1:47">
      <c r="A23" s="40" t="s">
        <v>22</v>
      </c>
      <c r="B23" s="274">
        <f>IF(parameters!$B$33="B",'price scenario B'!B20,IF(parameters!$B$33="C",'price scenario C'!B20,'price scenario A'!B20))</f>
        <v>21.509851978559478</v>
      </c>
      <c r="C23" s="274">
        <f>IF(parameters!$B$33="B",'price scenario B'!C20,IF(parameters!$B$33="C",'price scenario C'!C20,'price scenario A'!C20))</f>
        <v>26.868314656148534</v>
      </c>
      <c r="D23" s="274">
        <f>IF(parameters!$B$33="B",'price scenario B'!D20,IF(parameters!$B$33="C",'price scenario C'!D20,'price scenario A'!D20))</f>
        <v>28.751324003003155</v>
      </c>
      <c r="E23" s="274">
        <f>IF(parameters!$B$33="B",'price scenario B'!E20,IF(parameters!$B$33="C",'price scenario C'!E20,'price scenario A'!E20))</f>
        <v>26.965483053909633</v>
      </c>
      <c r="F23" s="274">
        <f>IF(parameters!$B$33="B",'price scenario B'!F20,IF(parameters!$B$33="C",'price scenario C'!F20,'price scenario A'!F20))</f>
        <v>21.018354346330199</v>
      </c>
      <c r="G23" s="274">
        <f>IF(parameters!$B$33="B",'price scenario B'!G20,IF(parameters!$B$33="C",'price scenario C'!G20,'price scenario A'!G20))</f>
        <v>29.179118348100001</v>
      </c>
      <c r="H23" s="274">
        <f>IF(parameters!$B$33="B",'price scenario B'!H20,IF(parameters!$B$33="C",'price scenario C'!H20,'price scenario A'!H20))</f>
        <v>23.640283057799998</v>
      </c>
      <c r="I23" s="274">
        <f>IF(parameters!$B$33="B",'price scenario B'!I20,IF(parameters!$B$33="C",'price scenario C'!I20,'price scenario A'!I20))</f>
        <v>25.77725531704467</v>
      </c>
      <c r="J23" s="274">
        <f>IF(parameters!$B$33="B",'price scenario B'!J20,IF(parameters!$B$33="C",'price scenario C'!J20,'price scenario A'!J20))</f>
        <v>24.552358064198891</v>
      </c>
      <c r="K23" s="274">
        <f>IF(parameters!$B$33="B",'price scenario B'!K20,IF(parameters!$B$33="C",'price scenario C'!K20,'price scenario A'!K20))</f>
        <v>22.218393563600216</v>
      </c>
      <c r="L23" s="274">
        <f>IF(parameters!$B$33="B",'price scenario B'!L20,IF(parameters!$B$33="C",'price scenario C'!L20,'price scenario A'!L20))</f>
        <v>14.031746416077615</v>
      </c>
      <c r="M23" s="274">
        <f>IF(parameters!$B$33="B",'price scenario B'!M20,IF(parameters!$B$33="C",'price scenario C'!M20,'price scenario A'!M20))</f>
        <v>12.845678590761379</v>
      </c>
      <c r="N23" s="274">
        <f>IF(parameters!$B$33="B",'price scenario B'!N20,IF(parameters!$B$33="C",'price scenario C'!N20,'price scenario A'!N20))</f>
        <v>13.493766720474996</v>
      </c>
      <c r="O23" s="274">
        <f>IF(parameters!$B$33="B",'price scenario B'!O20,IF(parameters!$B$33="C",'price scenario C'!O20,'price scenario A'!O20))</f>
        <v>13.672765</v>
      </c>
      <c r="P23" s="274">
        <f>IF(parameters!$B$33="B",'price scenario B'!P20,IF(parameters!$B$33="C",'price scenario C'!P20,'price scenario A'!P20))</f>
        <v>14.229456000000001</v>
      </c>
      <c r="Q23" s="274">
        <f>IF(parameters!$B$33="B",'price scenario B'!Q20,IF(parameters!$B$33="C",'price scenario C'!Q20,'price scenario A'!Q20))</f>
        <v>14.146156</v>
      </c>
      <c r="R23" s="274">
        <f>IF(parameters!$B$33="B",'price scenario B'!R20,IF(parameters!$B$33="C",'price scenario C'!R20,'price scenario A'!R20))</f>
        <v>14.457962999999999</v>
      </c>
      <c r="S23" s="274">
        <f>IF(parameters!$B$33="B",'price scenario B'!S20,IF(parameters!$B$33="C",'price scenario C'!S20,'price scenario A'!S20))</f>
        <v>15.023512999999999</v>
      </c>
      <c r="T23" s="274">
        <f>IF(parameters!$B$33="B",'price scenario B'!T20,IF(parameters!$B$33="C",'price scenario C'!T20,'price scenario A'!T20))</f>
        <v>15.380254000000001</v>
      </c>
      <c r="U23" s="274">
        <f>IF(parameters!$B$33="B",'price scenario B'!U20,IF(parameters!$B$33="C",'price scenario C'!U20,'price scenario A'!U20))</f>
        <v>15.911362</v>
      </c>
      <c r="V23" s="274">
        <f>IF(parameters!$B$33="B",'price scenario B'!V20,IF(parameters!$B$33="C",'price scenario C'!V20,'price scenario A'!V20))</f>
        <v>16.460713999999999</v>
      </c>
      <c r="W23" s="274">
        <f>IF(parameters!$B$33="B",'price scenario B'!W20,IF(parameters!$B$33="C",'price scenario C'!W20,'price scenario A'!W20))</f>
        <v>16.864184999999999</v>
      </c>
      <c r="X23" s="274">
        <f>IF(parameters!$B$33="B",'price scenario B'!X20,IF(parameters!$B$33="C",'price scenario C'!X20,'price scenario A'!X20))</f>
        <v>17.128959999999999</v>
      </c>
      <c r="Y23" s="274">
        <f>IF(parameters!$B$33="B",'price scenario B'!Y20,IF(parameters!$B$33="C",'price scenario C'!Y20,'price scenario A'!Y20))</f>
        <v>17.313670999999999</v>
      </c>
      <c r="Z23" s="274">
        <f>IF(parameters!$B$33="B",'price scenario B'!Z20,IF(parameters!$B$33="C",'price scenario C'!Z20,'price scenario A'!Z20))</f>
        <v>17.368544</v>
      </c>
      <c r="AA23" s="274">
        <f>IF(parameters!$B$33="B",'price scenario B'!AA20,IF(parameters!$B$33="C",'price scenario C'!AA20,'price scenario A'!AA20))</f>
        <v>17.412827</v>
      </c>
      <c r="AB23" s="274">
        <f>IF(parameters!$B$33="B",'price scenario B'!AB20,IF(parameters!$B$33="C",'price scenario C'!AB20,'price scenario A'!AB20))</f>
        <v>17.449695999999999</v>
      </c>
      <c r="AC23" s="274">
        <f>IF(parameters!$B$33="B",'price scenario B'!AC20,IF(parameters!$B$33="C",'price scenario C'!AC20,'price scenario A'!AC20))</f>
        <v>17.630033000000001</v>
      </c>
      <c r="AD23" s="274">
        <f>IF(parameters!$B$33="B",'price scenario B'!AD20,IF(parameters!$B$33="C",'price scenario C'!AD20,'price scenario A'!AD20))</f>
        <v>17.835062000000001</v>
      </c>
      <c r="AE23" s="274">
        <f>IF(parameters!$B$33="B",'price scenario B'!AE20,IF(parameters!$B$33="C",'price scenario C'!AE20,'price scenario A'!AE20))</f>
        <v>18.018039999999999</v>
      </c>
      <c r="AF23" s="274">
        <f>IF(parameters!$B$33="B",'price scenario B'!AF20,IF(parameters!$B$33="C",'price scenario C'!AF20,'price scenario A'!AF20))</f>
        <v>18.168431999999999</v>
      </c>
      <c r="AG23" s="274">
        <f>IF(parameters!$B$33="B",'price scenario B'!AG20,IF(parameters!$B$33="C",'price scenario C'!AG20,'price scenario A'!AG20))</f>
        <v>18.340063000000001</v>
      </c>
      <c r="AH23" s="274">
        <f>IF(parameters!$B$33="B",'price scenario B'!AH20,IF(parameters!$B$33="C",'price scenario C'!AH20,'price scenario A'!AH20))</f>
        <v>18.440995999999998</v>
      </c>
      <c r="AI23" s="274">
        <f>IF(parameters!$B$33="B",'price scenario B'!AI20,IF(parameters!$B$33="C",'price scenario C'!AI20,'price scenario A'!AI20))</f>
        <v>18.513914</v>
      </c>
      <c r="AJ23" s="274">
        <f>IF(parameters!$B$33="B",'price scenario B'!AJ20,IF(parameters!$B$33="C",'price scenario C'!AJ20,'price scenario A'!AJ20))</f>
        <v>18.599658999999999</v>
      </c>
      <c r="AK23" s="274">
        <f>IF(parameters!$B$33="B",'price scenario B'!AK20,IF(parameters!$B$33="C",'price scenario C'!AK20,'price scenario A'!AK20))</f>
        <v>18.678830999999999</v>
      </c>
      <c r="AL23" s="274">
        <f>IF(parameters!$B$33="B",'price scenario B'!AL20,IF(parameters!$B$33="C",'price scenario C'!AL20,'price scenario A'!AL20))</f>
        <v>18.709066</v>
      </c>
      <c r="AM23" s="274">
        <f>IF(parameters!$B$33="B",'price scenario B'!AM20,IF(parameters!$B$33="C",'price scenario C'!AM20,'price scenario A'!AM20))</f>
        <v>18.781182999999999</v>
      </c>
      <c r="AN23" s="274">
        <f>IF(parameters!$B$33="B",'price scenario B'!AN20,IF(parameters!$B$33="C",'price scenario C'!AN20,'price scenario A'!AN20))</f>
        <v>18.860766999999999</v>
      </c>
      <c r="AO23" s="274">
        <f>IF(parameters!$B$33="B",'price scenario B'!AO20,IF(parameters!$B$33="C",'price scenario C'!AO20,'price scenario A'!AO20))</f>
        <v>18.930902</v>
      </c>
      <c r="AP23" s="274">
        <f>IF(parameters!$B$33="B",'price scenario B'!AP20,IF(parameters!$B$33="C",'price scenario C'!AP20,'price scenario A'!AP20))</f>
        <v>18.963881000000001</v>
      </c>
      <c r="AQ23" s="274">
        <f>IF(parameters!$B$33="B",'price scenario B'!AQ20,IF(parameters!$B$33="C",'price scenario C'!AQ20,'price scenario A'!AQ20))</f>
        <v>18.969631</v>
      </c>
      <c r="AR23" s="274">
        <f>IF(parameters!$B$33="B",'price scenario B'!AR20,IF(parameters!$B$33="C",'price scenario C'!AR20,'price scenario A'!AR20))</f>
        <v>18.969342999999999</v>
      </c>
      <c r="AS23" s="274">
        <f>IF(parameters!$B$33="B",'price scenario B'!AS20,IF(parameters!$B$33="C",'price scenario C'!AS20,'price scenario A'!AS20))</f>
        <v>18.966394000000001</v>
      </c>
      <c r="AT23" s="274">
        <f>IF(parameters!$B$33="B",'price scenario B'!AT20,IF(parameters!$B$33="C",'price scenario C'!AT20,'price scenario A'!AT20))</f>
        <v>18.915438000000002</v>
      </c>
      <c r="AU23" s="274">
        <f>IF(parameters!$B$33="B",'price scenario B'!AU20,IF(parameters!$B$33="C",'price scenario C'!AU20,'price scenario A'!AU20))</f>
        <v>18.819983000000001</v>
      </c>
    </row>
    <row r="24" spans="1:47">
      <c r="A24" s="40" t="s">
        <v>23</v>
      </c>
      <c r="B24" s="274">
        <f>IF(parameters!$B$33="B",'price scenario B'!B21,IF(parameters!$B$33="C",'price scenario C'!B21,'price scenario A'!B21))</f>
        <v>19.153648789949461</v>
      </c>
      <c r="C24" s="274">
        <f>IF(parameters!$B$33="B",'price scenario B'!C21,IF(parameters!$B$33="C",'price scenario C'!C21,'price scenario A'!C21))</f>
        <v>20.236741970904106</v>
      </c>
      <c r="D24" s="274">
        <f>IF(parameters!$B$33="B",'price scenario B'!D21,IF(parameters!$B$33="C",'price scenario C'!D21,'price scenario A'!D21))</f>
        <v>21.723221140235491</v>
      </c>
      <c r="E24" s="274">
        <f>IF(parameters!$B$33="B",'price scenario B'!E21,IF(parameters!$B$33="C",'price scenario C'!E21,'price scenario A'!E21))</f>
        <v>25.880665116088384</v>
      </c>
      <c r="F24" s="274">
        <f>IF(parameters!$B$33="B",'price scenario B'!F21,IF(parameters!$B$33="C",'price scenario C'!F21,'price scenario A'!F21))</f>
        <v>19.023063652554338</v>
      </c>
      <c r="G24" s="274">
        <f>IF(parameters!$B$33="B",'price scenario B'!G21,IF(parameters!$B$33="C",'price scenario C'!G21,'price scenario A'!G21))</f>
        <v>23.027341889100001</v>
      </c>
      <c r="H24" s="274">
        <f>IF(parameters!$B$33="B",'price scenario B'!H21,IF(parameters!$B$33="C",'price scenario C'!H21,'price scenario A'!H21))</f>
        <v>28.029164734799998</v>
      </c>
      <c r="I24" s="274">
        <f>IF(parameters!$B$33="B",'price scenario B'!I21,IF(parameters!$B$33="C",'price scenario C'!I21,'price scenario A'!I21))</f>
        <v>32.879966534434686</v>
      </c>
      <c r="J24" s="274">
        <f>IF(parameters!$B$33="B",'price scenario B'!J21,IF(parameters!$B$33="C",'price scenario C'!J21,'price scenario A'!J21))</f>
        <v>32.794114900720913</v>
      </c>
      <c r="K24" s="274">
        <f>IF(parameters!$B$33="B",'price scenario B'!K21,IF(parameters!$B$33="C",'price scenario C'!K21,'price scenario A'!K21))</f>
        <v>31.641777282872919</v>
      </c>
      <c r="L24" s="274">
        <f>IF(parameters!$B$33="B",'price scenario B'!L21,IF(parameters!$B$33="C",'price scenario C'!L21,'price scenario A'!L21))</f>
        <v>20.165046435446492</v>
      </c>
      <c r="M24" s="274">
        <f>IF(parameters!$B$33="B",'price scenario B'!M21,IF(parameters!$B$33="C",'price scenario C'!M21,'price scenario A'!M21))</f>
        <v>15.631252723708403</v>
      </c>
      <c r="N24" s="274">
        <f>IF(parameters!$B$33="B",'price scenario B'!N21,IF(parameters!$B$33="C",'price scenario C'!N21,'price scenario A'!N21))</f>
        <v>20.111313718799995</v>
      </c>
      <c r="O24" s="274">
        <f>IF(parameters!$B$33="B",'price scenario B'!O21,IF(parameters!$B$33="C",'price scenario C'!O21,'price scenario A'!O21))</f>
        <v>22.960346000000001</v>
      </c>
      <c r="P24" s="274">
        <f>IF(parameters!$B$33="B",'price scenario B'!P21,IF(parameters!$B$33="C",'price scenario C'!P21,'price scenario A'!P21))</f>
        <v>23.751418999999999</v>
      </c>
      <c r="Q24" s="274">
        <f>IF(parameters!$B$33="B",'price scenario B'!Q21,IF(parameters!$B$33="C",'price scenario C'!Q21,'price scenario A'!Q21))</f>
        <v>23.385469000000001</v>
      </c>
      <c r="R24" s="274">
        <f>IF(parameters!$B$33="B",'price scenario B'!R21,IF(parameters!$B$33="C",'price scenario C'!R21,'price scenario A'!R21))</f>
        <v>22.835804</v>
      </c>
      <c r="S24" s="274">
        <f>IF(parameters!$B$33="B",'price scenario B'!S21,IF(parameters!$B$33="C",'price scenario C'!S21,'price scenario A'!S21))</f>
        <v>22.148261999999999</v>
      </c>
      <c r="T24" s="274">
        <f>IF(parameters!$B$33="B",'price scenario B'!T21,IF(parameters!$B$33="C",'price scenario C'!T21,'price scenario A'!T21))</f>
        <v>21.857569000000002</v>
      </c>
      <c r="U24" s="274">
        <f>IF(parameters!$B$33="B",'price scenario B'!U21,IF(parameters!$B$33="C",'price scenario C'!U21,'price scenario A'!U21))</f>
        <v>21.994007</v>
      </c>
      <c r="V24" s="274">
        <f>IF(parameters!$B$33="B",'price scenario B'!V21,IF(parameters!$B$33="C",'price scenario C'!V21,'price scenario A'!V21))</f>
        <v>22.556481999999999</v>
      </c>
      <c r="W24" s="274">
        <f>IF(parameters!$B$33="B",'price scenario B'!W21,IF(parameters!$B$33="C",'price scenario C'!W21,'price scenario A'!W21))</f>
        <v>22.998926000000001</v>
      </c>
      <c r="X24" s="274">
        <f>IF(parameters!$B$33="B",'price scenario B'!X21,IF(parameters!$B$33="C",'price scenario C'!X21,'price scenario A'!X21))</f>
        <v>23.662065999999999</v>
      </c>
      <c r="Y24" s="274">
        <f>IF(parameters!$B$33="B",'price scenario B'!Y21,IF(parameters!$B$33="C",'price scenario C'!Y21,'price scenario A'!Y21))</f>
        <v>23.931887</v>
      </c>
      <c r="Z24" s="274">
        <f>IF(parameters!$B$33="B",'price scenario B'!Z21,IF(parameters!$B$33="C",'price scenario C'!Z21,'price scenario A'!Z21))</f>
        <v>24.479118</v>
      </c>
      <c r="AA24" s="274">
        <f>IF(parameters!$B$33="B",'price scenario B'!AA21,IF(parameters!$B$33="C",'price scenario C'!AA21,'price scenario A'!AA21))</f>
        <v>24.651928000000002</v>
      </c>
      <c r="AB24" s="274">
        <f>IF(parameters!$B$33="B",'price scenario B'!AB21,IF(parameters!$B$33="C",'price scenario C'!AB21,'price scenario A'!AB21))</f>
        <v>24.882458</v>
      </c>
      <c r="AC24" s="274">
        <f>IF(parameters!$B$33="B",'price scenario B'!AC21,IF(parameters!$B$33="C",'price scenario C'!AC21,'price scenario A'!AC21))</f>
        <v>25.202105</v>
      </c>
      <c r="AD24" s="274">
        <f>IF(parameters!$B$33="B",'price scenario B'!AD21,IF(parameters!$B$33="C",'price scenario C'!AD21,'price scenario A'!AD21))</f>
        <v>25.436482999999999</v>
      </c>
      <c r="AE24" s="274">
        <f>IF(parameters!$B$33="B",'price scenario B'!AE21,IF(parameters!$B$33="C",'price scenario C'!AE21,'price scenario A'!AE21))</f>
        <v>25.528514999999999</v>
      </c>
      <c r="AF24" s="274">
        <f>IF(parameters!$B$33="B",'price scenario B'!AF21,IF(parameters!$B$33="C",'price scenario C'!AF21,'price scenario A'!AF21))</f>
        <v>25.778717</v>
      </c>
      <c r="AG24" s="274">
        <f>IF(parameters!$B$33="B",'price scenario B'!AG21,IF(parameters!$B$33="C",'price scenario C'!AG21,'price scenario A'!AG21))</f>
        <v>26.115079999999999</v>
      </c>
      <c r="AH24" s="274">
        <f>IF(parameters!$B$33="B",'price scenario B'!AH21,IF(parameters!$B$33="C",'price scenario C'!AH21,'price scenario A'!AH21))</f>
        <v>26.065258</v>
      </c>
      <c r="AI24" s="274">
        <f>IF(parameters!$B$33="B",'price scenario B'!AI21,IF(parameters!$B$33="C",'price scenario C'!AI21,'price scenario A'!AI21))</f>
        <v>26.248757999999999</v>
      </c>
      <c r="AJ24" s="274">
        <f>IF(parameters!$B$33="B",'price scenario B'!AJ21,IF(parameters!$B$33="C",'price scenario C'!AJ21,'price scenario A'!AJ21))</f>
        <v>26.404775999999998</v>
      </c>
      <c r="AK24" s="274">
        <f>IF(parameters!$B$33="B",'price scenario B'!AK21,IF(parameters!$B$33="C",'price scenario C'!AK21,'price scenario A'!AK21))</f>
        <v>26.504104999999999</v>
      </c>
      <c r="AL24" s="274">
        <f>IF(parameters!$B$33="B",'price scenario B'!AL21,IF(parameters!$B$33="C",'price scenario C'!AL21,'price scenario A'!AL21))</f>
        <v>26.546037999999999</v>
      </c>
      <c r="AM24" s="274">
        <f>IF(parameters!$B$33="B",'price scenario B'!AM21,IF(parameters!$B$33="C",'price scenario C'!AM21,'price scenario A'!AM21))</f>
        <v>26.763817</v>
      </c>
      <c r="AN24" s="274">
        <f>IF(parameters!$B$33="B",'price scenario B'!AN21,IF(parameters!$B$33="C",'price scenario C'!AN21,'price scenario A'!AN21))</f>
        <v>26.769569000000001</v>
      </c>
      <c r="AO24" s="274">
        <f>IF(parameters!$B$33="B",'price scenario B'!AO21,IF(parameters!$B$33="C",'price scenario C'!AO21,'price scenario A'!AO21))</f>
        <v>26.646336000000002</v>
      </c>
      <c r="AP24" s="274">
        <f>IF(parameters!$B$33="B",'price scenario B'!AP21,IF(parameters!$B$33="C",'price scenario C'!AP21,'price scenario A'!AP21))</f>
        <v>26.673127999999998</v>
      </c>
      <c r="AQ24" s="274">
        <f>IF(parameters!$B$33="B",'price scenario B'!AQ21,IF(parameters!$B$33="C",'price scenario C'!AQ21,'price scenario A'!AQ21))</f>
        <v>26.599201000000001</v>
      </c>
      <c r="AR24" s="274">
        <f>IF(parameters!$B$33="B",'price scenario B'!AR21,IF(parameters!$B$33="C",'price scenario C'!AR21,'price scenario A'!AR21))</f>
        <v>26.479959000000001</v>
      </c>
      <c r="AS24" s="274">
        <f>IF(parameters!$B$33="B",'price scenario B'!AS21,IF(parameters!$B$33="C",'price scenario C'!AS21,'price scenario A'!AS21))</f>
        <v>26.520557</v>
      </c>
      <c r="AT24" s="274">
        <f>IF(parameters!$B$33="B",'price scenario B'!AT21,IF(parameters!$B$33="C",'price scenario C'!AT21,'price scenario A'!AT21))</f>
        <v>26.466222999999999</v>
      </c>
      <c r="AU24" s="274">
        <f>IF(parameters!$B$33="B",'price scenario B'!AU21,IF(parameters!$B$33="C",'price scenario C'!AU21,'price scenario A'!AU21))</f>
        <v>26.446749000000001</v>
      </c>
    </row>
    <row r="25" spans="1:47">
      <c r="A25" s="40" t="s">
        <v>29</v>
      </c>
      <c r="B25" s="274">
        <f>IF(parameters!$B$33="B",'price scenario B'!B22,IF(parameters!$B$33="C",'price scenario C'!B22,'price scenario A'!B22))</f>
        <v>12.712094069421742</v>
      </c>
      <c r="C25" s="274">
        <f>IF(parameters!$B$33="B",'price scenario B'!C22,IF(parameters!$B$33="C",'price scenario C'!C22,'price scenario A'!C22))</f>
        <v>8.3987233696777679</v>
      </c>
      <c r="D25" s="274">
        <f>IF(parameters!$B$33="B",'price scenario B'!D22,IF(parameters!$B$33="C",'price scenario C'!D22,'price scenario A'!D22))</f>
        <v>8.0348807831263542</v>
      </c>
      <c r="E25" s="274">
        <f>IF(parameters!$B$33="B",'price scenario B'!E22,IF(parameters!$B$33="C",'price scenario C'!E22,'price scenario A'!E22))</f>
        <v>14.838764238637486</v>
      </c>
      <c r="F25" s="274">
        <f>IF(parameters!$B$33="B",'price scenario B'!F22,IF(parameters!$B$33="C",'price scenario C'!F22,'price scenario A'!F22))</f>
        <v>8.8722638441839781</v>
      </c>
      <c r="G25" s="274">
        <f>IF(parameters!$B$33="B",'price scenario B'!G22,IF(parameters!$B$33="C",'price scenario C'!G22,'price scenario A'!G22))</f>
        <v>12.8982843453</v>
      </c>
      <c r="H25" s="274">
        <f>IF(parameters!$B$33="B",'price scenario B'!H22,IF(parameters!$B$33="C",'price scenario C'!H22,'price scenario A'!H22))</f>
        <v>21.682584618</v>
      </c>
      <c r="I25" s="274">
        <f>IF(parameters!$B$33="B",'price scenario B'!I22,IF(parameters!$B$33="C",'price scenario C'!I22,'price scenario A'!I22))</f>
        <v>20.692662080898085</v>
      </c>
      <c r="J25" s="274">
        <f>IF(parameters!$B$33="B",'price scenario B'!J22,IF(parameters!$B$33="C",'price scenario C'!J22,'price scenario A'!J22))</f>
        <v>20.003430655308655</v>
      </c>
      <c r="K25" s="274">
        <f>IF(parameters!$B$33="B",'price scenario B'!K22,IF(parameters!$B$33="C",'price scenario C'!K22,'price scenario A'!K22))</f>
        <v>14.751764579481128</v>
      </c>
      <c r="L25" s="274">
        <f>IF(parameters!$B$33="B",'price scenario B'!L22,IF(parameters!$B$33="C",'price scenario C'!L22,'price scenario A'!L22))</f>
        <v>12.078022057884995</v>
      </c>
      <c r="M25" s="274">
        <f>IF(parameters!$B$33="B",'price scenario B'!M22,IF(parameters!$B$33="C",'price scenario C'!M22,'price scenario A'!M22))</f>
        <v>8.554520459444209</v>
      </c>
      <c r="N25" s="274">
        <f>IF(parameters!$B$33="B",'price scenario B'!N22,IF(parameters!$B$33="C",'price scenario C'!N22,'price scenario A'!N22))</f>
        <v>10.984492797474998</v>
      </c>
      <c r="O25" s="274">
        <f>IF(parameters!$B$33="B",'price scenario B'!O22,IF(parameters!$B$33="C",'price scenario C'!O22,'price scenario A'!O22))</f>
        <v>13.25526</v>
      </c>
      <c r="P25" s="274">
        <f>IF(parameters!$B$33="B",'price scenario B'!P22,IF(parameters!$B$33="C",'price scenario C'!P22,'price scenario A'!P22))</f>
        <v>9.8401490000000003</v>
      </c>
      <c r="Q25" s="274">
        <f>IF(parameters!$B$33="B",'price scenario B'!Q22,IF(parameters!$B$33="C",'price scenario C'!Q22,'price scenario A'!Q22))</f>
        <v>10.234743</v>
      </c>
      <c r="R25" s="274">
        <f>IF(parameters!$B$33="B",'price scenario B'!R22,IF(parameters!$B$33="C",'price scenario C'!R22,'price scenario A'!R22))</f>
        <v>10.462877000000001</v>
      </c>
      <c r="S25" s="274">
        <f>IF(parameters!$B$33="B",'price scenario B'!S22,IF(parameters!$B$33="C",'price scenario C'!S22,'price scenario A'!S22))</f>
        <v>10.513311</v>
      </c>
      <c r="T25" s="274">
        <f>IF(parameters!$B$33="B",'price scenario B'!T22,IF(parameters!$B$33="C",'price scenario C'!T22,'price scenario A'!T22))</f>
        <v>10.939890999999999</v>
      </c>
      <c r="U25" s="274">
        <f>IF(parameters!$B$33="B",'price scenario B'!U22,IF(parameters!$B$33="C",'price scenario C'!U22,'price scenario A'!U22))</f>
        <v>11.540540999999999</v>
      </c>
      <c r="V25" s="274">
        <f>IF(parameters!$B$33="B",'price scenario B'!V22,IF(parameters!$B$33="C",'price scenario C'!V22,'price scenario A'!V22))</f>
        <v>11.762791</v>
      </c>
      <c r="W25" s="274">
        <f>IF(parameters!$B$33="B",'price scenario B'!W22,IF(parameters!$B$33="C",'price scenario C'!W22,'price scenario A'!W22))</f>
        <v>12.160868000000001</v>
      </c>
      <c r="X25" s="274">
        <f>IF(parameters!$B$33="B",'price scenario B'!X22,IF(parameters!$B$33="C",'price scenario C'!X22,'price scenario A'!X22))</f>
        <v>12.705256</v>
      </c>
      <c r="Y25" s="274">
        <f>IF(parameters!$B$33="B",'price scenario B'!Y22,IF(parameters!$B$33="C",'price scenario C'!Y22,'price scenario A'!Y22))</f>
        <v>12.901865000000001</v>
      </c>
      <c r="Z25" s="274">
        <f>IF(parameters!$B$33="B",'price scenario B'!Z22,IF(parameters!$B$33="C",'price scenario C'!Z22,'price scenario A'!Z22))</f>
        <v>13.316670999999999</v>
      </c>
      <c r="AA25" s="274">
        <f>IF(parameters!$B$33="B",'price scenario B'!AA22,IF(parameters!$B$33="C",'price scenario C'!AA22,'price scenario A'!AA22))</f>
        <v>13.421931000000001</v>
      </c>
      <c r="AB25" s="274">
        <f>IF(parameters!$B$33="B",'price scenario B'!AB22,IF(parameters!$B$33="C",'price scenario C'!AB22,'price scenario A'!AB22))</f>
        <v>13.621895</v>
      </c>
      <c r="AC25" s="274">
        <f>IF(parameters!$B$33="B",'price scenario B'!AC22,IF(parameters!$B$33="C",'price scenario C'!AC22,'price scenario A'!AC22))</f>
        <v>13.856438000000001</v>
      </c>
      <c r="AD25" s="274">
        <f>IF(parameters!$B$33="B",'price scenario B'!AD22,IF(parameters!$B$33="C",'price scenario C'!AD22,'price scenario A'!AD22))</f>
        <v>14.002591000000001</v>
      </c>
      <c r="AE25" s="274">
        <f>IF(parameters!$B$33="B",'price scenario B'!AE22,IF(parameters!$B$33="C",'price scenario C'!AE22,'price scenario A'!AE22))</f>
        <v>14.099449</v>
      </c>
      <c r="AF25" s="274">
        <f>IF(parameters!$B$33="B",'price scenario B'!AF22,IF(parameters!$B$33="C",'price scenario C'!AF22,'price scenario A'!AF22))</f>
        <v>14.282861</v>
      </c>
      <c r="AG25" s="274">
        <f>IF(parameters!$B$33="B",'price scenario B'!AG22,IF(parameters!$B$33="C",'price scenario C'!AG22,'price scenario A'!AG22))</f>
        <v>14.554171999999999</v>
      </c>
      <c r="AH25" s="274">
        <f>IF(parameters!$B$33="B",'price scenario B'!AH22,IF(parameters!$B$33="C",'price scenario C'!AH22,'price scenario A'!AH22))</f>
        <v>14.690308</v>
      </c>
      <c r="AI25" s="274">
        <f>IF(parameters!$B$33="B",'price scenario B'!AI22,IF(parameters!$B$33="C",'price scenario C'!AI22,'price scenario A'!AI22))</f>
        <v>14.760121</v>
      </c>
      <c r="AJ25" s="274">
        <f>IF(parameters!$B$33="B",'price scenario B'!AJ22,IF(parameters!$B$33="C",'price scenario C'!AJ22,'price scenario A'!AJ22))</f>
        <v>14.88829</v>
      </c>
      <c r="AK25" s="274">
        <f>IF(parameters!$B$33="B",'price scenario B'!AK22,IF(parameters!$B$33="C",'price scenario C'!AK22,'price scenario A'!AK22))</f>
        <v>14.982219000000001</v>
      </c>
      <c r="AL25" s="274">
        <f>IF(parameters!$B$33="B",'price scenario B'!AL22,IF(parameters!$B$33="C",'price scenario C'!AL22,'price scenario A'!AL22))</f>
        <v>15.077785</v>
      </c>
      <c r="AM25" s="274">
        <f>IF(parameters!$B$33="B",'price scenario B'!AM22,IF(parameters!$B$33="C",'price scenario C'!AM22,'price scenario A'!AM22))</f>
        <v>15.395372</v>
      </c>
      <c r="AN25" s="274">
        <f>IF(parameters!$B$33="B",'price scenario B'!AN22,IF(parameters!$B$33="C",'price scenario C'!AN22,'price scenario A'!AN22))</f>
        <v>15.406392</v>
      </c>
      <c r="AO25" s="274">
        <f>IF(parameters!$B$33="B",'price scenario B'!AO22,IF(parameters!$B$33="C",'price scenario C'!AO22,'price scenario A'!AO22))</f>
        <v>15.300700000000001</v>
      </c>
      <c r="AP25" s="274">
        <f>IF(parameters!$B$33="B",'price scenario B'!AP22,IF(parameters!$B$33="C",'price scenario C'!AP22,'price scenario A'!AP22))</f>
        <v>15.311681</v>
      </c>
      <c r="AQ25" s="274">
        <f>IF(parameters!$B$33="B",'price scenario B'!AQ22,IF(parameters!$B$33="C",'price scenario C'!AQ22,'price scenario A'!AQ22))</f>
        <v>15.316814000000001</v>
      </c>
      <c r="AR25" s="274">
        <f>IF(parameters!$B$33="B",'price scenario B'!AR22,IF(parameters!$B$33="C",'price scenario C'!AR22,'price scenario A'!AR22))</f>
        <v>15.346301</v>
      </c>
      <c r="AS25" s="274">
        <f>IF(parameters!$B$33="B",'price scenario B'!AS22,IF(parameters!$B$33="C",'price scenario C'!AS22,'price scenario A'!AS22))</f>
        <v>15.366849999999999</v>
      </c>
      <c r="AT25" s="274">
        <f>IF(parameters!$B$33="B",'price scenario B'!AT22,IF(parameters!$B$33="C",'price scenario C'!AT22,'price scenario A'!AT22))</f>
        <v>15.336262</v>
      </c>
      <c r="AU25" s="274">
        <f>IF(parameters!$B$33="B",'price scenario B'!AU22,IF(parameters!$B$33="C",'price scenario C'!AU22,'price scenario A'!AU22))</f>
        <v>15.342311</v>
      </c>
    </row>
    <row r="26" spans="1:47">
      <c r="A26" s="40" t="s">
        <v>45</v>
      </c>
      <c r="B26" s="274">
        <f>IF(parameters!$B$33="B",'price scenario B'!B23,IF(parameters!$B$33="C",'price scenario C'!B23,'price scenario A'!B23))</f>
        <v>9.6803827233946027</v>
      </c>
      <c r="C26" s="274">
        <f>IF(parameters!$B$33="B",'price scenario B'!C23,IF(parameters!$B$33="C",'price scenario C'!C23,'price scenario A'!C23))</f>
        <v>8.7916513146663533</v>
      </c>
      <c r="D26" s="274">
        <f>IF(parameters!$B$33="B",'price scenario B'!D23,IF(parameters!$B$33="C",'price scenario C'!D23,'price scenario A'!D23))</f>
        <v>9.4360966899852876</v>
      </c>
      <c r="E26" s="274">
        <f>IF(parameters!$B$33="B",'price scenario B'!E23,IF(parameters!$B$33="C",'price scenario C'!E23,'price scenario A'!E23))</f>
        <v>10.9743303406492</v>
      </c>
      <c r="F26" s="274">
        <f>IF(parameters!$B$33="B",'price scenario B'!F23,IF(parameters!$B$33="C",'price scenario C'!F23,'price scenario A'!F23))</f>
        <v>6.1526683944177361</v>
      </c>
      <c r="G26" s="274">
        <f>IF(parameters!$B$33="B",'price scenario B'!G23,IF(parameters!$B$33="C",'price scenario C'!G23,'price scenario A'!G23))</f>
        <v>6.8424346047000011</v>
      </c>
      <c r="H26" s="274">
        <f>IF(parameters!$B$33="B",'price scenario B'!H23,IF(parameters!$B$33="C",'price scenario C'!H23,'price scenario A'!H23))</f>
        <v>6.6316744380000001</v>
      </c>
      <c r="I26" s="274">
        <f>IF(parameters!$B$33="B",'price scenario B'!I23,IF(parameters!$B$33="C",'price scenario C'!I23,'price scenario A'!I23))</f>
        <v>6.0640273672473501</v>
      </c>
      <c r="J26" s="274">
        <f>IF(parameters!$B$33="B",'price scenario B'!J23,IF(parameters!$B$33="C",'price scenario C'!J23,'price scenario A'!J23))</f>
        <v>6.968492466091023</v>
      </c>
      <c r="K26" s="274">
        <f>IF(parameters!$B$33="B",'price scenario B'!K23,IF(parameters!$B$33="C",'price scenario C'!K23,'price scenario A'!K23))</f>
        <v>7.803336357279389</v>
      </c>
      <c r="L26" s="274">
        <f>IF(parameters!$B$33="B",'price scenario B'!L23,IF(parameters!$B$33="C",'price scenario C'!L23,'price scenario A'!L23))</f>
        <v>5.9258265442470721</v>
      </c>
      <c r="M26" s="274">
        <f>IF(parameters!$B$33="B",'price scenario B'!M23,IF(parameters!$B$33="C",'price scenario C'!M23,'price scenario A'!M23))</f>
        <v>4.5073447773165931</v>
      </c>
      <c r="N26" s="274">
        <f>IF(parameters!$B$33="B",'price scenario B'!N23,IF(parameters!$B$33="C",'price scenario C'!N23,'price scenario A'!N23))</f>
        <v>4.8096195949999982</v>
      </c>
      <c r="O26" s="274">
        <f>IF(parameters!$B$33="B",'price scenario B'!O23,IF(parameters!$B$33="C",'price scenario C'!O23,'price scenario A'!O23))</f>
        <v>4.6022239999999996</v>
      </c>
      <c r="P26" s="274">
        <f>IF(parameters!$B$33="B",'price scenario B'!P23,IF(parameters!$B$33="C",'price scenario C'!P23,'price scenario A'!P23))</f>
        <v>4.6698209999999998</v>
      </c>
      <c r="Q26" s="274">
        <f>IF(parameters!$B$33="B",'price scenario B'!Q23,IF(parameters!$B$33="C",'price scenario C'!Q23,'price scenario A'!Q23))</f>
        <v>4.8021380000000002</v>
      </c>
      <c r="R26" s="274">
        <f>IF(parameters!$B$33="B",'price scenario B'!R23,IF(parameters!$B$33="C",'price scenario C'!R23,'price scenario A'!R23))</f>
        <v>4.7132149999999999</v>
      </c>
      <c r="S26" s="274">
        <f>IF(parameters!$B$33="B",'price scenario B'!S23,IF(parameters!$B$33="C",'price scenario C'!S23,'price scenario A'!S23))</f>
        <v>4.735258</v>
      </c>
      <c r="T26" s="274">
        <f>IF(parameters!$B$33="B",'price scenario B'!T23,IF(parameters!$B$33="C",'price scenario C'!T23,'price scenario A'!T23))</f>
        <v>4.8498239999999999</v>
      </c>
      <c r="U26" s="274">
        <f>IF(parameters!$B$33="B",'price scenario B'!U23,IF(parameters!$B$33="C",'price scenario C'!U23,'price scenario A'!U23))</f>
        <v>4.98062</v>
      </c>
      <c r="V26" s="274">
        <f>IF(parameters!$B$33="B",'price scenario B'!V23,IF(parameters!$B$33="C",'price scenario C'!V23,'price scenario A'!V23))</f>
        <v>5.2141450000000003</v>
      </c>
      <c r="W26" s="274">
        <f>IF(parameters!$B$33="B",'price scenario B'!W23,IF(parameters!$B$33="C",'price scenario C'!W23,'price scenario A'!W23))</f>
        <v>5.3244429999999996</v>
      </c>
      <c r="X26" s="274">
        <f>IF(parameters!$B$33="B",'price scenario B'!X23,IF(parameters!$B$33="C",'price scenario C'!X23,'price scenario A'!X23))</f>
        <v>5.3269590000000004</v>
      </c>
      <c r="Y26" s="274">
        <f>IF(parameters!$B$33="B",'price scenario B'!Y23,IF(parameters!$B$33="C",'price scenario C'!Y23,'price scenario A'!Y23))</f>
        <v>5.4077299999999999</v>
      </c>
      <c r="Z26" s="274">
        <f>IF(parameters!$B$33="B",'price scenario B'!Z23,IF(parameters!$B$33="C",'price scenario C'!Z23,'price scenario A'!Z23))</f>
        <v>5.3759399999999999</v>
      </c>
      <c r="AA26" s="274">
        <f>IF(parameters!$B$33="B",'price scenario B'!AA23,IF(parameters!$B$33="C",'price scenario C'!AA23,'price scenario A'!AA23))</f>
        <v>5.3976249999999997</v>
      </c>
      <c r="AB26" s="274">
        <f>IF(parameters!$B$33="B",'price scenario B'!AB23,IF(parameters!$B$33="C",'price scenario C'!AB23,'price scenario A'!AB23))</f>
        <v>5.393186</v>
      </c>
      <c r="AC26" s="274">
        <f>IF(parameters!$B$33="B",'price scenario B'!AC23,IF(parameters!$B$33="C",'price scenario C'!AC23,'price scenario A'!AC23))</f>
        <v>5.522049</v>
      </c>
      <c r="AD26" s="274">
        <f>IF(parameters!$B$33="B",'price scenario B'!AD23,IF(parameters!$B$33="C",'price scenario C'!AD23,'price scenario A'!AD23))</f>
        <v>5.5930080000000002</v>
      </c>
      <c r="AE26" s="274">
        <f>IF(parameters!$B$33="B",'price scenario B'!AE23,IF(parameters!$B$33="C",'price scenario C'!AE23,'price scenario A'!AE23))</f>
        <v>5.6568519999999998</v>
      </c>
      <c r="AF26" s="274">
        <f>IF(parameters!$B$33="B",'price scenario B'!AF23,IF(parameters!$B$33="C",'price scenario C'!AF23,'price scenario A'!AF23))</f>
        <v>5.7127290000000004</v>
      </c>
      <c r="AG26" s="274">
        <f>IF(parameters!$B$33="B",'price scenario B'!AG23,IF(parameters!$B$33="C",'price scenario C'!AG23,'price scenario A'!AG23))</f>
        <v>5.771515</v>
      </c>
      <c r="AH26" s="274">
        <f>IF(parameters!$B$33="B",'price scenario B'!AH23,IF(parameters!$B$33="C",'price scenario C'!AH23,'price scenario A'!AH23))</f>
        <v>5.8163590000000003</v>
      </c>
      <c r="AI26" s="274">
        <f>IF(parameters!$B$33="B",'price scenario B'!AI23,IF(parameters!$B$33="C",'price scenario C'!AI23,'price scenario A'!AI23))</f>
        <v>5.8386690000000003</v>
      </c>
      <c r="AJ26" s="274">
        <f>IF(parameters!$B$33="B",'price scenario B'!AJ23,IF(parameters!$B$33="C",'price scenario C'!AJ23,'price scenario A'!AJ23))</f>
        <v>5.8626569999999996</v>
      </c>
      <c r="AK26" s="274">
        <f>IF(parameters!$B$33="B",'price scenario B'!AK23,IF(parameters!$B$33="C",'price scenario C'!AK23,'price scenario A'!AK23))</f>
        <v>5.9356419999999996</v>
      </c>
      <c r="AL26" s="274">
        <f>IF(parameters!$B$33="B",'price scenario B'!AL23,IF(parameters!$B$33="C",'price scenario C'!AL23,'price scenario A'!AL23))</f>
        <v>5.9391999999999996</v>
      </c>
      <c r="AM26" s="274">
        <f>IF(parameters!$B$33="B",'price scenario B'!AM23,IF(parameters!$B$33="C",'price scenario C'!AM23,'price scenario A'!AM23))</f>
        <v>5.9765199999999998</v>
      </c>
      <c r="AN26" s="274">
        <f>IF(parameters!$B$33="B",'price scenario B'!AN23,IF(parameters!$B$33="C",'price scenario C'!AN23,'price scenario A'!AN23))</f>
        <v>6.0511330000000001</v>
      </c>
      <c r="AO26" s="274">
        <f>IF(parameters!$B$33="B",'price scenario B'!AO23,IF(parameters!$B$33="C",'price scenario C'!AO23,'price scenario A'!AO23))</f>
        <v>6.1539070000000002</v>
      </c>
      <c r="AP26" s="274">
        <f>IF(parameters!$B$33="B",'price scenario B'!AP23,IF(parameters!$B$33="C",'price scenario C'!AP23,'price scenario A'!AP23))</f>
        <v>6.2548149999999998</v>
      </c>
      <c r="AQ26" s="274">
        <f>IF(parameters!$B$33="B",'price scenario B'!AQ23,IF(parameters!$B$33="C",'price scenario C'!AQ23,'price scenario A'!AQ23))</f>
        <v>6.332999</v>
      </c>
      <c r="AR26" s="274">
        <f>IF(parameters!$B$33="B",'price scenario B'!AR23,IF(parameters!$B$33="C",'price scenario C'!AR23,'price scenario A'!AR23))</f>
        <v>6.4413099999999996</v>
      </c>
      <c r="AS26" s="274">
        <f>IF(parameters!$B$33="B",'price scenario B'!AS23,IF(parameters!$B$33="C",'price scenario C'!AS23,'price scenario A'!AS23))</f>
        <v>6.5935959999999998</v>
      </c>
      <c r="AT26" s="274">
        <f>IF(parameters!$B$33="B",'price scenario B'!AT23,IF(parameters!$B$33="C",'price scenario C'!AT23,'price scenario A'!AT23))</f>
        <v>6.7125279999999998</v>
      </c>
      <c r="AU26" s="274">
        <f>IF(parameters!$B$33="B",'price scenario B'!AU23,IF(parameters!$B$33="C",'price scenario C'!AU23,'price scenario A'!AU23))</f>
        <v>6.8125</v>
      </c>
    </row>
    <row r="27" spans="1:47">
      <c r="A27" s="40" t="s">
        <v>34</v>
      </c>
      <c r="B27" s="274" t="str">
        <f>IF(parameters!$B$33="B",'price scenario B'!B24,IF(parameters!$B$33="C",'price scenario C'!B24,'price scenario A'!B24))</f>
        <v>- -</v>
      </c>
      <c r="C27" s="274" t="str">
        <f>IF(parameters!$B$33="B",'price scenario B'!C24,IF(parameters!$B$33="C",'price scenario C'!C24,'price scenario A'!C24))</f>
        <v>- -</v>
      </c>
      <c r="D27" s="274" t="str">
        <f>IF(parameters!$B$33="B",'price scenario B'!D24,IF(parameters!$B$33="C",'price scenario C'!D24,'price scenario A'!D24))</f>
        <v>- -</v>
      </c>
      <c r="E27" s="274" t="str">
        <f>IF(parameters!$B$33="B",'price scenario B'!E24,IF(parameters!$B$33="C",'price scenario C'!E24,'price scenario A'!E24))</f>
        <v>- -</v>
      </c>
      <c r="F27" s="274" t="str">
        <f>IF(parameters!$B$33="B",'price scenario B'!F24,IF(parameters!$B$33="C",'price scenario C'!F24,'price scenario A'!F24))</f>
        <v>- -</v>
      </c>
      <c r="G27" s="274" t="str">
        <f>IF(parameters!$B$33="B",'price scenario B'!G24,IF(parameters!$B$33="C",'price scenario C'!G24,'price scenario A'!G24))</f>
        <v>- -</v>
      </c>
      <c r="H27" s="274" t="str">
        <f>IF(parameters!$B$33="B",'price scenario B'!H24,IF(parameters!$B$33="C",'price scenario C'!H24,'price scenario A'!H24))</f>
        <v>- -</v>
      </c>
      <c r="I27" s="274">
        <f>IF(parameters!$B$33="B",'price scenario B'!I24,IF(parameters!$B$33="C",'price scenario C'!I24,'price scenario A'!I24))</f>
        <v>0</v>
      </c>
      <c r="J27" s="274">
        <f>IF(parameters!$B$33="B",'price scenario B'!J24,IF(parameters!$B$33="C",'price scenario C'!J24,'price scenario A'!J24))</f>
        <v>0</v>
      </c>
      <c r="K27" s="274">
        <f>IF(parameters!$B$33="B",'price scenario B'!K24,IF(parameters!$B$33="C",'price scenario C'!K24,'price scenario A'!K24))</f>
        <v>0</v>
      </c>
      <c r="L27" s="274">
        <f>IF(parameters!$B$33="B",'price scenario B'!L24,IF(parameters!$B$33="C",'price scenario C'!L24,'price scenario A'!L24))</f>
        <v>0</v>
      </c>
      <c r="M27" s="274">
        <f>IF(parameters!$B$33="B",'price scenario B'!M24,IF(parameters!$B$33="C",'price scenario C'!M24,'price scenario A'!M24))</f>
        <v>0</v>
      </c>
      <c r="N27" s="274">
        <f>IF(parameters!$B$33="B",'price scenario B'!N24,IF(parameters!$B$33="C",'price scenario C'!N24,'price scenario A'!N24))</f>
        <v>0</v>
      </c>
      <c r="O27" s="274">
        <f>IF(parameters!$B$33="B",'price scenario B'!O24,IF(parameters!$B$33="C",'price scenario C'!O24,'price scenario A'!O24))</f>
        <v>0</v>
      </c>
      <c r="P27" s="274">
        <f>IF(parameters!$B$33="B",'price scenario B'!P24,IF(parameters!$B$33="C",'price scenario C'!P24,'price scenario A'!P24))</f>
        <v>0</v>
      </c>
      <c r="Q27" s="274">
        <f>IF(parameters!$B$33="B",'price scenario B'!Q24,IF(parameters!$B$33="C",'price scenario C'!Q24,'price scenario A'!Q24))</f>
        <v>0</v>
      </c>
      <c r="R27" s="274">
        <f>IF(parameters!$B$33="B",'price scenario B'!R24,IF(parameters!$B$33="C",'price scenario C'!R24,'price scenario A'!R24))</f>
        <v>0</v>
      </c>
      <c r="S27" s="274">
        <f>IF(parameters!$B$33="B",'price scenario B'!S24,IF(parameters!$B$33="C",'price scenario C'!S24,'price scenario A'!S24))</f>
        <v>0</v>
      </c>
      <c r="T27" s="274">
        <f>IF(parameters!$B$33="B",'price scenario B'!T24,IF(parameters!$B$33="C",'price scenario C'!T24,'price scenario A'!T24))</f>
        <v>0</v>
      </c>
      <c r="U27" s="274">
        <f>IF(parameters!$B$33="B",'price scenario B'!U24,IF(parameters!$B$33="C",'price scenario C'!U24,'price scenario A'!U24))</f>
        <v>0</v>
      </c>
      <c r="V27" s="274">
        <f>IF(parameters!$B$33="B",'price scenario B'!V24,IF(parameters!$B$33="C",'price scenario C'!V24,'price scenario A'!V24))</f>
        <v>0</v>
      </c>
      <c r="W27" s="274">
        <f>IF(parameters!$B$33="B",'price scenario B'!W24,IF(parameters!$B$33="C",'price scenario C'!W24,'price scenario A'!W24))</f>
        <v>0</v>
      </c>
      <c r="X27" s="274">
        <f>IF(parameters!$B$33="B",'price scenario B'!X24,IF(parameters!$B$33="C",'price scenario C'!X24,'price scenario A'!X24))</f>
        <v>0</v>
      </c>
      <c r="Y27" s="274">
        <f>IF(parameters!$B$33="B",'price scenario B'!Y24,IF(parameters!$B$33="C",'price scenario C'!Y24,'price scenario A'!Y24))</f>
        <v>0</v>
      </c>
      <c r="Z27" s="274">
        <f>IF(parameters!$B$33="B",'price scenario B'!Z24,IF(parameters!$B$33="C",'price scenario C'!Z24,'price scenario A'!Z24))</f>
        <v>0</v>
      </c>
      <c r="AA27" s="274">
        <f>IF(parameters!$B$33="B",'price scenario B'!AA24,IF(parameters!$B$33="C",'price scenario C'!AA24,'price scenario A'!AA24))</f>
        <v>0</v>
      </c>
      <c r="AB27" s="274">
        <f>IF(parameters!$B$33="B",'price scenario B'!AB24,IF(parameters!$B$33="C",'price scenario C'!AB24,'price scenario A'!AB24))</f>
        <v>0</v>
      </c>
      <c r="AC27" s="274">
        <f>IF(parameters!$B$33="B",'price scenario B'!AC24,IF(parameters!$B$33="C",'price scenario C'!AC24,'price scenario A'!AC24))</f>
        <v>0</v>
      </c>
      <c r="AD27" s="274">
        <f>IF(parameters!$B$33="B",'price scenario B'!AD24,IF(parameters!$B$33="C",'price scenario C'!AD24,'price scenario A'!AD24))</f>
        <v>0</v>
      </c>
      <c r="AE27" s="274">
        <f>IF(parameters!$B$33="B",'price scenario B'!AE24,IF(parameters!$B$33="C",'price scenario C'!AE24,'price scenario A'!AE24))</f>
        <v>0</v>
      </c>
      <c r="AF27" s="274">
        <f>IF(parameters!$B$33="B",'price scenario B'!AF24,IF(parameters!$B$33="C",'price scenario C'!AF24,'price scenario A'!AF24))</f>
        <v>0</v>
      </c>
      <c r="AG27" s="274">
        <f>IF(parameters!$B$33="B",'price scenario B'!AG24,IF(parameters!$B$33="C",'price scenario C'!AG24,'price scenario A'!AG24))</f>
        <v>0</v>
      </c>
      <c r="AH27" s="274">
        <f>IF(parameters!$B$33="B",'price scenario B'!AH24,IF(parameters!$B$33="C",'price scenario C'!AH24,'price scenario A'!AH24))</f>
        <v>0</v>
      </c>
      <c r="AI27" s="274">
        <f>IF(parameters!$B$33="B",'price scenario B'!AI24,IF(parameters!$B$33="C",'price scenario C'!AI24,'price scenario A'!AI24))</f>
        <v>0</v>
      </c>
      <c r="AJ27" s="274">
        <f>IF(parameters!$B$33="B",'price scenario B'!AJ24,IF(parameters!$B$33="C",'price scenario C'!AJ24,'price scenario A'!AJ24))</f>
        <v>0</v>
      </c>
      <c r="AK27" s="274">
        <f>IF(parameters!$B$33="B",'price scenario B'!AK24,IF(parameters!$B$33="C",'price scenario C'!AK24,'price scenario A'!AK24))</f>
        <v>0</v>
      </c>
      <c r="AL27" s="274">
        <f>IF(parameters!$B$33="B",'price scenario B'!AL24,IF(parameters!$B$33="C",'price scenario C'!AL24,'price scenario A'!AL24))</f>
        <v>0</v>
      </c>
      <c r="AM27" s="274">
        <f>IF(parameters!$B$33="B",'price scenario B'!AM24,IF(parameters!$B$33="C",'price scenario C'!AM24,'price scenario A'!AM24))</f>
        <v>0</v>
      </c>
      <c r="AN27" s="274">
        <f>IF(parameters!$B$33="B",'price scenario B'!AN24,IF(parameters!$B$33="C",'price scenario C'!AN24,'price scenario A'!AN24))</f>
        <v>0</v>
      </c>
      <c r="AO27" s="274">
        <f>IF(parameters!$B$33="B",'price scenario B'!AO24,IF(parameters!$B$33="C",'price scenario C'!AO24,'price scenario A'!AO24))</f>
        <v>0</v>
      </c>
      <c r="AP27" s="274">
        <f>IF(parameters!$B$33="B",'price scenario B'!AP24,IF(parameters!$B$33="C",'price scenario C'!AP24,'price scenario A'!AP24))</f>
        <v>0</v>
      </c>
      <c r="AQ27" s="274">
        <f>IF(parameters!$B$33="B",'price scenario B'!AQ24,IF(parameters!$B$33="C",'price scenario C'!AQ24,'price scenario A'!AQ24))</f>
        <v>0</v>
      </c>
      <c r="AR27" s="274">
        <f>IF(parameters!$B$33="B",'price scenario B'!AR24,IF(parameters!$B$33="C",'price scenario C'!AR24,'price scenario A'!AR24))</f>
        <v>0</v>
      </c>
      <c r="AS27" s="274">
        <f>IF(parameters!$B$33="B",'price scenario B'!AS24,IF(parameters!$B$33="C",'price scenario C'!AS24,'price scenario A'!AS24))</f>
        <v>0</v>
      </c>
      <c r="AT27" s="274">
        <f>IF(parameters!$B$33="B",'price scenario B'!AT24,IF(parameters!$B$33="C",'price scenario C'!AT24,'price scenario A'!AT24))</f>
        <v>0</v>
      </c>
      <c r="AU27" s="274">
        <f>IF(parameters!$B$33="B",'price scenario B'!AU24,IF(parameters!$B$33="C",'price scenario C'!AU24,'price scenario A'!AU24))</f>
        <v>0</v>
      </c>
    </row>
    <row r="28" spans="1:47">
      <c r="A28" s="40" t="s">
        <v>35</v>
      </c>
      <c r="B28" s="274">
        <f>IF(parameters!$B$33="B",'price scenario B'!B25,IF(parameters!$B$33="C",'price scenario C'!B25,'price scenario A'!B25))</f>
        <v>2.6853029392704197</v>
      </c>
      <c r="C28" s="274">
        <f>IF(parameters!$B$33="B",'price scenario B'!C25,IF(parameters!$B$33="C",'price scenario C'!C25,'price scenario A'!C25))</f>
        <v>3.0562250666494064</v>
      </c>
      <c r="D28" s="274">
        <f>IF(parameters!$B$33="B",'price scenario B'!D25,IF(parameters!$B$33="C",'price scenario C'!D25,'price scenario A'!D25))</f>
        <v>2.9300224949548581</v>
      </c>
      <c r="E28" s="274">
        <f>IF(parameters!$B$33="B",'price scenario B'!E25,IF(parameters!$B$33="C",'price scenario C'!E25,'price scenario A'!E25))</f>
        <v>3.7140272312924871</v>
      </c>
      <c r="F28" s="274">
        <f>IF(parameters!$B$33="B",'price scenario B'!F25,IF(parameters!$B$33="C",'price scenario C'!F25,'price scenario A'!F25))</f>
        <v>3.6157993272453006</v>
      </c>
      <c r="G28" s="274">
        <f>IF(parameters!$B$33="B",'price scenario B'!G25,IF(parameters!$B$33="C",'price scenario C'!G25,'price scenario A'!G25))</f>
        <v>3.4432300593000003</v>
      </c>
      <c r="H28" s="274">
        <f>IF(parameters!$B$33="B",'price scenario B'!H25,IF(parameters!$B$33="C",'price scenario C'!H25,'price scenario A'!H25))</f>
        <v>3.5423075435999998</v>
      </c>
      <c r="I28" s="274">
        <f>IF(parameters!$B$33="B",'price scenario B'!I25,IF(parameters!$B$33="C",'price scenario C'!I25,'price scenario A'!I25))</f>
        <v>4.5465090530109746</v>
      </c>
      <c r="J28" s="274">
        <f>IF(parameters!$B$33="B",'price scenario B'!J25,IF(parameters!$B$33="C",'price scenario C'!J25,'price scenario A'!J25))</f>
        <v>4.4147086575912411</v>
      </c>
      <c r="K28" s="274">
        <f>IF(parameters!$B$33="B",'price scenario B'!K25,IF(parameters!$B$33="C",'price scenario C'!K25,'price scenario A'!K25))</f>
        <v>4.3033473535796105</v>
      </c>
      <c r="L28" s="274">
        <f>IF(parameters!$B$33="B",'price scenario B'!L25,IF(parameters!$B$33="C",'price scenario C'!L25,'price scenario A'!L25))</f>
        <v>4.3733611328041668</v>
      </c>
      <c r="M28" s="274">
        <f>IF(parameters!$B$33="B",'price scenario B'!M25,IF(parameters!$B$33="C",'price scenario C'!M25,'price scenario A'!M25))</f>
        <v>4.413798584885904</v>
      </c>
      <c r="N28" s="274">
        <f>IF(parameters!$B$33="B",'price scenario B'!N25,IF(parameters!$B$33="C",'price scenario C'!N25,'price scenario A'!N25))</f>
        <v>4.0607828173499989</v>
      </c>
      <c r="O28" s="274">
        <f>IF(parameters!$B$33="B",'price scenario B'!O25,IF(parameters!$B$33="C",'price scenario C'!O25,'price scenario A'!O25))</f>
        <v>4.4307169999999996</v>
      </c>
      <c r="P28" s="274">
        <f>IF(parameters!$B$33="B",'price scenario B'!P25,IF(parameters!$B$33="C",'price scenario C'!P25,'price scenario A'!P25))</f>
        <v>4.4040999999999997</v>
      </c>
      <c r="Q28" s="274">
        <f>IF(parameters!$B$33="B",'price scenario B'!Q25,IF(parameters!$B$33="C",'price scenario C'!Q25,'price scenario A'!Q25))</f>
        <v>4.4279659999999996</v>
      </c>
      <c r="R28" s="274">
        <f>IF(parameters!$B$33="B",'price scenario B'!R25,IF(parameters!$B$33="C",'price scenario C'!R25,'price scenario A'!R25))</f>
        <v>4.3997130000000002</v>
      </c>
      <c r="S28" s="274">
        <f>IF(parameters!$B$33="B",'price scenario B'!S25,IF(parameters!$B$33="C",'price scenario C'!S25,'price scenario A'!S25))</f>
        <v>4.4102610000000002</v>
      </c>
      <c r="T28" s="274">
        <f>IF(parameters!$B$33="B",'price scenario B'!T25,IF(parameters!$B$33="C",'price scenario C'!T25,'price scenario A'!T25))</f>
        <v>4.4059970000000002</v>
      </c>
      <c r="U28" s="274">
        <f>IF(parameters!$B$33="B",'price scenario B'!U25,IF(parameters!$B$33="C",'price scenario C'!U25,'price scenario A'!U25))</f>
        <v>4.4128699999999998</v>
      </c>
      <c r="V28" s="274">
        <f>IF(parameters!$B$33="B",'price scenario B'!V25,IF(parameters!$B$33="C",'price scenario C'!V25,'price scenario A'!V25))</f>
        <v>4.4287910000000004</v>
      </c>
      <c r="W28" s="274">
        <f>IF(parameters!$B$33="B",'price scenario B'!W25,IF(parameters!$B$33="C",'price scenario C'!W25,'price scenario A'!W25))</f>
        <v>4.4294209999999996</v>
      </c>
      <c r="X28" s="274">
        <f>IF(parameters!$B$33="B",'price scenario B'!X25,IF(parameters!$B$33="C",'price scenario C'!X25,'price scenario A'!X25))</f>
        <v>4.441154</v>
      </c>
      <c r="Y28" s="274">
        <f>IF(parameters!$B$33="B",'price scenario B'!Y25,IF(parameters!$B$33="C",'price scenario C'!Y25,'price scenario A'!Y25))</f>
        <v>4.4376030000000002</v>
      </c>
      <c r="Z28" s="274">
        <f>IF(parameters!$B$33="B",'price scenario B'!Z25,IF(parameters!$B$33="C",'price scenario C'!Z25,'price scenario A'!Z25))</f>
        <v>4.4483050000000004</v>
      </c>
      <c r="AA28" s="274">
        <f>IF(parameters!$B$33="B",'price scenario B'!AA25,IF(parameters!$B$33="C",'price scenario C'!AA25,'price scenario A'!AA25))</f>
        <v>4.4680770000000001</v>
      </c>
      <c r="AB28" s="274">
        <f>IF(parameters!$B$33="B",'price scenario B'!AB25,IF(parameters!$B$33="C",'price scenario C'!AB25,'price scenario A'!AB25))</f>
        <v>4.4758709999999997</v>
      </c>
      <c r="AC28" s="274">
        <f>IF(parameters!$B$33="B",'price scenario B'!AC25,IF(parameters!$B$33="C",'price scenario C'!AC25,'price scenario A'!AC25))</f>
        <v>4.4612040000000004</v>
      </c>
      <c r="AD28" s="274">
        <f>IF(parameters!$B$33="B",'price scenario B'!AD25,IF(parameters!$B$33="C",'price scenario C'!AD25,'price scenario A'!AD25))</f>
        <v>4.4628550000000002</v>
      </c>
      <c r="AE28" s="274">
        <f>IF(parameters!$B$33="B",'price scenario B'!AE25,IF(parameters!$B$33="C",'price scenario C'!AE25,'price scenario A'!AE25))</f>
        <v>4.4638499999999999</v>
      </c>
      <c r="AF28" s="274">
        <f>IF(parameters!$B$33="B",'price scenario B'!AF25,IF(parameters!$B$33="C",'price scenario C'!AF25,'price scenario A'!AF25))</f>
        <v>4.4545519999999996</v>
      </c>
      <c r="AG28" s="274">
        <f>IF(parameters!$B$33="B",'price scenario B'!AG25,IF(parameters!$B$33="C",'price scenario C'!AG25,'price scenario A'!AG25))</f>
        <v>4.4570100000000004</v>
      </c>
      <c r="AH28" s="274">
        <f>IF(parameters!$B$33="B",'price scenario B'!AH25,IF(parameters!$B$33="C",'price scenario C'!AH25,'price scenario A'!AH25))</f>
        <v>4.4505660000000002</v>
      </c>
      <c r="AI28" s="274">
        <f>IF(parameters!$B$33="B",'price scenario B'!AI25,IF(parameters!$B$33="C",'price scenario C'!AI25,'price scenario A'!AI25))</f>
        <v>4.4470939999999999</v>
      </c>
      <c r="AJ28" s="274">
        <f>IF(parameters!$B$33="B",'price scenario B'!AJ25,IF(parameters!$B$33="C",'price scenario C'!AJ25,'price scenario A'!AJ25))</f>
        <v>4.4445589999999999</v>
      </c>
      <c r="AK28" s="274">
        <f>IF(parameters!$B$33="B",'price scenario B'!AK25,IF(parameters!$B$33="C",'price scenario C'!AK25,'price scenario A'!AK25))</f>
        <v>4.442475</v>
      </c>
      <c r="AL28" s="274">
        <f>IF(parameters!$B$33="B",'price scenario B'!AL25,IF(parameters!$B$33="C",'price scenario C'!AL25,'price scenario A'!AL25))</f>
        <v>4.4410970000000001</v>
      </c>
      <c r="AM28" s="274">
        <f>IF(parameters!$B$33="B",'price scenario B'!AM25,IF(parameters!$B$33="C",'price scenario C'!AM25,'price scenario A'!AM25))</f>
        <v>4.4395949999999997</v>
      </c>
      <c r="AN28" s="274">
        <f>IF(parameters!$B$33="B",'price scenario B'!AN25,IF(parameters!$B$33="C",'price scenario C'!AN25,'price scenario A'!AN25))</f>
        <v>4.4391780000000001</v>
      </c>
      <c r="AO28" s="274">
        <f>IF(parameters!$B$33="B",'price scenario B'!AO25,IF(parameters!$B$33="C",'price scenario C'!AO25,'price scenario A'!AO25))</f>
        <v>4.440188</v>
      </c>
      <c r="AP28" s="274">
        <f>IF(parameters!$B$33="B",'price scenario B'!AP25,IF(parameters!$B$33="C",'price scenario C'!AP25,'price scenario A'!AP25))</f>
        <v>4.4467730000000003</v>
      </c>
      <c r="AQ28" s="274">
        <f>IF(parameters!$B$33="B",'price scenario B'!AQ25,IF(parameters!$B$33="C",'price scenario C'!AQ25,'price scenario A'!AQ25))</f>
        <v>4.4563370000000004</v>
      </c>
      <c r="AR28" s="274">
        <f>IF(parameters!$B$33="B",'price scenario B'!AR25,IF(parameters!$B$33="C",'price scenario C'!AR25,'price scenario A'!AR25))</f>
        <v>4.4591180000000001</v>
      </c>
      <c r="AS28" s="274">
        <f>IF(parameters!$B$33="B",'price scenario B'!AS25,IF(parameters!$B$33="C",'price scenario C'!AS25,'price scenario A'!AS25))</f>
        <v>4.4679549999999999</v>
      </c>
      <c r="AT28" s="274">
        <f>IF(parameters!$B$33="B",'price scenario B'!AT25,IF(parameters!$B$33="C",'price scenario C'!AT25,'price scenario A'!AT25))</f>
        <v>4.4806270000000001</v>
      </c>
      <c r="AU28" s="274">
        <f>IF(parameters!$B$33="B",'price scenario B'!AU25,IF(parameters!$B$33="C",'price scenario C'!AU25,'price scenario A'!AU25))</f>
        <v>4.4876829999999996</v>
      </c>
    </row>
    <row r="29" spans="1:47">
      <c r="A29" s="40" t="s">
        <v>46</v>
      </c>
      <c r="B29" s="274" t="str">
        <f>IF(parameters!$B$33="B",'price scenario B'!B26,IF(parameters!$B$33="C",'price scenario C'!B26,'price scenario A'!B26))</f>
        <v>- -</v>
      </c>
      <c r="C29" s="274" t="str">
        <f>IF(parameters!$B$33="B",'price scenario B'!C26,IF(parameters!$B$33="C",'price scenario C'!C26,'price scenario A'!C26))</f>
        <v>- -</v>
      </c>
      <c r="D29" s="274" t="str">
        <f>IF(parameters!$B$33="B",'price scenario B'!D26,IF(parameters!$B$33="C",'price scenario C'!D26,'price scenario A'!D26))</f>
        <v>- -</v>
      </c>
      <c r="E29" s="274" t="str">
        <f>IF(parameters!$B$33="B",'price scenario B'!E26,IF(parameters!$B$33="C",'price scenario C'!E26,'price scenario A'!E26))</f>
        <v>- -</v>
      </c>
      <c r="F29" s="274" t="str">
        <f>IF(parameters!$B$33="B",'price scenario B'!F26,IF(parameters!$B$33="C",'price scenario C'!F26,'price scenario A'!F26))</f>
        <v>- -</v>
      </c>
      <c r="G29" s="274" t="str">
        <f>IF(parameters!$B$33="B",'price scenario B'!G26,IF(parameters!$B$33="C",'price scenario C'!G26,'price scenario A'!G26))</f>
        <v>- -</v>
      </c>
      <c r="H29" s="274" t="str">
        <f>IF(parameters!$B$33="B",'price scenario B'!H26,IF(parameters!$B$33="C",'price scenario C'!H26,'price scenario A'!H26))</f>
        <v>- -</v>
      </c>
      <c r="I29" s="274">
        <f>IF(parameters!$B$33="B",'price scenario B'!I26,IF(parameters!$B$33="C",'price scenario C'!I26,'price scenario A'!I26))</f>
        <v>0</v>
      </c>
      <c r="J29" s="274">
        <f>IF(parameters!$B$33="B",'price scenario B'!J26,IF(parameters!$B$33="C",'price scenario C'!J26,'price scenario A'!J26))</f>
        <v>0</v>
      </c>
      <c r="K29" s="274">
        <f>IF(parameters!$B$33="B",'price scenario B'!K26,IF(parameters!$B$33="C",'price scenario C'!K26,'price scenario A'!K26))</f>
        <v>0</v>
      </c>
      <c r="L29" s="274">
        <f>IF(parameters!$B$33="B",'price scenario B'!L26,IF(parameters!$B$33="C",'price scenario C'!L26,'price scenario A'!L26))</f>
        <v>0</v>
      </c>
      <c r="M29" s="274">
        <f>IF(parameters!$B$33="B",'price scenario B'!M26,IF(parameters!$B$33="C",'price scenario C'!M26,'price scenario A'!M26))</f>
        <v>0</v>
      </c>
      <c r="N29" s="274">
        <f>IF(parameters!$B$33="B",'price scenario B'!N26,IF(parameters!$B$33="C",'price scenario C'!N26,'price scenario A'!N26))</f>
        <v>0</v>
      </c>
      <c r="O29" s="274">
        <f>IF(parameters!$B$33="B",'price scenario B'!O26,IF(parameters!$B$33="C",'price scenario C'!O26,'price scenario A'!O26))</f>
        <v>0</v>
      </c>
      <c r="P29" s="274">
        <f>IF(parameters!$B$33="B",'price scenario B'!P26,IF(parameters!$B$33="C",'price scenario C'!P26,'price scenario A'!P26))</f>
        <v>0</v>
      </c>
      <c r="Q29" s="274">
        <f>IF(parameters!$B$33="B",'price scenario B'!Q26,IF(parameters!$B$33="C",'price scenario C'!Q26,'price scenario A'!Q26))</f>
        <v>0</v>
      </c>
      <c r="R29" s="274">
        <f>IF(parameters!$B$33="B",'price scenario B'!R26,IF(parameters!$B$33="C",'price scenario C'!R26,'price scenario A'!R26))</f>
        <v>0</v>
      </c>
      <c r="S29" s="274">
        <f>IF(parameters!$B$33="B",'price scenario B'!S26,IF(parameters!$B$33="C",'price scenario C'!S26,'price scenario A'!S26))</f>
        <v>0</v>
      </c>
      <c r="T29" s="274">
        <f>IF(parameters!$B$33="B",'price scenario B'!T26,IF(parameters!$B$33="C",'price scenario C'!T26,'price scenario A'!T26))</f>
        <v>0</v>
      </c>
      <c r="U29" s="274">
        <f>IF(parameters!$B$33="B",'price scenario B'!U26,IF(parameters!$B$33="C",'price scenario C'!U26,'price scenario A'!U26))</f>
        <v>0</v>
      </c>
      <c r="V29" s="274">
        <f>IF(parameters!$B$33="B",'price scenario B'!V26,IF(parameters!$B$33="C",'price scenario C'!V26,'price scenario A'!V26))</f>
        <v>0</v>
      </c>
      <c r="W29" s="274">
        <f>IF(parameters!$B$33="B",'price scenario B'!W26,IF(parameters!$B$33="C",'price scenario C'!W26,'price scenario A'!W26))</f>
        <v>0</v>
      </c>
      <c r="X29" s="274">
        <f>IF(parameters!$B$33="B",'price scenario B'!X26,IF(parameters!$B$33="C",'price scenario C'!X26,'price scenario A'!X26))</f>
        <v>0</v>
      </c>
      <c r="Y29" s="274">
        <f>IF(parameters!$B$33="B",'price scenario B'!Y26,IF(parameters!$B$33="C",'price scenario C'!Y26,'price scenario A'!Y26))</f>
        <v>0</v>
      </c>
      <c r="Z29" s="274">
        <f>IF(parameters!$B$33="B",'price scenario B'!Z26,IF(parameters!$B$33="C",'price scenario C'!Z26,'price scenario A'!Z26))</f>
        <v>0</v>
      </c>
      <c r="AA29" s="274">
        <f>IF(parameters!$B$33="B",'price scenario B'!AA26,IF(parameters!$B$33="C",'price scenario C'!AA26,'price scenario A'!AA26))</f>
        <v>0</v>
      </c>
      <c r="AB29" s="274">
        <f>IF(parameters!$B$33="B",'price scenario B'!AB26,IF(parameters!$B$33="C",'price scenario C'!AB26,'price scenario A'!AB26))</f>
        <v>0</v>
      </c>
      <c r="AC29" s="274">
        <f>IF(parameters!$B$33="B",'price scenario B'!AC26,IF(parameters!$B$33="C",'price scenario C'!AC26,'price scenario A'!AC26))</f>
        <v>0</v>
      </c>
      <c r="AD29" s="274">
        <f>IF(parameters!$B$33="B",'price scenario B'!AD26,IF(parameters!$B$33="C",'price scenario C'!AD26,'price scenario A'!AD26))</f>
        <v>0</v>
      </c>
      <c r="AE29" s="274">
        <f>IF(parameters!$B$33="B",'price scenario B'!AE26,IF(parameters!$B$33="C",'price scenario C'!AE26,'price scenario A'!AE26))</f>
        <v>0</v>
      </c>
      <c r="AF29" s="274">
        <f>IF(parameters!$B$33="B",'price scenario B'!AF26,IF(parameters!$B$33="C",'price scenario C'!AF26,'price scenario A'!AF26))</f>
        <v>0</v>
      </c>
      <c r="AG29" s="274">
        <f>IF(parameters!$B$33="B",'price scenario B'!AG26,IF(parameters!$B$33="C",'price scenario C'!AG26,'price scenario A'!AG26))</f>
        <v>0</v>
      </c>
      <c r="AH29" s="274">
        <f>IF(parameters!$B$33="B",'price scenario B'!AH26,IF(parameters!$B$33="C",'price scenario C'!AH26,'price scenario A'!AH26))</f>
        <v>0</v>
      </c>
      <c r="AI29" s="274">
        <f>IF(parameters!$B$33="B",'price scenario B'!AI26,IF(parameters!$B$33="C",'price scenario C'!AI26,'price scenario A'!AI26))</f>
        <v>0</v>
      </c>
      <c r="AJ29" s="274">
        <f>IF(parameters!$B$33="B",'price scenario B'!AJ26,IF(parameters!$B$33="C",'price scenario C'!AJ26,'price scenario A'!AJ26))</f>
        <v>0</v>
      </c>
      <c r="AK29" s="274">
        <f>IF(parameters!$B$33="B",'price scenario B'!AK26,IF(parameters!$B$33="C",'price scenario C'!AK26,'price scenario A'!AK26))</f>
        <v>0</v>
      </c>
      <c r="AL29" s="274">
        <f>IF(parameters!$B$33="B",'price scenario B'!AL26,IF(parameters!$B$33="C",'price scenario C'!AL26,'price scenario A'!AL26))</f>
        <v>0</v>
      </c>
      <c r="AM29" s="274">
        <f>IF(parameters!$B$33="B",'price scenario B'!AM26,IF(parameters!$B$33="C",'price scenario C'!AM26,'price scenario A'!AM26))</f>
        <v>0</v>
      </c>
      <c r="AN29" s="274">
        <f>IF(parameters!$B$33="B",'price scenario B'!AN26,IF(parameters!$B$33="C",'price scenario C'!AN26,'price scenario A'!AN26))</f>
        <v>0</v>
      </c>
      <c r="AO29" s="274">
        <f>IF(parameters!$B$33="B",'price scenario B'!AO26,IF(parameters!$B$33="C",'price scenario C'!AO26,'price scenario A'!AO26))</f>
        <v>0</v>
      </c>
      <c r="AP29" s="274">
        <f>IF(parameters!$B$33="B",'price scenario B'!AP26,IF(parameters!$B$33="C",'price scenario C'!AP26,'price scenario A'!AP26))</f>
        <v>0</v>
      </c>
      <c r="AQ29" s="274">
        <f>IF(parameters!$B$33="B",'price scenario B'!AQ26,IF(parameters!$B$33="C",'price scenario C'!AQ26,'price scenario A'!AQ26))</f>
        <v>0</v>
      </c>
      <c r="AR29" s="274">
        <f>IF(parameters!$B$33="B",'price scenario B'!AR26,IF(parameters!$B$33="C",'price scenario C'!AR26,'price scenario A'!AR26))</f>
        <v>0</v>
      </c>
      <c r="AS29" s="274">
        <f>IF(parameters!$B$33="B",'price scenario B'!AS26,IF(parameters!$B$33="C",'price scenario C'!AS26,'price scenario A'!AS26))</f>
        <v>0</v>
      </c>
      <c r="AT29" s="274">
        <f>IF(parameters!$B$33="B",'price scenario B'!AT26,IF(parameters!$B$33="C",'price scenario C'!AT26,'price scenario A'!AT26))</f>
        <v>0</v>
      </c>
      <c r="AU29" s="274">
        <f>IF(parameters!$B$33="B",'price scenario B'!AU26,IF(parameters!$B$33="C",'price scenario C'!AU26,'price scenario A'!AU26))</f>
        <v>0</v>
      </c>
    </row>
    <row r="30" spans="1:47">
      <c r="A30" s="46" t="s">
        <v>8</v>
      </c>
      <c r="B30" s="274">
        <f>IF(parameters!$B$33="B",'price scenario B'!B27,IF(parameters!$B$33="C",'price scenario C'!B27,'price scenario A'!B27))</f>
        <v>14.501129517650607</v>
      </c>
      <c r="C30" s="274">
        <f>IF(parameters!$B$33="B",'price scenario B'!C27,IF(parameters!$B$33="C",'price scenario C'!C27,'price scenario A'!C27))</f>
        <v>14.97593173500983</v>
      </c>
      <c r="D30" s="274">
        <f>IF(parameters!$B$33="B",'price scenario B'!D27,IF(parameters!$B$33="C",'price scenario C'!D27,'price scenario A'!D27))</f>
        <v>14.85010796351723</v>
      </c>
      <c r="E30" s="274">
        <f>IF(parameters!$B$33="B",'price scenario B'!E27,IF(parameters!$B$33="C",'price scenario C'!E27,'price scenario A'!E27))</f>
        <v>14.628858094573284</v>
      </c>
      <c r="F30" s="274">
        <f>IF(parameters!$B$33="B",'price scenario B'!F27,IF(parameters!$B$33="C",'price scenario C'!F27,'price scenario A'!F27))</f>
        <v>13.785994920885091</v>
      </c>
      <c r="G30" s="274">
        <f>IF(parameters!$B$33="B",'price scenario B'!G27,IF(parameters!$B$33="C",'price scenario C'!G27,'price scenario A'!G27))</f>
        <v>13.017621405478318</v>
      </c>
      <c r="H30" s="274">
        <f>IF(parameters!$B$33="B",'price scenario B'!H27,IF(parameters!$B$33="C",'price scenario C'!H27,'price scenario A'!H27))</f>
        <v>12.499403010805048</v>
      </c>
      <c r="I30" s="274">
        <f>IF(parameters!$B$33="B",'price scenario B'!I27,IF(parameters!$B$33="C",'price scenario C'!I27,'price scenario A'!I27))</f>
        <v>13.529095069576696</v>
      </c>
      <c r="J30" s="274">
        <f>IF(parameters!$B$33="B",'price scenario B'!J27,IF(parameters!$B$33="C",'price scenario C'!J27,'price scenario A'!J27))</f>
        <v>14.133185970403865</v>
      </c>
      <c r="K30" s="274">
        <f>IF(parameters!$B$33="B",'price scenario B'!K27,IF(parameters!$B$33="C",'price scenario C'!K27,'price scenario A'!K27))</f>
        <v>15.259773848626562</v>
      </c>
      <c r="L30" s="274">
        <f>IF(parameters!$B$33="B",'price scenario B'!L27,IF(parameters!$B$33="C",'price scenario C'!L27,'price scenario A'!L27))</f>
        <v>14.615625047371893</v>
      </c>
      <c r="M30" s="274">
        <f>IF(parameters!$B$33="B",'price scenario B'!M27,IF(parameters!$B$33="C",'price scenario C'!M27,'price scenario A'!M27))</f>
        <v>14.122180210058371</v>
      </c>
      <c r="N30" s="274">
        <f>IF(parameters!$B$33="B",'price scenario B'!N27,IF(parameters!$B$33="C",'price scenario C'!N27,'price scenario A'!N27))</f>
        <v>14.154481318174756</v>
      </c>
      <c r="O30" s="274">
        <f>IF(parameters!$B$33="B",'price scenario B'!O27,IF(parameters!$B$33="C",'price scenario C'!O27,'price scenario A'!O27))</f>
        <v>14.115104063024711</v>
      </c>
      <c r="P30" s="274">
        <f>IF(parameters!$B$33="B",'price scenario B'!P27,IF(parameters!$B$33="C",'price scenario C'!P27,'price scenario A'!P27))</f>
        <v>13.592575992980086</v>
      </c>
      <c r="Q30" s="274">
        <f>IF(parameters!$B$33="B",'price scenario B'!Q27,IF(parameters!$B$33="C",'price scenario C'!Q27,'price scenario A'!Q27))</f>
        <v>12.492787732511415</v>
      </c>
      <c r="R30" s="274">
        <f>IF(parameters!$B$33="B",'price scenario B'!R27,IF(parameters!$B$33="C",'price scenario C'!R27,'price scenario A'!R27))</f>
        <v>12.029844856088918</v>
      </c>
      <c r="S30" s="274">
        <f>IF(parameters!$B$33="B",'price scenario B'!S27,IF(parameters!$B$33="C",'price scenario C'!S27,'price scenario A'!S27))</f>
        <v>12.833160061428377</v>
      </c>
      <c r="T30" s="274">
        <f>IF(parameters!$B$33="B",'price scenario B'!T27,IF(parameters!$B$33="C",'price scenario C'!T27,'price scenario A'!T27))</f>
        <v>13.030563746978201</v>
      </c>
      <c r="U30" s="274">
        <f>IF(parameters!$B$33="B",'price scenario B'!U27,IF(parameters!$B$33="C",'price scenario C'!U27,'price scenario A'!U27))</f>
        <v>13.106313910967376</v>
      </c>
      <c r="V30" s="274">
        <f>IF(parameters!$B$33="B",'price scenario B'!V27,IF(parameters!$B$33="C",'price scenario C'!V27,'price scenario A'!V27))</f>
        <v>13.937751245283398</v>
      </c>
      <c r="W30" s="274">
        <f>IF(parameters!$B$33="B",'price scenario B'!W27,IF(parameters!$B$33="C",'price scenario C'!W27,'price scenario A'!W27))</f>
        <v>14.175287711599415</v>
      </c>
      <c r="X30" s="274">
        <f>IF(parameters!$B$33="B",'price scenario B'!X27,IF(parameters!$B$33="C",'price scenario C'!X27,'price scenario A'!X27))</f>
        <v>14.210869751114105</v>
      </c>
      <c r="Y30" s="274">
        <f>IF(parameters!$B$33="B",'price scenario B'!Y27,IF(parameters!$B$33="C",'price scenario C'!Y27,'price scenario A'!Y27))</f>
        <v>14.258356411293548</v>
      </c>
      <c r="Z30" s="274">
        <f>IF(parameters!$B$33="B",'price scenario B'!Z27,IF(parameters!$B$33="C",'price scenario C'!Z27,'price scenario A'!Z27))</f>
        <v>14.418658755489785</v>
      </c>
      <c r="AA30" s="274">
        <f>IF(parameters!$B$33="B",'price scenario B'!AA27,IF(parameters!$B$33="C",'price scenario C'!AA27,'price scenario A'!AA27))</f>
        <v>14.648592503581467</v>
      </c>
      <c r="AB30" s="274">
        <f>IF(parameters!$B$33="B",'price scenario B'!AB27,IF(parameters!$B$33="C",'price scenario C'!AB27,'price scenario A'!AB27))</f>
        <v>14.791689148486743</v>
      </c>
      <c r="AC30" s="274">
        <f>IF(parameters!$B$33="B",'price scenario B'!AC27,IF(parameters!$B$33="C",'price scenario C'!AC27,'price scenario A'!AC27))</f>
        <v>14.912027310957695</v>
      </c>
      <c r="AD30" s="274">
        <f>IF(parameters!$B$33="B",'price scenario B'!AD27,IF(parameters!$B$33="C",'price scenario C'!AD27,'price scenario A'!AD27))</f>
        <v>14.900912192317366</v>
      </c>
      <c r="AE30" s="274">
        <f>IF(parameters!$B$33="B",'price scenario B'!AE27,IF(parameters!$B$33="C",'price scenario C'!AE27,'price scenario A'!AE27))</f>
        <v>14.905042630010797</v>
      </c>
      <c r="AF30" s="274">
        <f>IF(parameters!$B$33="B",'price scenario B'!AF27,IF(parameters!$B$33="C",'price scenario C'!AF27,'price scenario A'!AF27))</f>
        <v>14.935393800698188</v>
      </c>
      <c r="AG30" s="274">
        <f>IF(parameters!$B$33="B",'price scenario B'!AG27,IF(parameters!$B$33="C",'price scenario C'!AG27,'price scenario A'!AG27))</f>
        <v>15.147694859293324</v>
      </c>
      <c r="AH30" s="274">
        <f>IF(parameters!$B$33="B",'price scenario B'!AH27,IF(parameters!$B$33="C",'price scenario C'!AH27,'price scenario A'!AH27))</f>
        <v>15.161383381991493</v>
      </c>
      <c r="AI30" s="274">
        <f>IF(parameters!$B$33="B",'price scenario B'!AI27,IF(parameters!$B$33="C",'price scenario C'!AI27,'price scenario A'!AI27))</f>
        <v>15.120629698241782</v>
      </c>
      <c r="AJ30" s="274">
        <f>IF(parameters!$B$33="B",'price scenario B'!AJ27,IF(parameters!$B$33="C",'price scenario C'!AJ27,'price scenario A'!AJ27))</f>
        <v>15.056590242139432</v>
      </c>
      <c r="AK30" s="274">
        <f>IF(parameters!$B$33="B",'price scenario B'!AK27,IF(parameters!$B$33="C",'price scenario C'!AK27,'price scenario A'!AK27))</f>
        <v>14.979909201292658</v>
      </c>
      <c r="AL30" s="274">
        <f>IF(parameters!$B$33="B",'price scenario B'!AL27,IF(parameters!$B$33="C",'price scenario C'!AL27,'price scenario A'!AL27))</f>
        <v>15.011375131644304</v>
      </c>
      <c r="AM30" s="274">
        <f>IF(parameters!$B$33="B",'price scenario B'!AM27,IF(parameters!$B$33="C",'price scenario C'!AM27,'price scenario A'!AM27))</f>
        <v>14.986654118164381</v>
      </c>
      <c r="AN30" s="274">
        <f>IF(parameters!$B$33="B",'price scenario B'!AN27,IF(parameters!$B$33="C",'price scenario C'!AN27,'price scenario A'!AN27))</f>
        <v>14.928704287477304</v>
      </c>
      <c r="AO30" s="274">
        <f>IF(parameters!$B$33="B",'price scenario B'!AO27,IF(parameters!$B$33="C",'price scenario C'!AO27,'price scenario A'!AO27))</f>
        <v>14.878415444371475</v>
      </c>
      <c r="AP30" s="274">
        <f>IF(parameters!$B$33="B",'price scenario B'!AP27,IF(parameters!$B$33="C",'price scenario C'!AP27,'price scenario A'!AP27))</f>
        <v>14.861161505694874</v>
      </c>
      <c r="AQ30" s="274">
        <f>IF(parameters!$B$33="B",'price scenario B'!AQ27,IF(parameters!$B$33="C",'price scenario C'!AQ27,'price scenario A'!AQ27))</f>
        <v>14.840742872273051</v>
      </c>
      <c r="AR30" s="274">
        <f>IF(parameters!$B$33="B",'price scenario B'!AR27,IF(parameters!$B$33="C",'price scenario C'!AR27,'price scenario A'!AR27))</f>
        <v>14.792602831107875</v>
      </c>
      <c r="AS30" s="274">
        <f>IF(parameters!$B$33="B",'price scenario B'!AS27,IF(parameters!$B$33="C",'price scenario C'!AS27,'price scenario A'!AS27))</f>
        <v>14.762724024305637</v>
      </c>
      <c r="AT30" s="274">
        <f>IF(parameters!$B$33="B",'price scenario B'!AT27,IF(parameters!$B$33="C",'price scenario C'!AT27,'price scenario A'!AT27))</f>
        <v>14.701484363041272</v>
      </c>
      <c r="AU30" s="274">
        <f>IF(parameters!$B$33="B",'price scenario B'!AU27,IF(parameters!$B$33="C",'price scenario C'!AU27,'price scenario A'!AU27))</f>
        <v>14.623745399034123</v>
      </c>
    </row>
    <row r="31" spans="1:47">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row>
    <row r="32" spans="1:47" s="5" customFormat="1" ht="13">
      <c r="A32" s="250" t="str">
        <f>'Price Change'!A32</f>
        <v xml:space="preserve"> Transportation</v>
      </c>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K32" s="380"/>
      <c r="AL32" s="380"/>
      <c r="AM32" s="380"/>
      <c r="AN32" s="380"/>
      <c r="AO32" s="380"/>
      <c r="AP32" s="380"/>
      <c r="AQ32" s="380"/>
      <c r="AR32" s="380"/>
      <c r="AS32" s="380"/>
      <c r="AT32" s="380"/>
      <c r="AU32" s="381"/>
    </row>
    <row r="33" spans="1:47" s="377" customFormat="1" ht="12.9" customHeight="1">
      <c r="A33" s="379" t="s">
        <v>6</v>
      </c>
      <c r="B33" s="379">
        <v>2005</v>
      </c>
      <c r="C33" s="379">
        <v>2006</v>
      </c>
      <c r="D33" s="379">
        <v>2007</v>
      </c>
      <c r="E33" s="379">
        <v>2008</v>
      </c>
      <c r="F33" s="379">
        <v>2009</v>
      </c>
      <c r="G33" s="379">
        <v>2010</v>
      </c>
      <c r="H33" s="379">
        <v>2011</v>
      </c>
      <c r="I33" s="379">
        <v>2012</v>
      </c>
      <c r="J33" s="379">
        <v>2013</v>
      </c>
      <c r="K33" s="379">
        <v>2014</v>
      </c>
      <c r="L33" s="379">
        <v>2015</v>
      </c>
      <c r="M33" s="379">
        <v>2016</v>
      </c>
      <c r="N33" s="379">
        <v>2017</v>
      </c>
      <c r="O33" s="379">
        <v>2018</v>
      </c>
      <c r="P33" s="379">
        <v>2019</v>
      </c>
      <c r="Q33" s="379">
        <v>2020</v>
      </c>
      <c r="R33" s="379">
        <v>2021</v>
      </c>
      <c r="S33" s="379">
        <v>2022</v>
      </c>
      <c r="T33" s="379">
        <v>2023</v>
      </c>
      <c r="U33" s="379">
        <v>2024</v>
      </c>
      <c r="V33" s="379">
        <v>2025</v>
      </c>
      <c r="W33" s="379">
        <v>2026</v>
      </c>
      <c r="X33" s="379">
        <v>2027</v>
      </c>
      <c r="Y33" s="379">
        <v>2028</v>
      </c>
      <c r="Z33" s="379">
        <v>2029</v>
      </c>
      <c r="AA33" s="379">
        <v>2030</v>
      </c>
      <c r="AB33" s="379">
        <v>2031</v>
      </c>
      <c r="AC33" s="379">
        <v>2032</v>
      </c>
      <c r="AD33" s="379">
        <v>2033</v>
      </c>
      <c r="AE33" s="379">
        <v>2034</v>
      </c>
      <c r="AF33" s="379">
        <v>2035</v>
      </c>
      <c r="AG33" s="379">
        <v>2036</v>
      </c>
      <c r="AH33" s="379">
        <v>2037</v>
      </c>
      <c r="AI33" s="379">
        <v>2038</v>
      </c>
      <c r="AJ33" s="379">
        <v>2039</v>
      </c>
      <c r="AK33" s="379">
        <v>2040</v>
      </c>
      <c r="AL33" s="379">
        <v>2041</v>
      </c>
      <c r="AM33" s="379">
        <v>2042</v>
      </c>
      <c r="AN33" s="379">
        <v>2043</v>
      </c>
      <c r="AO33" s="379">
        <v>2044</v>
      </c>
      <c r="AP33" s="379">
        <v>2045</v>
      </c>
      <c r="AQ33" s="379">
        <v>2046</v>
      </c>
      <c r="AR33" s="379">
        <v>2047</v>
      </c>
      <c r="AS33" s="379">
        <v>2048</v>
      </c>
      <c r="AT33" s="379">
        <v>2049</v>
      </c>
      <c r="AU33" s="379">
        <v>2050</v>
      </c>
    </row>
    <row r="34" spans="1:47">
      <c r="A34" s="40" t="s">
        <v>47</v>
      </c>
      <c r="B34" s="274">
        <f>IF(parameters!$B$33="B",'price scenario B'!B30,IF(parameters!$B$33="C",'price scenario C'!B30,'price scenario A'!B30))</f>
        <v>23.581029927118582</v>
      </c>
      <c r="C34" s="274">
        <f>IF(parameters!$B$33="B",'price scenario B'!C30,IF(parameters!$B$33="C",'price scenario C'!C30,'price scenario A'!C30))</f>
        <v>25.158165491875451</v>
      </c>
      <c r="D34" s="274">
        <f>IF(parameters!$B$33="B",'price scenario B'!D30,IF(parameters!$B$33="C",'price scenario C'!D30,'price scenario A'!D30))</f>
        <v>26.679676788537343</v>
      </c>
      <c r="E34" s="274">
        <f>IF(parameters!$B$33="B",'price scenario B'!E30,IF(parameters!$B$33="C",'price scenario C'!E30,'price scenario A'!E30))</f>
        <v>33.455022466836319</v>
      </c>
      <c r="F34" s="274">
        <f>IF(parameters!$B$33="B",'price scenario B'!F30,IF(parameters!$B$33="C",'price scenario C'!F30,'price scenario A'!F30))</f>
        <v>28.166532270599728</v>
      </c>
      <c r="G34" s="274">
        <f>IF(parameters!$B$33="B",'price scenario B'!G30,IF(parameters!$B$33="C",'price scenario C'!G30,'price scenario A'!G30))</f>
        <v>33.068190690999998</v>
      </c>
      <c r="H34" s="274">
        <f>IF(parameters!$B$33="B",'price scenario B'!H30,IF(parameters!$B$33="C",'price scenario C'!H30,'price scenario A'!H30))</f>
        <v>27.4650159696</v>
      </c>
      <c r="I34" s="274">
        <f>IF(parameters!$B$33="B",'price scenario B'!I30,IF(parameters!$B$33="C",'price scenario C'!I30,'price scenario A'!I30))</f>
        <v>30.580110093257328</v>
      </c>
      <c r="J34" s="274">
        <f>IF(parameters!$B$33="B",'price scenario B'!J30,IF(parameters!$B$33="C",'price scenario C'!J30,'price scenario A'!J30))</f>
        <v>29.678063350292916</v>
      </c>
      <c r="K34" s="274">
        <f>IF(parameters!$B$33="B",'price scenario B'!K30,IF(parameters!$B$33="C",'price scenario C'!K30,'price scenario A'!K30))</f>
        <v>28.709327461680445</v>
      </c>
      <c r="L34" s="274">
        <f>IF(parameters!$B$33="B",'price scenario B'!L30,IF(parameters!$B$33="C",'price scenario C'!L30,'price scenario A'!L30))</f>
        <v>20.559681462959261</v>
      </c>
      <c r="M34" s="274">
        <f>IF(parameters!$B$33="B",'price scenario B'!M30,IF(parameters!$B$33="C",'price scenario C'!M30,'price scenario A'!M30))</f>
        <v>19.89727028830012</v>
      </c>
      <c r="N34" s="274">
        <f>IF(parameters!$B$33="B",'price scenario B'!N30,IF(parameters!$B$33="C",'price scenario C'!N30,'price scenario A'!N30))</f>
        <v>19.706215403074992</v>
      </c>
      <c r="O34" s="274">
        <f>IF(parameters!$B$33="B",'price scenario B'!O30,IF(parameters!$B$33="C",'price scenario C'!O30,'price scenario A'!O30))</f>
        <v>17.934799000000002</v>
      </c>
      <c r="P34" s="274">
        <f>IF(parameters!$B$33="B",'price scenario B'!P30,IF(parameters!$B$33="C",'price scenario C'!P30,'price scenario A'!P30))</f>
        <v>18.082011999999999</v>
      </c>
      <c r="Q34" s="274">
        <f>IF(parameters!$B$33="B",'price scenario B'!Q30,IF(parameters!$B$33="C",'price scenario C'!Q30,'price scenario A'!Q30))</f>
        <v>18.927889</v>
      </c>
      <c r="R34" s="274">
        <f>IF(parameters!$B$33="B",'price scenario B'!R30,IF(parameters!$B$33="C",'price scenario C'!R30,'price scenario A'!R30))</f>
        <v>19.235287</v>
      </c>
      <c r="S34" s="274">
        <f>IF(parameters!$B$33="B",'price scenario B'!S30,IF(parameters!$B$33="C",'price scenario C'!S30,'price scenario A'!S30))</f>
        <v>19.513083999999999</v>
      </c>
      <c r="T34" s="274">
        <f>IF(parameters!$B$33="B",'price scenario B'!T30,IF(parameters!$B$33="C",'price scenario C'!T30,'price scenario A'!T30))</f>
        <v>19.743957999999999</v>
      </c>
      <c r="U34" s="274">
        <f>IF(parameters!$B$33="B",'price scenario B'!U30,IF(parameters!$B$33="C",'price scenario C'!U30,'price scenario A'!U30))</f>
        <v>22.034893</v>
      </c>
      <c r="V34" s="274">
        <f>IF(parameters!$B$33="B",'price scenario B'!V30,IF(parameters!$B$33="C",'price scenario C'!V30,'price scenario A'!V30))</f>
        <v>22.100491999999999</v>
      </c>
      <c r="W34" s="274">
        <f>IF(parameters!$B$33="B",'price scenario B'!W30,IF(parameters!$B$33="C",'price scenario C'!W30,'price scenario A'!W30))</f>
        <v>22.158249000000001</v>
      </c>
      <c r="X34" s="274">
        <f>IF(parameters!$B$33="B",'price scenario B'!X30,IF(parameters!$B$33="C",'price scenario C'!X30,'price scenario A'!X30))</f>
        <v>22.199839000000001</v>
      </c>
      <c r="Y34" s="274">
        <f>IF(parameters!$B$33="B",'price scenario B'!Y30,IF(parameters!$B$33="C",'price scenario C'!Y30,'price scenario A'!Y30))</f>
        <v>22.287490999999999</v>
      </c>
      <c r="Z34" s="274">
        <f>IF(parameters!$B$33="B",'price scenario B'!Z30,IF(parameters!$B$33="C",'price scenario C'!Z30,'price scenario A'!Z30))</f>
        <v>22.829509999999999</v>
      </c>
      <c r="AA34" s="274">
        <f>IF(parameters!$B$33="B",'price scenario B'!AA30,IF(parameters!$B$33="C",'price scenario C'!AA30,'price scenario A'!AA30))</f>
        <v>22.924804999999999</v>
      </c>
      <c r="AB34" s="274">
        <f>IF(parameters!$B$33="B",'price scenario B'!AB30,IF(parameters!$B$33="C",'price scenario C'!AB30,'price scenario A'!AB30))</f>
        <v>23.121113000000001</v>
      </c>
      <c r="AC34" s="274">
        <f>IF(parameters!$B$33="B",'price scenario B'!AC30,IF(parameters!$B$33="C",'price scenario C'!AC30,'price scenario A'!AC30))</f>
        <v>23.376373000000001</v>
      </c>
      <c r="AD34" s="274">
        <f>IF(parameters!$B$33="B",'price scenario B'!AD30,IF(parameters!$B$33="C",'price scenario C'!AD30,'price scenario A'!AD30))</f>
        <v>23.602467000000001</v>
      </c>
      <c r="AE34" s="274">
        <f>IF(parameters!$B$33="B",'price scenario B'!AE30,IF(parameters!$B$33="C",'price scenario C'!AE30,'price scenario A'!AE30))</f>
        <v>23.776357999999998</v>
      </c>
      <c r="AF34" s="274">
        <f>IF(parameters!$B$33="B",'price scenario B'!AF30,IF(parameters!$B$33="C",'price scenario C'!AF30,'price scenario A'!AF30))</f>
        <v>23.994793000000001</v>
      </c>
      <c r="AG34" s="274">
        <f>IF(parameters!$B$33="B",'price scenario B'!AG30,IF(parameters!$B$33="C",'price scenario C'!AG30,'price scenario A'!AG30))</f>
        <v>24.224799999999998</v>
      </c>
      <c r="AH34" s="274">
        <f>IF(parameters!$B$33="B",'price scenario B'!AH30,IF(parameters!$B$33="C",'price scenario C'!AH30,'price scenario A'!AH30))</f>
        <v>24.318083000000001</v>
      </c>
      <c r="AI34" s="274">
        <f>IF(parameters!$B$33="B",'price scenario B'!AI30,IF(parameters!$B$33="C",'price scenario C'!AI30,'price scenario A'!AI30))</f>
        <v>24.660979999999999</v>
      </c>
      <c r="AJ34" s="274">
        <f>IF(parameters!$B$33="B",'price scenario B'!AJ30,IF(parameters!$B$33="C",'price scenario C'!AJ30,'price scenario A'!AJ30))</f>
        <v>24.807874999999999</v>
      </c>
      <c r="AK34" s="274">
        <f>IF(parameters!$B$33="B",'price scenario B'!AK30,IF(parameters!$B$33="C",'price scenario C'!AK30,'price scenario A'!AK30))</f>
        <v>24.925362</v>
      </c>
      <c r="AL34" s="274">
        <f>IF(parameters!$B$33="B",'price scenario B'!AL30,IF(parameters!$B$33="C",'price scenario C'!AL30,'price scenario A'!AL30))</f>
        <v>25.103838</v>
      </c>
      <c r="AM34" s="274">
        <f>IF(parameters!$B$33="B",'price scenario B'!AM30,IF(parameters!$B$33="C",'price scenario C'!AM30,'price scenario A'!AM30))</f>
        <v>25.245916000000001</v>
      </c>
      <c r="AN34" s="274">
        <f>IF(parameters!$B$33="B",'price scenario B'!AN30,IF(parameters!$B$33="C",'price scenario C'!AN30,'price scenario A'!AN30))</f>
        <v>25.430731000000002</v>
      </c>
      <c r="AO34" s="274">
        <f>IF(parameters!$B$33="B",'price scenario B'!AO30,IF(parameters!$B$33="C",'price scenario C'!AO30,'price scenario A'!AO30))</f>
        <v>25.569233000000001</v>
      </c>
      <c r="AP34" s="274">
        <f>IF(parameters!$B$33="B",'price scenario B'!AP30,IF(parameters!$B$33="C",'price scenario C'!AP30,'price scenario A'!AP30))</f>
        <v>25.770257999999998</v>
      </c>
      <c r="AQ34" s="274">
        <f>IF(parameters!$B$33="B",'price scenario B'!AQ30,IF(parameters!$B$33="C",'price scenario C'!AQ30,'price scenario A'!AQ30))</f>
        <v>25.899692999999999</v>
      </c>
      <c r="AR34" s="274">
        <f>IF(parameters!$B$33="B",'price scenario B'!AR30,IF(parameters!$B$33="C",'price scenario C'!AR30,'price scenario A'!AR30))</f>
        <v>26.060797000000001</v>
      </c>
      <c r="AS34" s="274">
        <f>IF(parameters!$B$33="B",'price scenario B'!AS30,IF(parameters!$B$33="C",'price scenario C'!AS30,'price scenario A'!AS30))</f>
        <v>26.272596</v>
      </c>
      <c r="AT34" s="274">
        <f>IF(parameters!$B$33="B",'price scenario B'!AT30,IF(parameters!$B$33="C",'price scenario C'!AT30,'price scenario A'!AT30))</f>
        <v>26.469501000000001</v>
      </c>
      <c r="AU34" s="274">
        <f>IF(parameters!$B$33="B",'price scenario B'!AU30,IF(parameters!$B$33="C",'price scenario C'!AU30,'price scenario A'!AU30))</f>
        <v>26.596209000000002</v>
      </c>
    </row>
    <row r="35" spans="1:47">
      <c r="A35" s="40" t="s">
        <v>48</v>
      </c>
      <c r="B35" s="274">
        <f>IF(parameters!$B$33="B",'price scenario B'!B31,IF(parameters!$B$33="C",'price scenario C'!B31,'price scenario A'!B31))</f>
        <v>28.50245344808981</v>
      </c>
      <c r="C35" s="274">
        <f>IF(parameters!$B$33="B",'price scenario B'!C31,IF(parameters!$B$33="C",'price scenario C'!C31,'price scenario A'!C31))</f>
        <v>31.960750134705297</v>
      </c>
      <c r="D35" s="274">
        <f>IF(parameters!$B$33="B",'price scenario B'!D31,IF(parameters!$B$33="C",'price scenario C'!D31,'price scenario A'!D31))</f>
        <v>33.572252010082465</v>
      </c>
      <c r="E35" s="274">
        <f>IF(parameters!$B$33="B",'price scenario B'!E31,IF(parameters!$B$33="C",'price scenario C'!E31,'price scenario A'!E31))</f>
        <v>33.59062427495482</v>
      </c>
      <c r="F35" s="274">
        <f>IF(parameters!$B$33="B",'price scenario B'!F31,IF(parameters!$B$33="C",'price scenario C'!F31,'price scenario A'!F31))</f>
        <v>30.529886172607366</v>
      </c>
      <c r="G35" s="274">
        <f>IF(parameters!$B$33="B",'price scenario B'!G31,IF(parameters!$B$33="C",'price scenario C'!G31,'price scenario A'!G31))</f>
        <v>29.803621808999999</v>
      </c>
      <c r="H35" s="274">
        <f>IF(parameters!$B$33="B",'price scenario B'!H31,IF(parameters!$B$33="C",'price scenario C'!H31,'price scenario A'!H31))</f>
        <v>48.911446820999998</v>
      </c>
      <c r="I35" s="274">
        <f>IF(parameters!$B$33="B",'price scenario B'!I31,IF(parameters!$B$33="C",'price scenario C'!I31,'price scenario A'!I31))</f>
        <v>45.734737210647367</v>
      </c>
      <c r="J35" s="274">
        <f>IF(parameters!$B$33="B",'price scenario B'!J31,IF(parameters!$B$33="C",'price scenario C'!J31,'price scenario A'!J31))</f>
        <v>42.52678813680744</v>
      </c>
      <c r="K35" s="274">
        <f>IF(parameters!$B$33="B",'price scenario B'!K31,IF(parameters!$B$33="C",'price scenario C'!K31,'price scenario A'!K31))</f>
        <v>42.980978380440753</v>
      </c>
      <c r="L35" s="274">
        <f>IF(parameters!$B$33="B",'price scenario B'!L31,IF(parameters!$B$33="C",'price scenario C'!L31,'price scenario A'!L31))</f>
        <v>34.637666650074287</v>
      </c>
      <c r="M35" s="274">
        <f>IF(parameters!$B$33="B",'price scenario B'!M31,IF(parameters!$B$33="C",'price scenario C'!M31,'price scenario A'!M31))</f>
        <v>28.031312651014101</v>
      </c>
      <c r="N35" s="274">
        <f>IF(parameters!$B$33="B",'price scenario B'!N31,IF(parameters!$B$33="C",'price scenario C'!N31,'price scenario A'!N31))</f>
        <v>27.30429248837499</v>
      </c>
      <c r="O35" s="274">
        <f>IF(parameters!$B$33="B",'price scenario B'!O31,IF(parameters!$B$33="C",'price scenario C'!O31,'price scenario A'!O31))</f>
        <v>31.700970000000002</v>
      </c>
      <c r="P35" s="274">
        <f>IF(parameters!$B$33="B",'price scenario B'!P31,IF(parameters!$B$33="C",'price scenario C'!P31,'price scenario A'!P31))</f>
        <v>30.308520999999999</v>
      </c>
      <c r="Q35" s="274">
        <f>IF(parameters!$B$33="B",'price scenario B'!Q31,IF(parameters!$B$33="C",'price scenario C'!Q31,'price scenario A'!Q31))</f>
        <v>33.787208999999997</v>
      </c>
      <c r="R35" s="274">
        <f>IF(parameters!$B$33="B",'price scenario B'!R31,IF(parameters!$B$33="C",'price scenario C'!R31,'price scenario A'!R31))</f>
        <v>34.646827999999999</v>
      </c>
      <c r="S35" s="274">
        <f>IF(parameters!$B$33="B",'price scenario B'!S31,IF(parameters!$B$33="C",'price scenario C'!S31,'price scenario A'!S31))</f>
        <v>33.667324000000001</v>
      </c>
      <c r="T35" s="274">
        <f>IF(parameters!$B$33="B",'price scenario B'!T31,IF(parameters!$B$33="C",'price scenario C'!T31,'price scenario A'!T31))</f>
        <v>31.306431</v>
      </c>
      <c r="U35" s="274">
        <f>IF(parameters!$B$33="B",'price scenario B'!U31,IF(parameters!$B$33="C",'price scenario C'!U31,'price scenario A'!U31))</f>
        <v>31.102774</v>
      </c>
      <c r="V35" s="274">
        <f>IF(parameters!$B$33="B",'price scenario B'!V31,IF(parameters!$B$33="C",'price scenario C'!V31,'price scenario A'!V31))</f>
        <v>28.936824999999999</v>
      </c>
      <c r="W35" s="274">
        <f>IF(parameters!$B$33="B",'price scenario B'!W31,IF(parameters!$B$33="C",'price scenario C'!W31,'price scenario A'!W31))</f>
        <v>28.360486999999999</v>
      </c>
      <c r="X35" s="274">
        <f>IF(parameters!$B$33="B",'price scenario B'!X31,IF(parameters!$B$33="C",'price scenario C'!X31,'price scenario A'!X31))</f>
        <v>27.540120999999999</v>
      </c>
      <c r="Y35" s="274">
        <f>IF(parameters!$B$33="B",'price scenario B'!Y31,IF(parameters!$B$33="C",'price scenario C'!Y31,'price scenario A'!Y31))</f>
        <v>27.319701999999999</v>
      </c>
      <c r="Z35" s="274">
        <f>IF(parameters!$B$33="B",'price scenario B'!Z31,IF(parameters!$B$33="C",'price scenario C'!Z31,'price scenario A'!Z31))</f>
        <v>27.492139999999999</v>
      </c>
      <c r="AA35" s="274">
        <f>IF(parameters!$B$33="B",'price scenario B'!AA31,IF(parameters!$B$33="C",'price scenario C'!AA31,'price scenario A'!AA31))</f>
        <v>27.265657000000001</v>
      </c>
      <c r="AB35" s="274">
        <f>IF(parameters!$B$33="B",'price scenario B'!AB31,IF(parameters!$B$33="C",'price scenario C'!AB31,'price scenario A'!AB31))</f>
        <v>28.028704000000001</v>
      </c>
      <c r="AC35" s="274">
        <f>IF(parameters!$B$33="B",'price scenario B'!AC31,IF(parameters!$B$33="C",'price scenario C'!AC31,'price scenario A'!AC31))</f>
        <v>28.132866</v>
      </c>
      <c r="AD35" s="274">
        <f>IF(parameters!$B$33="B",'price scenario B'!AD31,IF(parameters!$B$33="C",'price scenario C'!AD31,'price scenario A'!AD31))</f>
        <v>27.788345</v>
      </c>
      <c r="AE35" s="274">
        <f>IF(parameters!$B$33="B",'price scenario B'!AE31,IF(parameters!$B$33="C",'price scenario C'!AE31,'price scenario A'!AE31))</f>
        <v>27.603521000000001</v>
      </c>
      <c r="AF35" s="274">
        <f>IF(parameters!$B$33="B",'price scenario B'!AF31,IF(parameters!$B$33="C",'price scenario C'!AF31,'price scenario A'!AF31))</f>
        <v>27.350156999999999</v>
      </c>
      <c r="AG35" s="274">
        <f>IF(parameters!$B$33="B",'price scenario B'!AG31,IF(parameters!$B$33="C",'price scenario C'!AG31,'price scenario A'!AG31))</f>
        <v>27.276244999999999</v>
      </c>
      <c r="AH35" s="274">
        <f>IF(parameters!$B$33="B",'price scenario B'!AH31,IF(parameters!$B$33="C",'price scenario C'!AH31,'price scenario A'!AH31))</f>
        <v>27.644812000000002</v>
      </c>
      <c r="AI35" s="274">
        <f>IF(parameters!$B$33="B",'price scenario B'!AI31,IF(parameters!$B$33="C",'price scenario C'!AI31,'price scenario A'!AI31))</f>
        <v>27.774061</v>
      </c>
      <c r="AJ35" s="274">
        <f>IF(parameters!$B$33="B",'price scenario B'!AJ31,IF(parameters!$B$33="C",'price scenario C'!AJ31,'price scenario A'!AJ31))</f>
        <v>28.160803000000001</v>
      </c>
      <c r="AK35" s="274">
        <f>IF(parameters!$B$33="B",'price scenario B'!AK31,IF(parameters!$B$33="C",'price scenario C'!AK31,'price scenario A'!AK31))</f>
        <v>28.683347999999999</v>
      </c>
      <c r="AL35" s="274">
        <f>IF(parameters!$B$33="B",'price scenario B'!AL31,IF(parameters!$B$33="C",'price scenario C'!AL31,'price scenario A'!AL31))</f>
        <v>29.258023999999999</v>
      </c>
      <c r="AM35" s="274">
        <f>IF(parameters!$B$33="B",'price scenario B'!AM31,IF(parameters!$B$33="C",'price scenario C'!AM31,'price scenario A'!AM31))</f>
        <v>29.838951000000002</v>
      </c>
      <c r="AN35" s="274">
        <f>IF(parameters!$B$33="B",'price scenario B'!AN31,IF(parameters!$B$33="C",'price scenario C'!AN31,'price scenario A'!AN31))</f>
        <v>30.384201000000001</v>
      </c>
      <c r="AO35" s="274">
        <f>IF(parameters!$B$33="B",'price scenario B'!AO31,IF(parameters!$B$33="C",'price scenario C'!AO31,'price scenario A'!AO31))</f>
        <v>31.228247</v>
      </c>
      <c r="AP35" s="274">
        <f>IF(parameters!$B$33="B",'price scenario B'!AP31,IF(parameters!$B$33="C",'price scenario C'!AP31,'price scenario A'!AP31))</f>
        <v>31.275366000000002</v>
      </c>
      <c r="AQ35" s="274">
        <f>IF(parameters!$B$33="B",'price scenario B'!AQ31,IF(parameters!$B$33="C",'price scenario C'!AQ31,'price scenario A'!AQ31))</f>
        <v>31.207964</v>
      </c>
      <c r="AR35" s="274">
        <f>IF(parameters!$B$33="B",'price scenario B'!AR31,IF(parameters!$B$33="C",'price scenario C'!AR31,'price scenario A'!AR31))</f>
        <v>31.791889000000001</v>
      </c>
      <c r="AS35" s="274">
        <f>IF(parameters!$B$33="B",'price scenario B'!AS31,IF(parameters!$B$33="C",'price scenario C'!AS31,'price scenario A'!AS31))</f>
        <v>33.472724999999997</v>
      </c>
      <c r="AT35" s="274">
        <f>IF(parameters!$B$33="B",'price scenario B'!AT31,IF(parameters!$B$33="C",'price scenario C'!AT31,'price scenario A'!AT31))</f>
        <v>35.490616000000003</v>
      </c>
      <c r="AU35" s="274">
        <f>IF(parameters!$B$33="B",'price scenario B'!AU31,IF(parameters!$B$33="C",'price scenario C'!AU31,'price scenario A'!AU31))</f>
        <v>36.008121000000003</v>
      </c>
    </row>
    <row r="36" spans="1:47">
      <c r="A36" s="40" t="s">
        <v>49</v>
      </c>
      <c r="B36" s="274">
        <f>IF(parameters!$B$33="B",'price scenario B'!B32,IF(parameters!$B$33="C",'price scenario C'!B32,'price scenario A'!B32))</f>
        <v>25.215170995092052</v>
      </c>
      <c r="C36" s="274">
        <f>IF(parameters!$B$33="B",'price scenario B'!C32,IF(parameters!$B$33="C",'price scenario C'!C32,'price scenario A'!C32))</f>
        <v>26.545286505964025</v>
      </c>
      <c r="D36" s="274">
        <f>IF(parameters!$B$33="B",'price scenario B'!D32,IF(parameters!$B$33="C",'price scenario C'!D32,'price scenario A'!D32))</f>
        <v>28.731961754408683</v>
      </c>
      <c r="E36" s="274">
        <f>IF(parameters!$B$33="B",'price scenario B'!E32,IF(parameters!$B$33="C",'price scenario C'!E32,'price scenario A'!E32))</f>
        <v>31.537219678181152</v>
      </c>
      <c r="F36" s="274">
        <f>IF(parameters!$B$33="B",'price scenario B'!F32,IF(parameters!$B$33="C",'price scenario C'!F32,'price scenario A'!F32))</f>
        <v>22.548723397503924</v>
      </c>
      <c r="G36" s="274">
        <f>IF(parameters!$B$33="B",'price scenario B'!G32,IF(parameters!$B$33="C",'price scenario C'!G32,'price scenario A'!G32))</f>
        <v>26.558251523999999</v>
      </c>
      <c r="H36" s="274">
        <f>IF(parameters!$B$33="B",'price scenario B'!H32,IF(parameters!$B$33="C",'price scenario C'!H32,'price scenario A'!H32))</f>
        <v>32.520299452742321</v>
      </c>
      <c r="I36" s="274">
        <f>IF(parameters!$B$33="B",'price scenario B'!I32,IF(parameters!$B$33="C",'price scenario C'!I32,'price scenario A'!I32))</f>
        <v>37.28086697784493</v>
      </c>
      <c r="J36" s="274">
        <f>IF(parameters!$B$33="B",'price scenario B'!J32,IF(parameters!$B$33="C",'price scenario C'!J32,'price scenario A'!J32))</f>
        <v>35.238384362724958</v>
      </c>
      <c r="K36" s="274">
        <f>IF(parameters!$B$33="B",'price scenario B'!K32,IF(parameters!$B$33="C",'price scenario C'!K32,'price scenario A'!K32))</f>
        <v>34.967944305527787</v>
      </c>
      <c r="L36" s="274">
        <f>IF(parameters!$B$33="B",'price scenario B'!L32,IF(parameters!$B$33="C",'price scenario C'!L32,'price scenario A'!L32))</f>
        <v>26.130535233880799</v>
      </c>
      <c r="M36" s="274">
        <f>IF(parameters!$B$33="B",'price scenario B'!M32,IF(parameters!$B$33="C",'price scenario C'!M32,'price scenario A'!M32))</f>
        <v>23.614673964464153</v>
      </c>
      <c r="N36" s="274">
        <f>IF(parameters!$B$33="B",'price scenario B'!N32,IF(parameters!$B$33="C",'price scenario C'!N32,'price scenario A'!N32))</f>
        <v>24.379783608499995</v>
      </c>
      <c r="O36" s="274">
        <f>IF(parameters!$B$33="B",'price scenario B'!O32,IF(parameters!$B$33="C",'price scenario C'!O32,'price scenario A'!O32))</f>
        <v>21.619824326875626</v>
      </c>
      <c r="P36" s="274">
        <f>IF(parameters!$B$33="B",'price scenario B'!P32,IF(parameters!$B$33="C",'price scenario C'!P32,'price scenario A'!P32))</f>
        <v>22.179949077405578</v>
      </c>
      <c r="Q36" s="274">
        <f>IF(parameters!$B$33="B",'price scenario B'!Q32,IF(parameters!$B$33="C",'price scenario C'!Q32,'price scenario A'!Q32))</f>
        <v>24.923861756673428</v>
      </c>
      <c r="R36" s="274">
        <f>IF(parameters!$B$33="B",'price scenario B'!R32,IF(parameters!$B$33="C",'price scenario C'!R32,'price scenario A'!R32))</f>
        <v>26.305206039952299</v>
      </c>
      <c r="S36" s="274">
        <f>IF(parameters!$B$33="B",'price scenario B'!S32,IF(parameters!$B$33="C",'price scenario C'!S32,'price scenario A'!S32))</f>
        <v>26.895631576757278</v>
      </c>
      <c r="T36" s="274">
        <f>IF(parameters!$B$33="B",'price scenario B'!T32,IF(parameters!$B$33="C",'price scenario C'!T32,'price scenario A'!T32))</f>
        <v>27.360372376545943</v>
      </c>
      <c r="U36" s="274">
        <f>IF(parameters!$B$33="B",'price scenario B'!U32,IF(parameters!$B$33="C",'price scenario C'!U32,'price scenario A'!U32))</f>
        <v>30.302086867024336</v>
      </c>
      <c r="V36" s="274">
        <f>IF(parameters!$B$33="B",'price scenario B'!V32,IF(parameters!$B$33="C",'price scenario C'!V32,'price scenario A'!V32))</f>
        <v>30.36266682569013</v>
      </c>
      <c r="W36" s="274">
        <f>IF(parameters!$B$33="B",'price scenario B'!W32,IF(parameters!$B$33="C",'price scenario C'!W32,'price scenario A'!W32))</f>
        <v>30.455846160236121</v>
      </c>
      <c r="X36" s="274">
        <f>IF(parameters!$B$33="B",'price scenario B'!X32,IF(parameters!$B$33="C",'price scenario C'!X32,'price scenario A'!X32))</f>
        <v>30.614681897048499</v>
      </c>
      <c r="Y36" s="274">
        <f>IF(parameters!$B$33="B",'price scenario B'!Y32,IF(parameters!$B$33="C",'price scenario C'!Y32,'price scenario A'!Y32))</f>
        <v>30.89098063724861</v>
      </c>
      <c r="Z36" s="274">
        <f>IF(parameters!$B$33="B",'price scenario B'!Z32,IF(parameters!$B$33="C",'price scenario C'!Z32,'price scenario A'!Z32))</f>
        <v>31.509964693309829</v>
      </c>
      <c r="AA36" s="274">
        <f>IF(parameters!$B$33="B",'price scenario B'!AA32,IF(parameters!$B$33="C",'price scenario C'!AA32,'price scenario A'!AA32))</f>
        <v>31.645652899805668</v>
      </c>
      <c r="AB36" s="274">
        <f>IF(parameters!$B$33="B",'price scenario B'!AB32,IF(parameters!$B$33="C",'price scenario C'!AB32,'price scenario A'!AB32))</f>
        <v>31.99685878473872</v>
      </c>
      <c r="AC36" s="274">
        <f>IF(parameters!$B$33="B",'price scenario B'!AC32,IF(parameters!$B$33="C",'price scenario C'!AC32,'price scenario A'!AC32))</f>
        <v>32.130586705904896</v>
      </c>
      <c r="AD36" s="274">
        <f>IF(parameters!$B$33="B",'price scenario B'!AD32,IF(parameters!$B$33="C",'price scenario C'!AD32,'price scenario A'!AD32))</f>
        <v>32.188767523416985</v>
      </c>
      <c r="AE36" s="274">
        <f>IF(parameters!$B$33="B",'price scenario B'!AE32,IF(parameters!$B$33="C",'price scenario C'!AE32,'price scenario A'!AE32))</f>
        <v>32.366322763473335</v>
      </c>
      <c r="AF36" s="274">
        <f>IF(parameters!$B$33="B",'price scenario B'!AF32,IF(parameters!$B$33="C",'price scenario C'!AF32,'price scenario A'!AF32))</f>
        <v>32.502660326231307</v>
      </c>
      <c r="AG36" s="274">
        <f>IF(parameters!$B$33="B",'price scenario B'!AG32,IF(parameters!$B$33="C",'price scenario C'!AG32,'price scenario A'!AG32))</f>
        <v>32.536564992774444</v>
      </c>
      <c r="AH36" s="274">
        <f>IF(parameters!$B$33="B",'price scenario B'!AH32,IF(parameters!$B$33="C",'price scenario C'!AH32,'price scenario A'!AH32))</f>
        <v>32.926455031876074</v>
      </c>
      <c r="AI36" s="274">
        <f>IF(parameters!$B$33="B",'price scenario B'!AI32,IF(parameters!$B$33="C",'price scenario C'!AI32,'price scenario A'!AI32))</f>
        <v>33.029228111834598</v>
      </c>
      <c r="AJ36" s="274">
        <f>IF(parameters!$B$33="B",'price scenario B'!AJ32,IF(parameters!$B$33="C",'price scenario C'!AJ32,'price scenario A'!AJ32))</f>
        <v>33.224706900353418</v>
      </c>
      <c r="AK36" s="274">
        <f>IF(parameters!$B$33="B",'price scenario B'!AK32,IF(parameters!$B$33="C",'price scenario C'!AK32,'price scenario A'!AK32))</f>
        <v>33.452413869783477</v>
      </c>
      <c r="AL36" s="274">
        <f>IF(parameters!$B$33="B",'price scenario B'!AL32,IF(parameters!$B$33="C",'price scenario C'!AL32,'price scenario A'!AL32))</f>
        <v>33.627047476527309</v>
      </c>
      <c r="AM36" s="274">
        <f>IF(parameters!$B$33="B",'price scenario B'!AM32,IF(parameters!$B$33="C",'price scenario C'!AM32,'price scenario A'!AM32))</f>
        <v>33.75602504182509</v>
      </c>
      <c r="AN36" s="274">
        <f>IF(parameters!$B$33="B",'price scenario B'!AN32,IF(parameters!$B$33="C",'price scenario C'!AN32,'price scenario A'!AN32))</f>
        <v>33.835815044934328</v>
      </c>
      <c r="AO36" s="274">
        <f>IF(parameters!$B$33="B",'price scenario B'!AO32,IF(parameters!$B$33="C",'price scenario C'!AO32,'price scenario A'!AO32))</f>
        <v>33.912526479136574</v>
      </c>
      <c r="AP36" s="274">
        <f>IF(parameters!$B$33="B",'price scenario B'!AP32,IF(parameters!$B$33="C",'price scenario C'!AP32,'price scenario A'!AP32))</f>
        <v>34.035263270285604</v>
      </c>
      <c r="AQ36" s="274">
        <f>IF(parameters!$B$33="B",'price scenario B'!AQ32,IF(parameters!$B$33="C",'price scenario C'!AQ32,'price scenario A'!AQ32))</f>
        <v>33.944141013681438</v>
      </c>
      <c r="AR36" s="274">
        <f>IF(parameters!$B$33="B",'price scenario B'!AR32,IF(parameters!$B$33="C",'price scenario C'!AR32,'price scenario A'!AR32))</f>
        <v>34.077276902365497</v>
      </c>
      <c r="AS36" s="274">
        <f>IF(parameters!$B$33="B",'price scenario B'!AS32,IF(parameters!$B$33="C",'price scenario C'!AS32,'price scenario A'!AS32))</f>
        <v>34.260596471382627</v>
      </c>
      <c r="AT36" s="274">
        <f>IF(parameters!$B$33="B",'price scenario B'!AT32,IF(parameters!$B$33="C",'price scenario C'!AT32,'price scenario A'!AT32))</f>
        <v>34.302359194458191</v>
      </c>
      <c r="AU36" s="274">
        <f>IF(parameters!$B$33="B",'price scenario B'!AU32,IF(parameters!$B$33="C",'price scenario C'!AU32,'price scenario A'!AU32))</f>
        <v>34.405081528775391</v>
      </c>
    </row>
    <row r="37" spans="1:47">
      <c r="A37" s="40" t="s">
        <v>50</v>
      </c>
      <c r="B37" s="274">
        <f>IF(parameters!$B$33="B",'price scenario B'!B33,IF(parameters!$B$33="C",'price scenario C'!B33,'price scenario A'!B33))</f>
        <v>16.702437187989137</v>
      </c>
      <c r="C37" s="274">
        <f>IF(parameters!$B$33="B",'price scenario B'!C33,IF(parameters!$B$33="C",'price scenario C'!C33,'price scenario A'!C33))</f>
        <v>17.975547195644388</v>
      </c>
      <c r="D37" s="274">
        <f>IF(parameters!$B$33="B",'price scenario B'!D33,IF(parameters!$B$33="C",'price scenario C'!D33,'price scenario A'!D33))</f>
        <v>18.52862945579167</v>
      </c>
      <c r="E37" s="274">
        <f>IF(parameters!$B$33="B",'price scenario B'!E33,IF(parameters!$B$33="C",'price scenario C'!E33,'price scenario A'!E33))</f>
        <v>26.326216229440853</v>
      </c>
      <c r="F37" s="274">
        <f>IF(parameters!$B$33="B",'price scenario B'!F33,IF(parameters!$B$33="C",'price scenario C'!F33,'price scenario A'!F33))</f>
        <v>14.548188935526408</v>
      </c>
      <c r="G37" s="274">
        <f>IF(parameters!$B$33="B",'price scenario B'!G33,IF(parameters!$B$33="C",'price scenario C'!G33,'price scenario A'!G33))</f>
        <v>18.012754261000001</v>
      </c>
      <c r="H37" s="274">
        <f>IF(parameters!$B$33="B",'price scenario B'!H33,IF(parameters!$B$33="C",'price scenario C'!H33,'price scenario A'!H33))</f>
        <v>23.841538827600001</v>
      </c>
      <c r="I37" s="274">
        <f>IF(parameters!$B$33="B",'price scenario B'!I33,IF(parameters!$B$33="C",'price scenario C'!I33,'price scenario A'!I33))</f>
        <v>27.540236753026051</v>
      </c>
      <c r="J37" s="274">
        <f>IF(parameters!$B$33="B",'price scenario B'!J33,IF(parameters!$B$33="C",'price scenario C'!J33,'price scenario A'!J33))</f>
        <v>26.118243496020494</v>
      </c>
      <c r="K37" s="274">
        <f>IF(parameters!$B$33="B",'price scenario B'!K33,IF(parameters!$B$33="C",'price scenario C'!K33,'price scenario A'!K33))</f>
        <v>24.44948128053613</v>
      </c>
      <c r="L37" s="274">
        <f>IF(parameters!$B$33="B",'price scenario B'!L33,IF(parameters!$B$33="C",'price scenario C'!L33,'price scenario A'!L33))</f>
        <v>13.73743741153484</v>
      </c>
      <c r="M37" s="274">
        <f>IF(parameters!$B$33="B",'price scenario B'!M33,IF(parameters!$B$33="C",'price scenario C'!M33,'price scenario A'!M33))</f>
        <v>10.983489622817544</v>
      </c>
      <c r="N37" s="274">
        <f>IF(parameters!$B$33="B",'price scenario B'!N33,IF(parameters!$B$33="C",'price scenario C'!N33,'price scenario A'!N33))</f>
        <v>12.507220161274995</v>
      </c>
      <c r="O37" s="274">
        <f>IF(parameters!$B$33="B",'price scenario B'!O33,IF(parameters!$B$33="C",'price scenario C'!O33,'price scenario A'!O33))</f>
        <v>12.256513</v>
      </c>
      <c r="P37" s="274">
        <f>IF(parameters!$B$33="B",'price scenario B'!P33,IF(parameters!$B$33="C",'price scenario C'!P33,'price scenario A'!P33))</f>
        <v>13.308604000000001</v>
      </c>
      <c r="Q37" s="274">
        <f>IF(parameters!$B$33="B",'price scenario B'!Q33,IF(parameters!$B$33="C",'price scenario C'!Q33,'price scenario A'!Q33))</f>
        <v>16.655777</v>
      </c>
      <c r="R37" s="274">
        <f>IF(parameters!$B$33="B",'price scenario B'!R33,IF(parameters!$B$33="C",'price scenario C'!R33,'price scenario A'!R33))</f>
        <v>18.258929999999999</v>
      </c>
      <c r="S37" s="274">
        <f>IF(parameters!$B$33="B",'price scenario B'!S33,IF(parameters!$B$33="C",'price scenario C'!S33,'price scenario A'!S33))</f>
        <v>18.930979000000001</v>
      </c>
      <c r="T37" s="274">
        <f>IF(parameters!$B$33="B",'price scenario B'!T33,IF(parameters!$B$33="C",'price scenario C'!T33,'price scenario A'!T33))</f>
        <v>19.509972000000001</v>
      </c>
      <c r="U37" s="274">
        <f>IF(parameters!$B$33="B",'price scenario B'!U33,IF(parameters!$B$33="C",'price scenario C'!U33,'price scenario A'!U33))</f>
        <v>20.100172000000001</v>
      </c>
      <c r="V37" s="274">
        <f>IF(parameters!$B$33="B",'price scenario B'!V33,IF(parameters!$B$33="C",'price scenario C'!V33,'price scenario A'!V33))</f>
        <v>20.224865000000001</v>
      </c>
      <c r="W37" s="274">
        <f>IF(parameters!$B$33="B",'price scenario B'!W33,IF(parameters!$B$33="C",'price scenario C'!W33,'price scenario A'!W33))</f>
        <v>20.325897000000001</v>
      </c>
      <c r="X37" s="274">
        <f>IF(parameters!$B$33="B",'price scenario B'!X33,IF(parameters!$B$33="C",'price scenario C'!X33,'price scenario A'!X33))</f>
        <v>20.659405</v>
      </c>
      <c r="Y37" s="274">
        <f>IF(parameters!$B$33="B",'price scenario B'!Y33,IF(parameters!$B$33="C",'price scenario C'!Y33,'price scenario A'!Y33))</f>
        <v>20.953747</v>
      </c>
      <c r="Z37" s="274">
        <f>IF(parameters!$B$33="B",'price scenario B'!Z33,IF(parameters!$B$33="C",'price scenario C'!Z33,'price scenario A'!Z33))</f>
        <v>21.510567000000002</v>
      </c>
      <c r="AA37" s="274">
        <f>IF(parameters!$B$33="B",'price scenario B'!AA33,IF(parameters!$B$33="C",'price scenario C'!AA33,'price scenario A'!AA33))</f>
        <v>21.723246</v>
      </c>
      <c r="AB37" s="274">
        <f>IF(parameters!$B$33="B",'price scenario B'!AB33,IF(parameters!$B$33="C",'price scenario C'!AB33,'price scenario A'!AB33))</f>
        <v>22.113056</v>
      </c>
      <c r="AC37" s="274">
        <f>IF(parameters!$B$33="B",'price scenario B'!AC33,IF(parameters!$B$33="C",'price scenario C'!AC33,'price scenario A'!AC33))</f>
        <v>22.350823999999999</v>
      </c>
      <c r="AD37" s="274">
        <f>IF(parameters!$B$33="B",'price scenario B'!AD33,IF(parameters!$B$33="C",'price scenario C'!AD33,'price scenario A'!AD33))</f>
        <v>22.687228999999999</v>
      </c>
      <c r="AE37" s="274">
        <f>IF(parameters!$B$33="B",'price scenario B'!AE33,IF(parameters!$B$33="C",'price scenario C'!AE33,'price scenario A'!AE33))</f>
        <v>22.910995</v>
      </c>
      <c r="AF37" s="274">
        <f>IF(parameters!$B$33="B",'price scenario B'!AF33,IF(parameters!$B$33="C",'price scenario C'!AF33,'price scenario A'!AF33))</f>
        <v>23.109155999999999</v>
      </c>
      <c r="AG37" s="274">
        <f>IF(parameters!$B$33="B",'price scenario B'!AG33,IF(parameters!$B$33="C",'price scenario C'!AG33,'price scenario A'!AG33))</f>
        <v>23.296961</v>
      </c>
      <c r="AH37" s="274">
        <f>IF(parameters!$B$33="B",'price scenario B'!AH33,IF(parameters!$B$33="C",'price scenario C'!AH33,'price scenario A'!AH33))</f>
        <v>23.794943</v>
      </c>
      <c r="AI37" s="274">
        <f>IF(parameters!$B$33="B",'price scenario B'!AI33,IF(parameters!$B$33="C",'price scenario C'!AI33,'price scenario A'!AI33))</f>
        <v>24.056287999999999</v>
      </c>
      <c r="AJ37" s="274">
        <f>IF(parameters!$B$33="B",'price scenario B'!AJ33,IF(parameters!$B$33="C",'price scenario C'!AJ33,'price scenario A'!AJ33))</f>
        <v>24.244046999999998</v>
      </c>
      <c r="AK37" s="274">
        <f>IF(parameters!$B$33="B",'price scenario B'!AK33,IF(parameters!$B$33="C",'price scenario C'!AK33,'price scenario A'!AK33))</f>
        <v>24.428225999999999</v>
      </c>
      <c r="AL37" s="274">
        <f>IF(parameters!$B$33="B",'price scenario B'!AL33,IF(parameters!$B$33="C",'price scenario C'!AL33,'price scenario A'!AL33))</f>
        <v>24.646035999999999</v>
      </c>
      <c r="AM37" s="274">
        <f>IF(parameters!$B$33="B",'price scenario B'!AM33,IF(parameters!$B$33="C",'price scenario C'!AM33,'price scenario A'!AM33))</f>
        <v>24.762561999999999</v>
      </c>
      <c r="AN37" s="274">
        <f>IF(parameters!$B$33="B",'price scenario B'!AN33,IF(parameters!$B$33="C",'price scenario C'!AN33,'price scenario A'!AN33))</f>
        <v>24.976828000000001</v>
      </c>
      <c r="AO37" s="274">
        <f>IF(parameters!$B$33="B",'price scenario B'!AO33,IF(parameters!$B$33="C",'price scenario C'!AO33,'price scenario A'!AO33))</f>
        <v>25.168385000000001</v>
      </c>
      <c r="AP37" s="274">
        <f>IF(parameters!$B$33="B",'price scenario B'!AP33,IF(parameters!$B$33="C",'price scenario C'!AP33,'price scenario A'!AP33))</f>
        <v>25.326723000000001</v>
      </c>
      <c r="AQ37" s="274">
        <f>IF(parameters!$B$33="B",'price scenario B'!AQ33,IF(parameters!$B$33="C",'price scenario C'!AQ33,'price scenario A'!AQ33))</f>
        <v>25.416198999999999</v>
      </c>
      <c r="AR37" s="274">
        <f>IF(parameters!$B$33="B",'price scenario B'!AR33,IF(parameters!$B$33="C",'price scenario C'!AR33,'price scenario A'!AR33))</f>
        <v>25.599374999999998</v>
      </c>
      <c r="AS37" s="274">
        <f>IF(parameters!$B$33="B",'price scenario B'!AS33,IF(parameters!$B$33="C",'price scenario C'!AS33,'price scenario A'!AS33))</f>
        <v>25.859846000000001</v>
      </c>
      <c r="AT37" s="274">
        <f>IF(parameters!$B$33="B",'price scenario B'!AT33,IF(parameters!$B$33="C",'price scenario C'!AT33,'price scenario A'!AT33))</f>
        <v>26.157774</v>
      </c>
      <c r="AU37" s="274">
        <f>IF(parameters!$B$33="B",'price scenario B'!AU33,IF(parameters!$B$33="C",'price scenario C'!AU33,'price scenario A'!AU33))</f>
        <v>26.265492999999999</v>
      </c>
    </row>
    <row r="38" spans="1:47">
      <c r="A38" s="40" t="s">
        <v>51</v>
      </c>
      <c r="B38" s="274">
        <f>IF(parameters!$B$33="B",'price scenario B'!B34,IF(parameters!$B$33="C",'price scenario C'!B34,'price scenario A'!B34))</f>
        <v>23.581029927118582</v>
      </c>
      <c r="C38" s="274">
        <f>IF(parameters!$B$33="B",'price scenario B'!C34,IF(parameters!$B$33="C",'price scenario C'!C34,'price scenario A'!C34))</f>
        <v>24.455105964321913</v>
      </c>
      <c r="D38" s="274">
        <f>IF(parameters!$B$33="B",'price scenario B'!D34,IF(parameters!$B$33="C",'price scenario C'!D34,'price scenario A'!D34))</f>
        <v>25.885869718822821</v>
      </c>
      <c r="E38" s="274">
        <f>IF(parameters!$B$33="B",'price scenario B'!E34,IF(parameters!$B$33="C",'price scenario C'!E34,'price scenario A'!E34))</f>
        <v>33.59062427495482</v>
      </c>
      <c r="F38" s="274">
        <f>IF(parameters!$B$33="B",'price scenario B'!F34,IF(parameters!$B$33="C",'price scenario C'!F34,'price scenario A'!F34))</f>
        <v>21.580136738551513</v>
      </c>
      <c r="G38" s="274">
        <f>IF(parameters!$B$33="B",'price scenario B'!G34,IF(parameters!$B$33="C",'price scenario C'!G34,'price scenario A'!G34))</f>
        <v>24.676323889999999</v>
      </c>
      <c r="H38" s="274">
        <f>IF(parameters!$B$33="B",'price scenario B'!H34,IF(parameters!$B$33="C",'price scenario C'!H34,'price scenario A'!H34))</f>
        <v>29.8158830466</v>
      </c>
      <c r="I38" s="274">
        <f>IF(parameters!$B$33="B",'price scenario B'!I34,IF(parameters!$B$33="C",'price scenario C'!I34,'price scenario A'!I34))</f>
        <v>33.966074981675597</v>
      </c>
      <c r="J38" s="274">
        <f>IF(parameters!$B$33="B",'price scenario B'!J34,IF(parameters!$B$33="C",'price scenario C'!J34,'price scenario A'!J34))</f>
        <v>33.302172850731196</v>
      </c>
      <c r="K38" s="274">
        <f>IF(parameters!$B$33="B",'price scenario B'!K34,IF(parameters!$B$33="C",'price scenario C'!K34,'price scenario A'!K34))</f>
        <v>32.937686451244126</v>
      </c>
      <c r="L38" s="274">
        <f>IF(parameters!$B$33="B",'price scenario B'!L34,IF(parameters!$B$33="C",'price scenario C'!L34,'price scenario A'!L34))</f>
        <v>23.399856412196744</v>
      </c>
      <c r="M38" s="274">
        <f>IF(parameters!$B$33="B",'price scenario B'!M34,IF(parameters!$B$33="C",'price scenario C'!M34,'price scenario A'!M34))</f>
        <v>20.165026622205538</v>
      </c>
      <c r="N38" s="274">
        <f>IF(parameters!$B$33="B",'price scenario B'!N34,IF(parameters!$B$33="C",'price scenario C'!N34,'price scenario A'!N34))</f>
        <v>21.445345299424993</v>
      </c>
      <c r="O38" s="274">
        <f>IF(parameters!$B$33="B",'price scenario B'!O34,IF(parameters!$B$33="C",'price scenario C'!O34,'price scenario A'!O34))</f>
        <v>20.118290544641379</v>
      </c>
      <c r="P38" s="274">
        <f>IF(parameters!$B$33="B",'price scenario B'!P34,IF(parameters!$B$33="C",'price scenario C'!P34,'price scenario A'!P34))</f>
        <v>20.492307425923808</v>
      </c>
      <c r="Q38" s="274">
        <f>IF(parameters!$B$33="B",'price scenario B'!Q34,IF(parameters!$B$33="C",'price scenario C'!Q34,'price scenario A'!Q34))</f>
        <v>23.059000550890211</v>
      </c>
      <c r="R38" s="274">
        <f>IF(parameters!$B$33="B",'price scenario B'!R34,IF(parameters!$B$33="C",'price scenario C'!R34,'price scenario A'!R34))</f>
        <v>24.18375438022775</v>
      </c>
      <c r="S38" s="274">
        <f>IF(parameters!$B$33="B",'price scenario B'!S34,IF(parameters!$B$33="C",'price scenario C'!S34,'price scenario A'!S34))</f>
        <v>24.566108534554353</v>
      </c>
      <c r="T38" s="274">
        <f>IF(parameters!$B$33="B",'price scenario B'!T34,IF(parameters!$B$33="C",'price scenario C'!T34,'price scenario A'!T34))</f>
        <v>24.974862630292254</v>
      </c>
      <c r="U38" s="274">
        <f>IF(parameters!$B$33="B",'price scenario B'!U34,IF(parameters!$B$33="C",'price scenario C'!U34,'price scenario A'!U34))</f>
        <v>27.879615240779728</v>
      </c>
      <c r="V38" s="274">
        <f>IF(parameters!$B$33="B",'price scenario B'!V34,IF(parameters!$B$33="C",'price scenario C'!V34,'price scenario A'!V34))</f>
        <v>28.193365982088707</v>
      </c>
      <c r="W38" s="274">
        <f>IF(parameters!$B$33="B",'price scenario B'!W34,IF(parameters!$B$33="C",'price scenario C'!W34,'price scenario A'!W34))</f>
        <v>28.333529328302138</v>
      </c>
      <c r="X38" s="274">
        <f>IF(parameters!$B$33="B",'price scenario B'!X34,IF(parameters!$B$33="C",'price scenario C'!X34,'price scenario A'!X34))</f>
        <v>28.626774192175052</v>
      </c>
      <c r="Y38" s="274">
        <f>IF(parameters!$B$33="B",'price scenario B'!Y34,IF(parameters!$B$33="C",'price scenario C'!Y34,'price scenario A'!Y34))</f>
        <v>28.94167395336072</v>
      </c>
      <c r="Z38" s="274">
        <f>IF(parameters!$B$33="B",'price scenario B'!Z34,IF(parameters!$B$33="C",'price scenario C'!Z34,'price scenario A'!Z34))</f>
        <v>29.640149947816983</v>
      </c>
      <c r="AA38" s="274">
        <f>IF(parameters!$B$33="B",'price scenario B'!AA34,IF(parameters!$B$33="C",'price scenario C'!AA34,'price scenario A'!AA34))</f>
        <v>29.847848336791102</v>
      </c>
      <c r="AB38" s="274">
        <f>IF(parameters!$B$33="B",'price scenario B'!AB34,IF(parameters!$B$33="C",'price scenario C'!AB34,'price scenario A'!AB34))</f>
        <v>30.165660972478374</v>
      </c>
      <c r="AC38" s="274">
        <f>IF(parameters!$B$33="B",'price scenario B'!AC34,IF(parameters!$B$33="C",'price scenario C'!AC34,'price scenario A'!AC34))</f>
        <v>30.276425160244816</v>
      </c>
      <c r="AD38" s="274">
        <f>IF(parameters!$B$33="B",'price scenario B'!AD34,IF(parameters!$B$33="C",'price scenario C'!AD34,'price scenario A'!AD34))</f>
        <v>30.566173625896745</v>
      </c>
      <c r="AE38" s="274">
        <f>IF(parameters!$B$33="B",'price scenario B'!AE34,IF(parameters!$B$33="C",'price scenario C'!AE34,'price scenario A'!AE34))</f>
        <v>30.82820424046874</v>
      </c>
      <c r="AF38" s="274">
        <f>IF(parameters!$B$33="B",'price scenario B'!AF34,IF(parameters!$B$33="C",'price scenario C'!AF34,'price scenario A'!AF34))</f>
        <v>30.957295817118904</v>
      </c>
      <c r="AG38" s="274">
        <f>IF(parameters!$B$33="B",'price scenario B'!AG34,IF(parameters!$B$33="C",'price scenario C'!AG34,'price scenario A'!AG34))</f>
        <v>31.094646863650652</v>
      </c>
      <c r="AH38" s="274">
        <f>IF(parameters!$B$33="B",'price scenario B'!AH34,IF(parameters!$B$33="C",'price scenario C'!AH34,'price scenario A'!AH34))</f>
        <v>31.493887150715071</v>
      </c>
      <c r="AI38" s="274">
        <f>IF(parameters!$B$33="B",'price scenario B'!AI34,IF(parameters!$B$33="C",'price scenario C'!AI34,'price scenario A'!AI34))</f>
        <v>31.656085870682666</v>
      </c>
      <c r="AJ38" s="274">
        <f>IF(parameters!$B$33="B",'price scenario B'!AJ34,IF(parameters!$B$33="C",'price scenario C'!AJ34,'price scenario A'!AJ34))</f>
        <v>31.804827489980472</v>
      </c>
      <c r="AK38" s="274">
        <f>IF(parameters!$B$33="B",'price scenario B'!AK34,IF(parameters!$B$33="C",'price scenario C'!AK34,'price scenario A'!AK34))</f>
        <v>31.946261304909751</v>
      </c>
      <c r="AL38" s="274">
        <f>IF(parameters!$B$33="B",'price scenario B'!AL34,IF(parameters!$B$33="C",'price scenario C'!AL34,'price scenario A'!AL34))</f>
        <v>32.10487348884606</v>
      </c>
      <c r="AM38" s="274">
        <f>IF(parameters!$B$33="B",'price scenario B'!AM34,IF(parameters!$B$33="C",'price scenario C'!AM34,'price scenario A'!AM34))</f>
        <v>32.130046607218084</v>
      </c>
      <c r="AN38" s="274">
        <f>IF(parameters!$B$33="B",'price scenario B'!AN34,IF(parameters!$B$33="C",'price scenario C'!AN34,'price scenario A'!AN34))</f>
        <v>32.208484529750095</v>
      </c>
      <c r="AO38" s="274">
        <f>IF(parameters!$B$33="B",'price scenario B'!AO34,IF(parameters!$B$33="C",'price scenario C'!AO34,'price scenario A'!AO34))</f>
        <v>32.263705798803336</v>
      </c>
      <c r="AP38" s="274">
        <f>IF(parameters!$B$33="B",'price scenario B'!AP34,IF(parameters!$B$33="C",'price scenario C'!AP34,'price scenario A'!AP34))</f>
        <v>32.341719599217363</v>
      </c>
      <c r="AQ38" s="274">
        <f>IF(parameters!$B$33="B",'price scenario B'!AQ34,IF(parameters!$B$33="C",'price scenario C'!AQ34,'price scenario A'!AQ34))</f>
        <v>32.296205697925004</v>
      </c>
      <c r="AR38" s="274">
        <f>IF(parameters!$B$33="B",'price scenario B'!AR34,IF(parameters!$B$33="C",'price scenario C'!AR34,'price scenario A'!AR34))</f>
        <v>32.371844604242106</v>
      </c>
      <c r="AS38" s="274">
        <f>IF(parameters!$B$33="B",'price scenario B'!AS34,IF(parameters!$B$33="C",'price scenario C'!AS34,'price scenario A'!AS34))</f>
        <v>32.425072404458916</v>
      </c>
      <c r="AT38" s="274">
        <f>IF(parameters!$B$33="B",'price scenario B'!AT34,IF(parameters!$B$33="C",'price scenario C'!AT34,'price scenario A'!AT34))</f>
        <v>32.268296185395769</v>
      </c>
      <c r="AU38" s="274">
        <f>IF(parameters!$B$33="B",'price scenario B'!AU34,IF(parameters!$B$33="C",'price scenario C'!AU34,'price scenario A'!AU34))</f>
        <v>32.341212929841511</v>
      </c>
    </row>
    <row r="39" spans="1:47">
      <c r="A39" s="40" t="s">
        <v>29</v>
      </c>
      <c r="B39" s="274">
        <f>IF(parameters!$B$33="B",'price scenario B'!B35,IF(parameters!$B$33="C",'price scenario C'!B35,'price scenario A'!B35))</f>
        <v>10.868934719680732</v>
      </c>
      <c r="C39" s="274">
        <f>IF(parameters!$B$33="B",'price scenario B'!C35,IF(parameters!$B$33="C",'price scenario C'!C35,'price scenario A'!C35))</f>
        <v>11.781013667017787</v>
      </c>
      <c r="D39" s="274">
        <f>IF(parameters!$B$33="B",'price scenario B'!D35,IF(parameters!$B$33="C",'price scenario C'!D35,'price scenario A'!D35))</f>
        <v>11.945835170871824</v>
      </c>
      <c r="E39" s="274">
        <f>IF(parameters!$B$33="B",'price scenario B'!E35,IF(parameters!$B$33="C",'price scenario C'!E35,'price scenario A'!E35))</f>
        <v>20.824636319965069</v>
      </c>
      <c r="F39" s="274">
        <f>IF(parameters!$B$33="B",'price scenario B'!F35,IF(parameters!$B$33="C",'price scenario C'!F35,'price scenario A'!F35))</f>
        <v>11.526194206927102</v>
      </c>
      <c r="G39" s="274">
        <f>IF(parameters!$B$33="B",'price scenario B'!G35,IF(parameters!$B$33="C",'price scenario C'!G35,'price scenario A'!G35))</f>
        <v>15.439504906</v>
      </c>
      <c r="H39" s="274">
        <f>IF(parameters!$B$33="B",'price scenario B'!H35,IF(parameters!$B$33="C",'price scenario C'!H35,'price scenario A'!H35))</f>
        <v>25.107132314400001</v>
      </c>
      <c r="I39" s="274">
        <f>IF(parameters!$B$33="B",'price scenario B'!I35,IF(parameters!$B$33="C",'price scenario C'!I35,'price scenario A'!I35))</f>
        <v>23.965906763478063</v>
      </c>
      <c r="J39" s="274">
        <f>IF(parameters!$B$33="B",'price scenario B'!J35,IF(parameters!$B$33="C",'price scenario C'!J35,'price scenario A'!J35))</f>
        <v>23.169058501261514</v>
      </c>
      <c r="K39" s="274">
        <f>IF(parameters!$B$33="B",'price scenario B'!K35,IF(parameters!$B$33="C",'price scenario C'!K35,'price scenario A'!K35))</f>
        <v>17.084399432277209</v>
      </c>
      <c r="L39" s="274">
        <f>IF(parameters!$B$33="B",'price scenario B'!L35,IF(parameters!$B$33="C",'price scenario C'!L35,'price scenario A'!L35))</f>
        <v>13.98949960318317</v>
      </c>
      <c r="M39" s="274">
        <f>IF(parameters!$B$33="B",'price scenario B'!M35,IF(parameters!$B$33="C",'price scenario C'!M35,'price scenario A'!M35))</f>
        <v>9.9074245097370142</v>
      </c>
      <c r="N39" s="274">
        <f>IF(parameters!$B$33="B",'price scenario B'!N35,IF(parameters!$B$33="C",'price scenario C'!N35,'price scenario A'!N35))</f>
        <v>12.589680052124997</v>
      </c>
      <c r="O39" s="274">
        <f>IF(parameters!$B$33="B",'price scenario B'!O35,IF(parameters!$B$33="C",'price scenario C'!O35,'price scenario A'!O35))</f>
        <v>11.897579</v>
      </c>
      <c r="P39" s="274">
        <f>IF(parameters!$B$33="B",'price scenario B'!P35,IF(parameters!$B$33="C",'price scenario C'!P35,'price scenario A'!P35))</f>
        <v>15.248987</v>
      </c>
      <c r="Q39" s="274">
        <f>IF(parameters!$B$33="B",'price scenario B'!Q35,IF(parameters!$B$33="C",'price scenario C'!Q35,'price scenario A'!Q35))</f>
        <v>15.380401000000001</v>
      </c>
      <c r="R39" s="274">
        <f>IF(parameters!$B$33="B",'price scenario B'!R35,IF(parameters!$B$33="C",'price scenario C'!R35,'price scenario A'!R35))</f>
        <v>16.985220000000002</v>
      </c>
      <c r="S39" s="274">
        <f>IF(parameters!$B$33="B",'price scenario B'!S35,IF(parameters!$B$33="C",'price scenario C'!S35,'price scenario A'!S35))</f>
        <v>18.720980000000001</v>
      </c>
      <c r="T39" s="274">
        <f>IF(parameters!$B$33="B",'price scenario B'!T35,IF(parameters!$B$33="C",'price scenario C'!T35,'price scenario A'!T35))</f>
        <v>19.134377000000001</v>
      </c>
      <c r="U39" s="274">
        <f>IF(parameters!$B$33="B",'price scenario B'!U35,IF(parameters!$B$33="C",'price scenario C'!U35,'price scenario A'!U35))</f>
        <v>19.106483000000001</v>
      </c>
      <c r="V39" s="274">
        <f>IF(parameters!$B$33="B",'price scenario B'!V35,IF(parameters!$B$33="C",'price scenario C'!V35,'price scenario A'!V35))</f>
        <v>19.133807999999998</v>
      </c>
      <c r="W39" s="274">
        <f>IF(parameters!$B$33="B",'price scenario B'!W35,IF(parameters!$B$33="C",'price scenario C'!W35,'price scenario A'!W35))</f>
        <v>19.553170999999999</v>
      </c>
      <c r="X39" s="274">
        <f>IF(parameters!$B$33="B",'price scenario B'!X35,IF(parameters!$B$33="C",'price scenario C'!X35,'price scenario A'!X35))</f>
        <v>19.710277999999999</v>
      </c>
      <c r="Y39" s="274">
        <f>IF(parameters!$B$33="B",'price scenario B'!Y35,IF(parameters!$B$33="C",'price scenario C'!Y35,'price scenario A'!Y35))</f>
        <v>19.886894000000002</v>
      </c>
      <c r="Z39" s="274">
        <f>IF(parameters!$B$33="B",'price scenario B'!Z35,IF(parameters!$B$33="C",'price scenario C'!Z35,'price scenario A'!Z35))</f>
        <v>20.164287999999999</v>
      </c>
      <c r="AA39" s="274">
        <f>IF(parameters!$B$33="B",'price scenario B'!AA35,IF(parameters!$B$33="C",'price scenario C'!AA35,'price scenario A'!AA35))</f>
        <v>20.338757000000001</v>
      </c>
      <c r="AB39" s="274">
        <f>IF(parameters!$B$33="B",'price scenario B'!AB35,IF(parameters!$B$33="C",'price scenario C'!AB35,'price scenario A'!AB35))</f>
        <v>20.608881</v>
      </c>
      <c r="AC39" s="274">
        <f>IF(parameters!$B$33="B",'price scenario B'!AC35,IF(parameters!$B$33="C",'price scenario C'!AC35,'price scenario A'!AC35))</f>
        <v>20.777021000000001</v>
      </c>
      <c r="AD39" s="274">
        <f>IF(parameters!$B$33="B",'price scenario B'!AD35,IF(parameters!$B$33="C",'price scenario C'!AD35,'price scenario A'!AD35))</f>
        <v>20.970106000000001</v>
      </c>
      <c r="AE39" s="274">
        <f>IF(parameters!$B$33="B",'price scenario B'!AE35,IF(parameters!$B$33="C",'price scenario C'!AE35,'price scenario A'!AE35))</f>
        <v>21.154682000000001</v>
      </c>
      <c r="AF39" s="274">
        <f>IF(parameters!$B$33="B",'price scenario B'!AF35,IF(parameters!$B$33="C",'price scenario C'!AF35,'price scenario A'!AF35))</f>
        <v>21.319182999999999</v>
      </c>
      <c r="AG39" s="274">
        <f>IF(parameters!$B$33="B",'price scenario B'!AG35,IF(parameters!$B$33="C",'price scenario C'!AG35,'price scenario A'!AG35))</f>
        <v>21.416967</v>
      </c>
      <c r="AH39" s="274">
        <f>IF(parameters!$B$33="B",'price scenario B'!AH35,IF(parameters!$B$33="C",'price scenario C'!AH35,'price scenario A'!AH35))</f>
        <v>21.795977000000001</v>
      </c>
      <c r="AI39" s="274">
        <f>IF(parameters!$B$33="B",'price scenario B'!AI35,IF(parameters!$B$33="C",'price scenario C'!AI35,'price scenario A'!AI35))</f>
        <v>21.921675</v>
      </c>
      <c r="AJ39" s="274">
        <f>IF(parameters!$B$33="B",'price scenario B'!AJ35,IF(parameters!$B$33="C",'price scenario C'!AJ35,'price scenario A'!AJ35))</f>
        <v>22.075838000000001</v>
      </c>
      <c r="AK39" s="274">
        <f>IF(parameters!$B$33="B",'price scenario B'!AK35,IF(parameters!$B$33="C",'price scenario C'!AK35,'price scenario A'!AK35))</f>
        <v>22.220699</v>
      </c>
      <c r="AL39" s="274">
        <f>IF(parameters!$B$33="B",'price scenario B'!AL35,IF(parameters!$B$33="C",'price scenario C'!AL35,'price scenario A'!AL35))</f>
        <v>22.411581000000002</v>
      </c>
      <c r="AM39" s="274">
        <f>IF(parameters!$B$33="B",'price scenario B'!AM35,IF(parameters!$B$33="C",'price scenario C'!AM35,'price scenario A'!AM35))</f>
        <v>22.477058</v>
      </c>
      <c r="AN39" s="274">
        <f>IF(parameters!$B$33="B",'price scenario B'!AN35,IF(parameters!$B$33="C",'price scenario C'!AN35,'price scenario A'!AN35))</f>
        <v>22.543178999999999</v>
      </c>
      <c r="AO39" s="274">
        <f>IF(parameters!$B$33="B",'price scenario B'!AO35,IF(parameters!$B$33="C",'price scenario C'!AO35,'price scenario A'!AO35))</f>
        <v>22.553353999999999</v>
      </c>
      <c r="AP39" s="274">
        <f>IF(parameters!$B$33="B",'price scenario B'!AP35,IF(parameters!$B$33="C",'price scenario C'!AP35,'price scenario A'!AP35))</f>
        <v>22.600245000000001</v>
      </c>
      <c r="AQ39" s="274">
        <f>IF(parameters!$B$33="B",'price scenario B'!AQ35,IF(parameters!$B$33="C",'price scenario C'!AQ35,'price scenario A'!AQ35))</f>
        <v>22.526717999999999</v>
      </c>
      <c r="AR39" s="274">
        <f>IF(parameters!$B$33="B",'price scenario B'!AR35,IF(parameters!$B$33="C",'price scenario C'!AR35,'price scenario A'!AR35))</f>
        <v>22.623985000000001</v>
      </c>
      <c r="AS39" s="274">
        <f>IF(parameters!$B$33="B",'price scenario B'!AS35,IF(parameters!$B$33="C",'price scenario C'!AS35,'price scenario A'!AS35))</f>
        <v>22.757549000000001</v>
      </c>
      <c r="AT39" s="274">
        <f>IF(parameters!$B$33="B",'price scenario B'!AT35,IF(parameters!$B$33="C",'price scenario C'!AT35,'price scenario A'!AT35))</f>
        <v>22.785765000000001</v>
      </c>
      <c r="AU39" s="274">
        <f>IF(parameters!$B$33="B",'price scenario B'!AU35,IF(parameters!$B$33="C",'price scenario C'!AU35,'price scenario A'!AU35))</f>
        <v>22.906047999999998</v>
      </c>
    </row>
    <row r="40" spans="1:47">
      <c r="A40" s="40" t="s">
        <v>52</v>
      </c>
      <c r="B40" s="274">
        <f>IF(parameters!$B$33="B",'price scenario B'!B36,IF(parameters!$B$33="C",'price scenario C'!B36,'price scenario A'!B36))</f>
        <v>14.347516543540372</v>
      </c>
      <c r="C40" s="274">
        <f>IF(parameters!$B$33="B",'price scenario B'!C36,IF(parameters!$B$33="C",'price scenario C'!C36,'price scenario A'!C36))</f>
        <v>13.450918029411255</v>
      </c>
      <c r="D40" s="274">
        <f>IF(parameters!$B$33="B",'price scenario B'!D36,IF(parameters!$B$33="C",'price scenario C'!D36,'price scenario A'!D36))</f>
        <v>12.714585281051809</v>
      </c>
      <c r="E40" s="274">
        <f>IF(parameters!$B$33="B",'price scenario B'!E36,IF(parameters!$B$33="C",'price scenario C'!E36,'price scenario A'!E36))</f>
        <v>15.022166673886632</v>
      </c>
      <c r="F40" s="274">
        <f>IF(parameters!$B$33="B",'price scenario B'!F36,IF(parameters!$B$33="C",'price scenario C'!F36,'price scenario A'!F36))</f>
        <v>10.607329831625647</v>
      </c>
      <c r="G40" s="274">
        <f>IF(parameters!$B$33="B",'price scenario B'!G36,IF(parameters!$B$33="C",'price scenario C'!G36,'price scenario A'!G36))</f>
        <v>15.702759674999999</v>
      </c>
      <c r="H40" s="274">
        <f>IF(parameters!$B$33="B",'price scenario B'!H36,IF(parameters!$B$33="C",'price scenario C'!H36,'price scenario A'!H36))</f>
        <v>16.275761133</v>
      </c>
      <c r="I40" s="274">
        <f>IF(parameters!$B$33="B",'price scenario B'!I36,IF(parameters!$B$33="C",'price scenario C'!I36,'price scenario A'!I36))</f>
        <v>18.340810988316612</v>
      </c>
      <c r="J40" s="274">
        <f>IF(parameters!$B$33="B",'price scenario B'!J36,IF(parameters!$B$33="C",'price scenario C'!J36,'price scenario A'!J36))</f>
        <v>18.112276357726433</v>
      </c>
      <c r="K40" s="274">
        <f>IF(parameters!$B$33="B",'price scenario B'!K36,IF(parameters!$B$33="C",'price scenario C'!K36,'price scenario A'!K36))</f>
        <v>22.497340234655006</v>
      </c>
      <c r="L40" s="274">
        <f>IF(parameters!$B$33="B",'price scenario B'!L36,IF(parameters!$B$33="C",'price scenario C'!L36,'price scenario A'!L36))</f>
        <v>20.092027573140665</v>
      </c>
      <c r="M40" s="274">
        <f>IF(parameters!$B$33="B",'price scenario B'!M36,IF(parameters!$B$33="C",'price scenario C'!M36,'price scenario A'!M36))</f>
        <v>17.266133423212487</v>
      </c>
      <c r="N40" s="274">
        <f>IF(parameters!$B$33="B",'price scenario B'!N36,IF(parameters!$B$33="C",'price scenario C'!N36,'price scenario A'!N36))</f>
        <v>16.693298184249993</v>
      </c>
      <c r="O40" s="274">
        <f>IF(parameters!$B$33="B",'price scenario B'!O36,IF(parameters!$B$33="C",'price scenario C'!O36,'price scenario A'!O36))</f>
        <v>15.54055</v>
      </c>
      <c r="P40" s="274">
        <f>IF(parameters!$B$33="B",'price scenario B'!P36,IF(parameters!$B$33="C",'price scenario C'!P36,'price scenario A'!P36))</f>
        <v>15.461475</v>
      </c>
      <c r="Q40" s="274">
        <f>IF(parameters!$B$33="B",'price scenario B'!Q36,IF(parameters!$B$33="C",'price scenario C'!Q36,'price scenario A'!Q36))</f>
        <v>15.526028</v>
      </c>
      <c r="R40" s="274">
        <f>IF(parameters!$B$33="B",'price scenario B'!R36,IF(parameters!$B$33="C",'price scenario C'!R36,'price scenario A'!R36))</f>
        <v>14.654116</v>
      </c>
      <c r="S40" s="274">
        <f>IF(parameters!$B$33="B",'price scenario B'!S36,IF(parameters!$B$33="C",'price scenario C'!S36,'price scenario A'!S36))</f>
        <v>14.504236000000001</v>
      </c>
      <c r="T40" s="274">
        <f>IF(parameters!$B$33="B",'price scenario B'!T36,IF(parameters!$B$33="C",'price scenario C'!T36,'price scenario A'!T36))</f>
        <v>14.543445999999999</v>
      </c>
      <c r="U40" s="274">
        <f>IF(parameters!$B$33="B",'price scenario B'!U36,IF(parameters!$B$33="C",'price scenario C'!U36,'price scenario A'!U36))</f>
        <v>17.335283</v>
      </c>
      <c r="V40" s="274">
        <f>IF(parameters!$B$33="B",'price scenario B'!V36,IF(parameters!$B$33="C",'price scenario C'!V36,'price scenario A'!V36))</f>
        <v>17.415651</v>
      </c>
      <c r="W40" s="274">
        <f>IF(parameters!$B$33="B",'price scenario B'!W36,IF(parameters!$B$33="C",'price scenario C'!W36,'price scenario A'!W36))</f>
        <v>17.356193999999999</v>
      </c>
      <c r="X40" s="274">
        <f>IF(parameters!$B$33="B",'price scenario B'!X36,IF(parameters!$B$33="C",'price scenario C'!X36,'price scenario A'!X36))</f>
        <v>17.316749999999999</v>
      </c>
      <c r="Y40" s="274">
        <f>IF(parameters!$B$33="B",'price scenario B'!Y36,IF(parameters!$B$33="C",'price scenario C'!Y36,'price scenario A'!Y36))</f>
        <v>17.225100999999999</v>
      </c>
      <c r="Z40" s="274">
        <f>IF(parameters!$B$33="B",'price scenario B'!Z36,IF(parameters!$B$33="C",'price scenario C'!Z36,'price scenario A'!Z36))</f>
        <v>17.576174000000002</v>
      </c>
      <c r="AA40" s="274">
        <f>IF(parameters!$B$33="B",'price scenario B'!AA36,IF(parameters!$B$33="C",'price scenario C'!AA36,'price scenario A'!AA36))</f>
        <v>17.482697000000002</v>
      </c>
      <c r="AB40" s="274">
        <f>IF(parameters!$B$33="B",'price scenario B'!AB36,IF(parameters!$B$33="C",'price scenario C'!AB36,'price scenario A'!AB36))</f>
        <v>17.390416999999999</v>
      </c>
      <c r="AC40" s="274">
        <f>IF(parameters!$B$33="B",'price scenario B'!AC36,IF(parameters!$B$33="C",'price scenario C'!AC36,'price scenario A'!AC36))</f>
        <v>17.333994000000001</v>
      </c>
      <c r="AD40" s="274">
        <f>IF(parameters!$B$33="B",'price scenario B'!AD36,IF(parameters!$B$33="C",'price scenario C'!AD36,'price scenario A'!AD36))</f>
        <v>17.264631000000001</v>
      </c>
      <c r="AE40" s="274">
        <f>IF(parameters!$B$33="B",'price scenario B'!AE36,IF(parameters!$B$33="C",'price scenario C'!AE36,'price scenario A'!AE36))</f>
        <v>17.222916000000001</v>
      </c>
      <c r="AF40" s="274">
        <f>IF(parameters!$B$33="B",'price scenario B'!AF36,IF(parameters!$B$33="C",'price scenario C'!AF36,'price scenario A'!AF36))</f>
        <v>17.164318000000002</v>
      </c>
      <c r="AG40" s="274">
        <f>IF(parameters!$B$33="B",'price scenario B'!AG36,IF(parameters!$B$33="C",'price scenario C'!AG36,'price scenario A'!AG36))</f>
        <v>17.218857</v>
      </c>
      <c r="AH40" s="274">
        <f>IF(parameters!$B$33="B",'price scenario B'!AH36,IF(parameters!$B$33="C",'price scenario C'!AH36,'price scenario A'!AH36))</f>
        <v>17.173249999999999</v>
      </c>
      <c r="AI40" s="274">
        <f>IF(parameters!$B$33="B",'price scenario B'!AI36,IF(parameters!$B$33="C",'price scenario C'!AI36,'price scenario A'!AI36))</f>
        <v>17.185514000000001</v>
      </c>
      <c r="AJ40" s="274">
        <f>IF(parameters!$B$33="B",'price scenario B'!AJ36,IF(parameters!$B$33="C",'price scenario C'!AJ36,'price scenario A'!AJ36))</f>
        <v>17.192053000000001</v>
      </c>
      <c r="AK40" s="274">
        <f>IF(parameters!$B$33="B",'price scenario B'!AK36,IF(parameters!$B$33="C",'price scenario C'!AK36,'price scenario A'!AK36))</f>
        <v>17.183734999999999</v>
      </c>
      <c r="AL40" s="274">
        <f>IF(parameters!$B$33="B",'price scenario B'!AL36,IF(parameters!$B$33="C",'price scenario C'!AL36,'price scenario A'!AL36))</f>
        <v>17.199635000000001</v>
      </c>
      <c r="AM40" s="274">
        <f>IF(parameters!$B$33="B",'price scenario B'!AM36,IF(parameters!$B$33="C",'price scenario C'!AM36,'price scenario A'!AM36))</f>
        <v>17.24287</v>
      </c>
      <c r="AN40" s="274">
        <f>IF(parameters!$B$33="B",'price scenario B'!AN36,IF(parameters!$B$33="C",'price scenario C'!AN36,'price scenario A'!AN36))</f>
        <v>17.259450999999999</v>
      </c>
      <c r="AO40" s="274">
        <f>IF(parameters!$B$33="B",'price scenario B'!AO36,IF(parameters!$B$33="C",'price scenario C'!AO36,'price scenario A'!AO36))</f>
        <v>17.291245</v>
      </c>
      <c r="AP40" s="274">
        <f>IF(parameters!$B$33="B",'price scenario B'!AP36,IF(parameters!$B$33="C",'price scenario C'!AP36,'price scenario A'!AP36))</f>
        <v>17.326384999999998</v>
      </c>
      <c r="AQ40" s="274">
        <f>IF(parameters!$B$33="B",'price scenario B'!AQ36,IF(parameters!$B$33="C",'price scenario C'!AQ36,'price scenario A'!AQ36))</f>
        <v>17.370512000000002</v>
      </c>
      <c r="AR40" s="274">
        <f>IF(parameters!$B$33="B",'price scenario B'!AR36,IF(parameters!$B$33="C",'price scenario C'!AR36,'price scenario A'!AR36))</f>
        <v>17.405280999999999</v>
      </c>
      <c r="AS40" s="274">
        <f>IF(parameters!$B$33="B",'price scenario B'!AS36,IF(parameters!$B$33="C",'price scenario C'!AS36,'price scenario A'!AS36))</f>
        <v>17.484158000000001</v>
      </c>
      <c r="AT40" s="274">
        <f>IF(parameters!$B$33="B",'price scenario B'!AT36,IF(parameters!$B$33="C",'price scenario C'!AT36,'price scenario A'!AT36))</f>
        <v>17.546582999999998</v>
      </c>
      <c r="AU40" s="274">
        <f>IF(parameters!$B$33="B",'price scenario B'!AU36,IF(parameters!$B$33="C",'price scenario C'!AU36,'price scenario A'!AU36))</f>
        <v>17.632359999999998</v>
      </c>
    </row>
    <row r="41" spans="1:47">
      <c r="A41" s="46" t="s">
        <v>8</v>
      </c>
      <c r="B41" s="274">
        <f>IF(parameters!$B$33="B",'price scenario B'!B37,IF(parameters!$B$33="C",'price scenario C'!B37,'price scenario A'!B37))</f>
        <v>25.273055569087418</v>
      </c>
      <c r="C41" s="274">
        <f>IF(parameters!$B$33="B",'price scenario B'!C37,IF(parameters!$B$33="C",'price scenario C'!C37,'price scenario A'!C37))</f>
        <v>23.968927249238199</v>
      </c>
      <c r="D41" s="274">
        <f>IF(parameters!$B$33="B",'price scenario B'!D37,IF(parameters!$B$33="C",'price scenario C'!D37,'price scenario A'!D37))</f>
        <v>23.728557758441507</v>
      </c>
      <c r="E41" s="274">
        <f>IF(parameters!$B$33="B",'price scenario B'!E37,IF(parameters!$B$33="C",'price scenario C'!E37,'price scenario A'!E37))</f>
        <v>24.586978211291097</v>
      </c>
      <c r="F41" s="274">
        <f>IF(parameters!$B$33="B",'price scenario B'!F37,IF(parameters!$B$33="C",'price scenario C'!F37,'price scenario A'!F37))</f>
        <v>23.563944028004737</v>
      </c>
      <c r="G41" s="274">
        <f>IF(parameters!$B$33="B",'price scenario B'!G37,IF(parameters!$B$33="C",'price scenario C'!G37,'price scenario A'!G37))</f>
        <v>25.051514399860356</v>
      </c>
      <c r="H41" s="274">
        <f>IF(parameters!$B$33="B",'price scenario B'!H37,IF(parameters!$B$33="C",'price scenario C'!H37,'price scenario A'!H37))</f>
        <v>24.211661054755247</v>
      </c>
      <c r="I41" s="274">
        <f>IF(parameters!$B$33="B",'price scenario B'!I37,IF(parameters!$B$33="C",'price scenario C'!I37,'price scenario A'!I37))</f>
        <v>27.060308865246494</v>
      </c>
      <c r="J41" s="274">
        <f>IF(parameters!$B$33="B",'price scenario B'!J37,IF(parameters!$B$33="C",'price scenario C'!J37,'price scenario A'!J37))</f>
        <v>27.370047311581605</v>
      </c>
      <c r="K41" s="274">
        <f>IF(parameters!$B$33="B",'price scenario B'!K37,IF(parameters!$B$33="C",'price scenario C'!K37,'price scenario A'!K37))</f>
        <v>28.829920836811443</v>
      </c>
      <c r="L41" s="274">
        <f>IF(parameters!$B$33="B",'price scenario B'!L37,IF(parameters!$B$33="C",'price scenario C'!L37,'price scenario A'!L37))</f>
        <v>25.034169591546259</v>
      </c>
      <c r="M41" s="274">
        <f>IF(parameters!$B$33="B",'price scenario B'!M37,IF(parameters!$B$33="C",'price scenario C'!M37,'price scenario A'!M37))</f>
        <v>25.996081881027568</v>
      </c>
      <c r="N41" s="274">
        <f>IF(parameters!$B$33="B",'price scenario B'!N37,IF(parameters!$B$33="C",'price scenario C'!N37,'price scenario A'!N37))</f>
        <v>31.147655966928838</v>
      </c>
      <c r="O41" s="274">
        <f>IF(parameters!$B$33="B",'price scenario B'!O37,IF(parameters!$B$33="C",'price scenario C'!O37,'price scenario A'!O37))</f>
        <v>31.557759933321371</v>
      </c>
      <c r="P41" s="274">
        <f>IF(parameters!$B$33="B",'price scenario B'!P37,IF(parameters!$B$33="C",'price scenario C'!P37,'price scenario A'!P37))</f>
        <v>31.592565748582185</v>
      </c>
      <c r="Q41" s="274">
        <f>IF(parameters!$B$33="B",'price scenario B'!Q37,IF(parameters!$B$33="C",'price scenario C'!Q37,'price scenario A'!Q37))</f>
        <v>32.711532321396689</v>
      </c>
      <c r="R41" s="274">
        <f>IF(parameters!$B$33="B",'price scenario B'!R37,IF(parameters!$B$33="C",'price scenario C'!R37,'price scenario A'!R37))</f>
        <v>34.315052165579182</v>
      </c>
      <c r="S41" s="274">
        <f>IF(parameters!$B$33="B",'price scenario B'!S37,IF(parameters!$B$33="C",'price scenario C'!S37,'price scenario A'!S37))</f>
        <v>36.03492900681033</v>
      </c>
      <c r="T41" s="274">
        <f>IF(parameters!$B$33="B",'price scenario B'!T37,IF(parameters!$B$33="C",'price scenario C'!T37,'price scenario A'!T37))</f>
        <v>38.053405421189247</v>
      </c>
      <c r="U41" s="274">
        <f>IF(parameters!$B$33="B",'price scenario B'!U37,IF(parameters!$B$33="C",'price scenario C'!U37,'price scenario A'!U37))</f>
        <v>38.799645840576162</v>
      </c>
      <c r="V41" s="274">
        <f>IF(parameters!$B$33="B",'price scenario B'!V37,IF(parameters!$B$33="C",'price scenario C'!V37,'price scenario A'!V37))</f>
        <v>40.056789834174936</v>
      </c>
      <c r="W41" s="274">
        <f>IF(parameters!$B$33="B",'price scenario B'!W37,IF(parameters!$B$33="C",'price scenario C'!W37,'price scenario A'!W37))</f>
        <v>41.252547483376112</v>
      </c>
      <c r="X41" s="274">
        <f>IF(parameters!$B$33="B",'price scenario B'!X37,IF(parameters!$B$33="C",'price scenario C'!X37,'price scenario A'!X37))</f>
        <v>41.57100466360513</v>
      </c>
      <c r="Y41" s="274">
        <f>IF(parameters!$B$33="B",'price scenario B'!Y37,IF(parameters!$B$33="C",'price scenario C'!Y37,'price scenario A'!Y37))</f>
        <v>41.788209420262987</v>
      </c>
      <c r="Z41" s="274">
        <f>IF(parameters!$B$33="B",'price scenario B'!Z37,IF(parameters!$B$33="C",'price scenario C'!Z37,'price scenario A'!Z37))</f>
        <v>41.95555879105116</v>
      </c>
      <c r="AA41" s="274">
        <f>IF(parameters!$B$33="B",'price scenario B'!AA37,IF(parameters!$B$33="C",'price scenario C'!AA37,'price scenario A'!AA37))</f>
        <v>42.238065310596873</v>
      </c>
      <c r="AB41" s="274">
        <f>IF(parameters!$B$33="B",'price scenario B'!AB37,IF(parameters!$B$33="C",'price scenario C'!AB37,'price scenario A'!AB37))</f>
        <v>42.587067155279428</v>
      </c>
      <c r="AC41" s="274">
        <f>IF(parameters!$B$33="B",'price scenario B'!AC37,IF(parameters!$B$33="C",'price scenario C'!AC37,'price scenario A'!AC37))</f>
        <v>42.692792097824416</v>
      </c>
      <c r="AD41" s="274">
        <f>IF(parameters!$B$33="B",'price scenario B'!AD37,IF(parameters!$B$33="C",'price scenario C'!AD37,'price scenario A'!AD37))</f>
        <v>42.659328352557857</v>
      </c>
      <c r="AE41" s="274">
        <f>IF(parameters!$B$33="B",'price scenario B'!AE37,IF(parameters!$B$33="C",'price scenario C'!AE37,'price scenario A'!AE37))</f>
        <v>42.6131746597461</v>
      </c>
      <c r="AF41" s="274">
        <f>IF(parameters!$B$33="B",'price scenario B'!AF37,IF(parameters!$B$33="C",'price scenario C'!AF37,'price scenario A'!AF37))</f>
        <v>42.506124148067435</v>
      </c>
      <c r="AG41" s="274">
        <f>IF(parameters!$B$33="B",'price scenario B'!AG37,IF(parameters!$B$33="C",'price scenario C'!AG37,'price scenario A'!AG37))</f>
        <v>42.335876911858414</v>
      </c>
      <c r="AH41" s="274">
        <f>IF(parameters!$B$33="B",'price scenario B'!AH37,IF(parameters!$B$33="C",'price scenario C'!AH37,'price scenario A'!AH37))</f>
        <v>42.172173445504278</v>
      </c>
      <c r="AI41" s="274">
        <f>IF(parameters!$B$33="B",'price scenario B'!AI37,IF(parameters!$B$33="C",'price scenario C'!AI37,'price scenario A'!AI37))</f>
        <v>41.933248841784852</v>
      </c>
      <c r="AJ41" s="274">
        <f>IF(parameters!$B$33="B",'price scenario B'!AJ37,IF(parameters!$B$33="C",'price scenario C'!AJ37,'price scenario A'!AJ37))</f>
        <v>41.634472473702246</v>
      </c>
      <c r="AK41" s="274">
        <f>IF(parameters!$B$33="B",'price scenario B'!AK37,IF(parameters!$B$33="C",'price scenario C'!AK37,'price scenario A'!AK37))</f>
        <v>41.312396890473494</v>
      </c>
      <c r="AL41" s="274">
        <f>IF(parameters!$B$33="B",'price scenario B'!AL37,IF(parameters!$B$33="C",'price scenario C'!AL37,'price scenario A'!AL37))</f>
        <v>41.038654685164261</v>
      </c>
      <c r="AM41" s="274">
        <f>IF(parameters!$B$33="B",'price scenario B'!AM37,IF(parameters!$B$33="C",'price scenario C'!AM37,'price scenario A'!AM37))</f>
        <v>40.810362135948502</v>
      </c>
      <c r="AN41" s="274">
        <f>IF(parameters!$B$33="B",'price scenario B'!AN37,IF(parameters!$B$33="C",'price scenario C'!AN37,'price scenario A'!AN37))</f>
        <v>40.49909540215824</v>
      </c>
      <c r="AO41" s="274">
        <f>IF(parameters!$B$33="B",'price scenario B'!AO37,IF(parameters!$B$33="C",'price scenario C'!AO37,'price scenario A'!AO37))</f>
        <v>40.156966558787012</v>
      </c>
      <c r="AP41" s="274">
        <f>IF(parameters!$B$33="B",'price scenario B'!AP37,IF(parameters!$B$33="C",'price scenario C'!AP37,'price scenario A'!AP37))</f>
        <v>39.994913964246649</v>
      </c>
      <c r="AQ41" s="274">
        <f>IF(parameters!$B$33="B",'price scenario B'!AQ37,IF(parameters!$B$33="C",'price scenario C'!AQ37,'price scenario A'!AQ37))</f>
        <v>39.741824550347822</v>
      </c>
      <c r="AR41" s="274">
        <f>IF(parameters!$B$33="B",'price scenario B'!AR37,IF(parameters!$B$33="C",'price scenario C'!AR37,'price scenario A'!AR37))</f>
        <v>39.445169721483296</v>
      </c>
      <c r="AS41" s="274">
        <f>IF(parameters!$B$33="B",'price scenario B'!AS37,IF(parameters!$B$33="C",'price scenario C'!AS37,'price scenario A'!AS37))</f>
        <v>39.088192460851289</v>
      </c>
      <c r="AT41" s="274">
        <f>IF(parameters!$B$33="B",'price scenario B'!AT37,IF(parameters!$B$33="C",'price scenario C'!AT37,'price scenario A'!AT37))</f>
        <v>38.724060112767475</v>
      </c>
      <c r="AU41" s="274">
        <f>IF(parameters!$B$33="B",'price scenario B'!AU37,IF(parameters!$B$33="C",'price scenario C'!AU37,'price scenario A'!AU37))</f>
        <v>38.366006367421093</v>
      </c>
    </row>
    <row r="42" spans="1:47">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row>
    <row r="43" spans="1:47" s="5" customFormat="1" ht="13">
      <c r="A43" s="250" t="s">
        <v>416</v>
      </c>
      <c r="B43" s="380" t="s">
        <v>554</v>
      </c>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0"/>
      <c r="AN43" s="380"/>
      <c r="AO43" s="380"/>
      <c r="AP43" s="380"/>
      <c r="AQ43" s="380"/>
      <c r="AR43" s="380"/>
      <c r="AS43" s="380"/>
      <c r="AT43" s="380"/>
      <c r="AU43" s="381"/>
    </row>
    <row r="44" spans="1:47" s="377" customFormat="1" ht="12.9" customHeight="1">
      <c r="A44" s="379" t="s">
        <v>6</v>
      </c>
      <c r="B44" s="379">
        <v>2005</v>
      </c>
      <c r="C44" s="379">
        <v>2006</v>
      </c>
      <c r="D44" s="379">
        <v>2007</v>
      </c>
      <c r="E44" s="379">
        <v>2008</v>
      </c>
      <c r="F44" s="379">
        <v>2009</v>
      </c>
      <c r="G44" s="379">
        <v>2010</v>
      </c>
      <c r="H44" s="379">
        <v>2011</v>
      </c>
      <c r="I44" s="379">
        <v>2012</v>
      </c>
      <c r="J44" s="379">
        <v>2013</v>
      </c>
      <c r="K44" s="379">
        <v>2014</v>
      </c>
      <c r="L44" s="379">
        <v>2015</v>
      </c>
      <c r="M44" s="379">
        <v>2016</v>
      </c>
      <c r="N44" s="379">
        <v>2017</v>
      </c>
      <c r="O44" s="379">
        <v>2018</v>
      </c>
      <c r="P44" s="379">
        <v>2019</v>
      </c>
      <c r="Q44" s="379">
        <v>2020</v>
      </c>
      <c r="R44" s="379">
        <v>2021</v>
      </c>
      <c r="S44" s="379">
        <v>2022</v>
      </c>
      <c r="T44" s="379">
        <v>2023</v>
      </c>
      <c r="U44" s="379">
        <v>2024</v>
      </c>
      <c r="V44" s="379">
        <v>2025</v>
      </c>
      <c r="W44" s="379">
        <v>2026</v>
      </c>
      <c r="X44" s="379">
        <v>2027</v>
      </c>
      <c r="Y44" s="379">
        <v>2028</v>
      </c>
      <c r="Z44" s="379">
        <v>2029</v>
      </c>
      <c r="AA44" s="379">
        <v>2030</v>
      </c>
      <c r="AB44" s="379">
        <v>2031</v>
      </c>
      <c r="AC44" s="379">
        <v>2032</v>
      </c>
      <c r="AD44" s="379">
        <v>2033</v>
      </c>
      <c r="AE44" s="379">
        <v>2034</v>
      </c>
      <c r="AF44" s="379">
        <v>2035</v>
      </c>
      <c r="AG44" s="379">
        <v>2036</v>
      </c>
      <c r="AH44" s="379">
        <v>2037</v>
      </c>
      <c r="AI44" s="379">
        <v>2038</v>
      </c>
      <c r="AJ44" s="379">
        <v>2039</v>
      </c>
      <c r="AK44" s="379">
        <v>2040</v>
      </c>
      <c r="AL44" s="379">
        <v>2041</v>
      </c>
      <c r="AM44" s="379">
        <v>2042</v>
      </c>
      <c r="AN44" s="379">
        <v>2043</v>
      </c>
      <c r="AO44" s="379">
        <v>2044</v>
      </c>
      <c r="AP44" s="379">
        <v>2045</v>
      </c>
      <c r="AQ44" s="379">
        <v>2046</v>
      </c>
      <c r="AR44" s="379">
        <v>2047</v>
      </c>
      <c r="AS44" s="379">
        <v>2048</v>
      </c>
      <c r="AT44" s="379">
        <v>2049</v>
      </c>
      <c r="AU44" s="379">
        <v>2050</v>
      </c>
    </row>
    <row r="45" spans="1:47" s="377" customFormat="1" ht="12.9" customHeight="1">
      <c r="A45" s="377" t="s">
        <v>1289</v>
      </c>
    </row>
    <row r="46" spans="1:47">
      <c r="A46" s="40" t="s">
        <v>23</v>
      </c>
      <c r="B46" s="274">
        <f>IF(parameters!$B$33="B",'price scenario B'!B40,IF(parameters!$B$33="C",'price scenario C'!B40,'price scenario A'!B40))</f>
        <v>20.188166351274685</v>
      </c>
      <c r="C46" s="274">
        <f>IF(parameters!$B$33="B",'price scenario B'!C40,IF(parameters!$B$33="C",'price scenario C'!C40,'price scenario A'!C40))</f>
        <v>21.326169034777244</v>
      </c>
      <c r="D46" s="274">
        <f>IF(parameters!$B$33="B",'price scenario B'!D40,IF(parameters!$B$33="C",'price scenario C'!D40,'price scenario A'!D40))</f>
        <v>22.91240067507902</v>
      </c>
      <c r="E46" s="274">
        <f>IF(parameters!$B$33="B",'price scenario B'!E40,IF(parameters!$B$33="C",'price scenario C'!E40,'price scenario A'!E40))</f>
        <v>27.263969815177031</v>
      </c>
      <c r="F46" s="274">
        <f>IF(parameters!$B$33="B",'price scenario B'!F40,IF(parameters!$B$33="C",'price scenario C'!F40,'price scenario A'!F40))</f>
        <v>20.047719445762652</v>
      </c>
      <c r="G46" s="274">
        <f>IF(parameters!$B$33="B",'price scenario B'!G40,IF(parameters!$B$33="C",'price scenario C'!G40,'price scenario A'!G40))</f>
        <v>24.265053305333172</v>
      </c>
      <c r="H46" s="274">
        <f>IF(parameters!$B$33="B",'price scenario B'!H40,IF(parameters!$B$33="C",'price scenario C'!H40,'price scenario A'!H40))</f>
        <v>29.538150084887882</v>
      </c>
      <c r="I46" s="274">
        <f>IF(parameters!$B$33="B",'price scenario B'!I40,IF(parameters!$B$33="C",'price scenario C'!I40,'price scenario A'!I40))</f>
        <v>28.939255629178632</v>
      </c>
      <c r="J46" s="274">
        <f>IF(parameters!$B$33="B",'price scenario B'!J40,IF(parameters!$B$33="C",'price scenario C'!J40,'price scenario A'!J40))</f>
        <v>28.853403995464859</v>
      </c>
      <c r="K46" s="274">
        <f>IF(parameters!$B$33="B",'price scenario B'!K40,IF(parameters!$B$33="C",'price scenario C'!K40,'price scenario A'!K40))</f>
        <v>27.840445058251927</v>
      </c>
      <c r="L46" s="274">
        <f>IF(parameters!$B$33="B",'price scenario B'!L40,IF(parameters!$B$33="C",'price scenario C'!L40,'price scenario A'!L40))</f>
        <v>17.749441120966889</v>
      </c>
      <c r="M46" s="274">
        <f>IF(parameters!$B$33="B",'price scenario B'!M40,IF(parameters!$B$33="C",'price scenario C'!M40,'price scenario A'!M40))</f>
        <v>13.758000453893089</v>
      </c>
      <c r="N46" s="274">
        <f>IF(parameters!$B$33="B",'price scenario B'!N40,IF(parameters!$B$33="C",'price scenario C'!N40,'price scenario A'!N40))</f>
        <v>20.070928319049994</v>
      </c>
      <c r="O46" s="274">
        <f>IF(parameters!$B$33="B",'price scenario B'!O40,IF(parameters!$B$33="C",'price scenario C'!O40,'price scenario A'!O40))</f>
        <v>22.921759000000002</v>
      </c>
      <c r="P46" s="274">
        <f>IF(parameters!$B$33="B",'price scenario B'!P40,IF(parameters!$B$33="C",'price scenario C'!P40,'price scenario A'!P40))</f>
        <v>23.481297000000001</v>
      </c>
      <c r="Q46" s="274">
        <f>IF(parameters!$B$33="B",'price scenario B'!Q40,IF(parameters!$B$33="C",'price scenario C'!Q40,'price scenario A'!Q40))</f>
        <v>23.086483000000001</v>
      </c>
      <c r="R46" s="274">
        <f>IF(parameters!$B$33="B",'price scenario B'!R40,IF(parameters!$B$33="C",'price scenario C'!R40,'price scenario A'!R40))</f>
        <v>22.351047999999999</v>
      </c>
      <c r="S46" s="274">
        <f>IF(parameters!$B$33="B",'price scenario B'!S40,IF(parameters!$B$33="C",'price scenario C'!S40,'price scenario A'!S40))</f>
        <v>21.355924999999999</v>
      </c>
      <c r="T46" s="274">
        <f>IF(parameters!$B$33="B",'price scenario B'!T40,IF(parameters!$B$33="C",'price scenario C'!T40,'price scenario A'!T40))</f>
        <v>20.863575000000001</v>
      </c>
      <c r="U46" s="274">
        <f>IF(parameters!$B$33="B",'price scenario B'!U40,IF(parameters!$B$33="C",'price scenario C'!U40,'price scenario A'!U40))</f>
        <v>20.678598000000001</v>
      </c>
      <c r="V46" s="274">
        <f>IF(parameters!$B$33="B",'price scenario B'!V40,IF(parameters!$B$33="C",'price scenario C'!V40,'price scenario A'!V40))</f>
        <v>21.040054000000001</v>
      </c>
      <c r="W46" s="274">
        <f>IF(parameters!$B$33="B",'price scenario B'!W40,IF(parameters!$B$33="C",'price scenario C'!W40,'price scenario A'!W40))</f>
        <v>21.520140000000001</v>
      </c>
      <c r="X46" s="274">
        <f>IF(parameters!$B$33="B",'price scenario B'!X40,IF(parameters!$B$33="C",'price scenario C'!X40,'price scenario A'!X40))</f>
        <v>22.164476000000001</v>
      </c>
      <c r="Y46" s="274">
        <f>IF(parameters!$B$33="B",'price scenario B'!Y40,IF(parameters!$B$33="C",'price scenario C'!Y40,'price scenario A'!Y40))</f>
        <v>22.35718</v>
      </c>
      <c r="Z46" s="274">
        <f>IF(parameters!$B$33="B",'price scenario B'!Z40,IF(parameters!$B$33="C",'price scenario C'!Z40,'price scenario A'!Z40))</f>
        <v>22.933252</v>
      </c>
      <c r="AA46" s="274">
        <f>IF(parameters!$B$33="B",'price scenario B'!AA40,IF(parameters!$B$33="C",'price scenario C'!AA40,'price scenario A'!AA40))</f>
        <v>23.031115</v>
      </c>
      <c r="AB46" s="274">
        <f>IF(parameters!$B$33="B",'price scenario B'!AB40,IF(parameters!$B$33="C",'price scenario C'!AB40,'price scenario A'!AB40))</f>
        <v>23.249891000000002</v>
      </c>
      <c r="AC46" s="274">
        <f>IF(parameters!$B$33="B",'price scenario B'!AC40,IF(parameters!$B$33="C",'price scenario C'!AC40,'price scenario A'!AC40))</f>
        <v>23.575551999999998</v>
      </c>
      <c r="AD46" s="274">
        <f>IF(parameters!$B$33="B",'price scenario B'!AD40,IF(parameters!$B$33="C",'price scenario C'!AD40,'price scenario A'!AD40))</f>
        <v>23.835875999999999</v>
      </c>
      <c r="AE46" s="274">
        <f>IF(parameters!$B$33="B",'price scenario B'!AE40,IF(parameters!$B$33="C",'price scenario C'!AE40,'price scenario A'!AE40))</f>
        <v>23.888535999999998</v>
      </c>
      <c r="AF46" s="274">
        <f>IF(parameters!$B$33="B",'price scenario B'!AF40,IF(parameters!$B$33="C",'price scenario C'!AF40,'price scenario A'!AF40))</f>
        <v>24.127108</v>
      </c>
      <c r="AG46" s="274">
        <f>IF(parameters!$B$33="B",'price scenario B'!AG40,IF(parameters!$B$33="C",'price scenario C'!AG40,'price scenario A'!AG40))</f>
        <v>24.47138</v>
      </c>
      <c r="AH46" s="274">
        <f>IF(parameters!$B$33="B",'price scenario B'!AH40,IF(parameters!$B$33="C",'price scenario C'!AH40,'price scenario A'!AH40))</f>
        <v>24.432410999999998</v>
      </c>
      <c r="AI46" s="274">
        <f>IF(parameters!$B$33="B",'price scenario B'!AI40,IF(parameters!$B$33="C",'price scenario C'!AI40,'price scenario A'!AI40))</f>
        <v>24.606831</v>
      </c>
      <c r="AJ46" s="274">
        <f>IF(parameters!$B$33="B",'price scenario B'!AJ40,IF(parameters!$B$33="C",'price scenario C'!AJ40,'price scenario A'!AJ40))</f>
        <v>24.784860999999999</v>
      </c>
      <c r="AK46" s="274">
        <f>IF(parameters!$B$33="B",'price scenario B'!AK40,IF(parameters!$B$33="C",'price scenario C'!AK40,'price scenario A'!AK40))</f>
        <v>24.892582000000001</v>
      </c>
      <c r="AL46" s="274">
        <f>IF(parameters!$B$33="B",'price scenario B'!AL40,IF(parameters!$B$33="C",'price scenario C'!AL40,'price scenario A'!AL40))</f>
        <v>24.978269999999998</v>
      </c>
      <c r="AM46" s="274">
        <f>IF(parameters!$B$33="B",'price scenario B'!AM40,IF(parameters!$B$33="C",'price scenario C'!AM40,'price scenario A'!AM40))</f>
        <v>25.253405000000001</v>
      </c>
      <c r="AN46" s="274">
        <f>IF(parameters!$B$33="B",'price scenario B'!AN40,IF(parameters!$B$33="C",'price scenario C'!AN40,'price scenario A'!AN40))</f>
        <v>25.302980000000002</v>
      </c>
      <c r="AO46" s="274">
        <f>IF(parameters!$B$33="B",'price scenario B'!AO40,IF(parameters!$B$33="C",'price scenario C'!AO40,'price scenario A'!AO40))</f>
        <v>25.271061</v>
      </c>
      <c r="AP46" s="274">
        <f>IF(parameters!$B$33="B",'price scenario B'!AP40,IF(parameters!$B$33="C",'price scenario C'!AP40,'price scenario A'!AP40))</f>
        <v>25.337831000000001</v>
      </c>
      <c r="AQ46" s="274">
        <f>IF(parameters!$B$33="B",'price scenario B'!AQ40,IF(parameters!$B$33="C",'price scenario C'!AQ40,'price scenario A'!AQ40))</f>
        <v>25.359186000000001</v>
      </c>
      <c r="AR46" s="274">
        <f>IF(parameters!$B$33="B",'price scenario B'!AR40,IF(parameters!$B$33="C",'price scenario C'!AR40,'price scenario A'!AR40))</f>
        <v>25.372499000000001</v>
      </c>
      <c r="AS46" s="274">
        <f>IF(parameters!$B$33="B",'price scenario B'!AS40,IF(parameters!$B$33="C",'price scenario C'!AS40,'price scenario A'!AS40))</f>
        <v>25.434021000000001</v>
      </c>
      <c r="AT46" s="274">
        <f>IF(parameters!$B$33="B",'price scenario B'!AT40,IF(parameters!$B$33="C",'price scenario C'!AT40,'price scenario A'!AT40))</f>
        <v>25.379916999999999</v>
      </c>
      <c r="AU46" s="274">
        <f>IF(parameters!$B$33="B",'price scenario B'!AU40,IF(parameters!$B$33="C",'price scenario C'!AU40,'price scenario A'!AU40))</f>
        <v>25.357512</v>
      </c>
    </row>
    <row r="47" spans="1:47">
      <c r="A47" s="40" t="s">
        <v>29</v>
      </c>
      <c r="B47" s="274">
        <f>IF(parameters!$B$33="B",'price scenario B'!B41,IF(parameters!$B$33="C",'price scenario C'!B41,'price scenario A'!B41))</f>
        <v>12.290428436583822</v>
      </c>
      <c r="C47" s="274">
        <f>IF(parameters!$B$33="B",'price scenario B'!C41,IF(parameters!$B$33="C",'price scenario C'!C41,'price scenario A'!C41))</f>
        <v>13.792591215465984</v>
      </c>
      <c r="D47" s="274">
        <f>IF(parameters!$B$33="B",'price scenario B'!D41,IF(parameters!$B$33="C",'price scenario C'!D41,'price scenario A'!D41))</f>
        <v>14.888421832521232</v>
      </c>
      <c r="E47" s="274">
        <f>IF(parameters!$B$33="B",'price scenario B'!E41,IF(parameters!$B$33="C",'price scenario C'!E41,'price scenario A'!E41))</f>
        <v>23.528226496197249</v>
      </c>
      <c r="F47" s="274">
        <f>IF(parameters!$B$33="B",'price scenario B'!F41,IF(parameters!$B$33="C",'price scenario C'!F41,'price scenario A'!F41))</f>
        <v>14.386094144547821</v>
      </c>
      <c r="G47" s="274">
        <f>IF(parameters!$B$33="B",'price scenario B'!G41,IF(parameters!$B$33="C",'price scenario C'!G41,'price scenario A'!G41))</f>
        <v>19.812749934889489</v>
      </c>
      <c r="H47" s="274">
        <f>IF(parameters!$B$33="B",'price scenario B'!H41,IF(parameters!$B$33="C",'price scenario C'!H41,'price scenario A'!H41))</f>
        <v>26.840702349188167</v>
      </c>
      <c r="I47" s="274">
        <f>IF(parameters!$B$33="B",'price scenario B'!I41,IF(parameters!$B$33="C",'price scenario C'!I41,'price scenario A'!I41))</f>
        <v>30.618803787325504</v>
      </c>
      <c r="J47" s="274">
        <f>IF(parameters!$B$33="B",'price scenario B'!J41,IF(parameters!$B$33="C",'price scenario C'!J41,'price scenario A'!J41))</f>
        <v>28.293554609415906</v>
      </c>
      <c r="K47" s="274">
        <f>IF(parameters!$B$33="B",'price scenario B'!K41,IF(parameters!$B$33="C",'price scenario C'!K41,'price scenario A'!K41))</f>
        <v>23.15357446969649</v>
      </c>
      <c r="L47" s="274">
        <f>IF(parameters!$B$33="B",'price scenario B'!L41,IF(parameters!$B$33="C",'price scenario C'!L41,'price scenario A'!L41))</f>
        <v>14.556640945177232</v>
      </c>
      <c r="M47" s="274">
        <f>IF(parameters!$B$33="B",'price scenario B'!M41,IF(parameters!$B$33="C",'price scenario C'!M41,'price scenario A'!M41))</f>
        <v>11.968002446689097</v>
      </c>
      <c r="N47" s="274">
        <f>IF(parameters!$B$33="B",'price scenario B'!N41,IF(parameters!$B$33="C",'price scenario C'!N41,'price scenario A'!N41))</f>
        <v>14.336378417274995</v>
      </c>
      <c r="O47" s="274">
        <f>IF(parameters!$B$33="B",'price scenario B'!O41,IF(parameters!$B$33="C",'price scenario C'!O41,'price scenario A'!O41))</f>
        <v>15.840711000000001</v>
      </c>
      <c r="P47" s="274">
        <f>IF(parameters!$B$33="B",'price scenario B'!P41,IF(parameters!$B$33="C",'price scenario C'!P41,'price scenario A'!P41))</f>
        <v>15.821415999999999</v>
      </c>
      <c r="Q47" s="274">
        <f>IF(parameters!$B$33="B",'price scenario B'!Q41,IF(parameters!$B$33="C",'price scenario C'!Q41,'price scenario A'!Q41))</f>
        <v>15.83398</v>
      </c>
      <c r="R47" s="274">
        <f>IF(parameters!$B$33="B",'price scenario B'!R41,IF(parameters!$B$33="C",'price scenario C'!R41,'price scenario A'!R41))</f>
        <v>15.680085999999999</v>
      </c>
      <c r="S47" s="274">
        <f>IF(parameters!$B$33="B",'price scenario B'!S41,IF(parameters!$B$33="C",'price scenario C'!S41,'price scenario A'!S41))</f>
        <v>15.34849</v>
      </c>
      <c r="T47" s="274">
        <f>IF(parameters!$B$33="B",'price scenario B'!T41,IF(parameters!$B$33="C",'price scenario C'!T41,'price scenario A'!T41))</f>
        <v>15.393039999999999</v>
      </c>
      <c r="U47" s="274">
        <f>IF(parameters!$B$33="B",'price scenario B'!U41,IF(parameters!$B$33="C",'price scenario C'!U41,'price scenario A'!U41))</f>
        <v>15.611662000000001</v>
      </c>
      <c r="V47" s="274">
        <f>IF(parameters!$B$33="B",'price scenario B'!V41,IF(parameters!$B$33="C",'price scenario C'!V41,'price scenario A'!V41))</f>
        <v>15.833912</v>
      </c>
      <c r="W47" s="274">
        <f>IF(parameters!$B$33="B",'price scenario B'!W41,IF(parameters!$B$33="C",'price scenario C'!W41,'price scenario A'!W41))</f>
        <v>16.231988999999999</v>
      </c>
      <c r="X47" s="274">
        <f>IF(parameters!$B$33="B",'price scenario B'!X41,IF(parameters!$B$33="C",'price scenario C'!X41,'price scenario A'!X41))</f>
        <v>16.776378999999999</v>
      </c>
      <c r="Y47" s="274">
        <f>IF(parameters!$B$33="B",'price scenario B'!Y41,IF(parameters!$B$33="C",'price scenario C'!Y41,'price scenario A'!Y41))</f>
        <v>16.972984</v>
      </c>
      <c r="Z47" s="274">
        <f>IF(parameters!$B$33="B",'price scenario B'!Z41,IF(parameters!$B$33="C",'price scenario C'!Z41,'price scenario A'!Z41))</f>
        <v>17.387792999999999</v>
      </c>
      <c r="AA47" s="274">
        <f>IF(parameters!$B$33="B",'price scenario B'!AA41,IF(parameters!$B$33="C",'price scenario C'!AA41,'price scenario A'!AA41))</f>
        <v>17.493051999999999</v>
      </c>
      <c r="AB47" s="274">
        <f>IF(parameters!$B$33="B",'price scenario B'!AB41,IF(parameters!$B$33="C",'price scenario C'!AB41,'price scenario A'!AB41))</f>
        <v>17.693014000000002</v>
      </c>
      <c r="AC47" s="274">
        <f>IF(parameters!$B$33="B",'price scenario B'!AC41,IF(parameters!$B$33="C",'price scenario C'!AC41,'price scenario A'!AC41))</f>
        <v>17.927557</v>
      </c>
      <c r="AD47" s="274">
        <f>IF(parameters!$B$33="B",'price scenario B'!AD41,IF(parameters!$B$33="C",'price scenario C'!AD41,'price scenario A'!AD41))</f>
        <v>18.073710999999999</v>
      </c>
      <c r="AE47" s="274">
        <f>IF(parameters!$B$33="B",'price scenario B'!AE41,IF(parameters!$B$33="C",'price scenario C'!AE41,'price scenario A'!AE41))</f>
        <v>18.170567999999999</v>
      </c>
      <c r="AF47" s="274">
        <f>IF(parameters!$B$33="B",'price scenario B'!AF41,IF(parameters!$B$33="C",'price scenario C'!AF41,'price scenario A'!AF41))</f>
        <v>18.353981000000001</v>
      </c>
      <c r="AG47" s="274">
        <f>IF(parameters!$B$33="B",'price scenario B'!AG41,IF(parameters!$B$33="C",'price scenario C'!AG41,'price scenario A'!AG41))</f>
        <v>18.625292000000002</v>
      </c>
      <c r="AH47" s="274">
        <f>IF(parameters!$B$33="B",'price scenario B'!AH41,IF(parameters!$B$33="C",'price scenario C'!AH41,'price scenario A'!AH41))</f>
        <v>18.761427000000001</v>
      </c>
      <c r="AI47" s="274">
        <f>IF(parameters!$B$33="B",'price scenario B'!AI41,IF(parameters!$B$33="C",'price scenario C'!AI41,'price scenario A'!AI41))</f>
        <v>18.831242</v>
      </c>
      <c r="AJ47" s="274">
        <f>IF(parameters!$B$33="B",'price scenario B'!AJ41,IF(parameters!$B$33="C",'price scenario C'!AJ41,'price scenario A'!AJ41))</f>
        <v>18.959412</v>
      </c>
      <c r="AK47" s="274">
        <f>IF(parameters!$B$33="B",'price scenario B'!AK41,IF(parameters!$B$33="C",'price scenario C'!AK41,'price scenario A'!AK41))</f>
        <v>19.053341</v>
      </c>
      <c r="AL47" s="274">
        <f>IF(parameters!$B$33="B",'price scenario B'!AL41,IF(parameters!$B$33="C",'price scenario C'!AL41,'price scenario A'!AL41))</f>
        <v>19.148907000000001</v>
      </c>
      <c r="AM47" s="274">
        <f>IF(parameters!$B$33="B",'price scenario B'!AM41,IF(parameters!$B$33="C",'price scenario C'!AM41,'price scenario A'!AM41))</f>
        <v>19.466491999999999</v>
      </c>
      <c r="AN47" s="274">
        <f>IF(parameters!$B$33="B",'price scenario B'!AN41,IF(parameters!$B$33="C",'price scenario C'!AN41,'price scenario A'!AN41))</f>
        <v>19.477512000000001</v>
      </c>
      <c r="AO47" s="274">
        <f>IF(parameters!$B$33="B",'price scenario B'!AO41,IF(parameters!$B$33="C",'price scenario C'!AO41,'price scenario A'!AO41))</f>
        <v>19.37182</v>
      </c>
      <c r="AP47" s="274">
        <f>IF(parameters!$B$33="B",'price scenario B'!AP41,IF(parameters!$B$33="C",'price scenario C'!AP41,'price scenario A'!AP41))</f>
        <v>19.382802999999999</v>
      </c>
      <c r="AQ47" s="274">
        <f>IF(parameters!$B$33="B",'price scenario B'!AQ41,IF(parameters!$B$33="C",'price scenario C'!AQ41,'price scenario A'!AQ41))</f>
        <v>19.387936</v>
      </c>
      <c r="AR47" s="274">
        <f>IF(parameters!$B$33="B",'price scenario B'!AR41,IF(parameters!$B$33="C",'price scenario C'!AR41,'price scenario A'!AR41))</f>
        <v>19.417421000000001</v>
      </c>
      <c r="AS47" s="274">
        <f>IF(parameters!$B$33="B",'price scenario B'!AS41,IF(parameters!$B$33="C",'price scenario C'!AS41,'price scenario A'!AS41))</f>
        <v>19.437971000000001</v>
      </c>
      <c r="AT47" s="274">
        <f>IF(parameters!$B$33="B",'price scenario B'!AT41,IF(parameters!$B$33="C",'price scenario C'!AT41,'price scenario A'!AT41))</f>
        <v>19.407381000000001</v>
      </c>
      <c r="AU47" s="274">
        <f>IF(parameters!$B$33="B",'price scenario B'!AU41,IF(parameters!$B$33="C",'price scenario C'!AU41,'price scenario A'!AU41))</f>
        <v>19.413430999999999</v>
      </c>
    </row>
    <row r="48" spans="1:47">
      <c r="A48" s="40" t="s">
        <v>24</v>
      </c>
      <c r="B48" s="274">
        <f>IF(parameters!$B$33="B",'price scenario B'!B42,IF(parameters!$B$33="C",'price scenario C'!B42,'price scenario A'!B42))</f>
        <v>8.8587806092391812</v>
      </c>
      <c r="C48" s="274">
        <f>IF(parameters!$B$33="B",'price scenario B'!C42,IF(parameters!$B$33="C",'price scenario C'!C42,'price scenario A'!C42))</f>
        <v>7.2187537219205105</v>
      </c>
      <c r="D48" s="274">
        <f>IF(parameters!$B$33="B",'price scenario B'!D42,IF(parameters!$B$33="C",'price scenario C'!D42,'price scenario A'!D42))</f>
        <v>7.365604152788511</v>
      </c>
      <c r="E48" s="274">
        <f>IF(parameters!$B$33="B",'price scenario B'!E42,IF(parameters!$B$33="C",'price scenario C'!E42,'price scenario A'!E42))</f>
        <v>8.8873175920093885</v>
      </c>
      <c r="F48" s="274">
        <f>IF(parameters!$B$33="B",'price scenario B'!F42,IF(parameters!$B$33="C",'price scenario C'!F42,'price scenario A'!F42))</f>
        <v>4.8130168071388626</v>
      </c>
      <c r="G48" s="274">
        <f>IF(parameters!$B$33="B",'price scenario B'!G42,IF(parameters!$B$33="C",'price scenario C'!G42,'price scenario A'!G42))</f>
        <v>4.9287729999999996</v>
      </c>
      <c r="H48" s="274">
        <f>IF(parameters!$B$33="B",'price scenario B'!H42,IF(parameters!$B$33="C",'price scenario C'!H42,'price scenario A'!H42))</f>
        <v>4.9588802021999996</v>
      </c>
      <c r="I48" s="274">
        <f>IF(parameters!$B$33="B",'price scenario B'!I42,IF(parameters!$B$33="C",'price scenario C'!I42,'price scenario A'!I42))</f>
        <v>4.4207545472893948</v>
      </c>
      <c r="J48" s="274">
        <f>IF(parameters!$B$33="B",'price scenario B'!J42,IF(parameters!$B$33="C",'price scenario C'!J42,'price scenario A'!J42))</f>
        <v>5.2937810197026716</v>
      </c>
      <c r="K48" s="274">
        <f>IF(parameters!$B$33="B",'price scenario B'!K42,IF(parameters!$B$33="C",'price scenario C'!K42,'price scenario A'!K42))</f>
        <v>5.8873515942431487</v>
      </c>
      <c r="L48" s="274">
        <f>IF(parameters!$B$33="B",'price scenario B'!L42,IF(parameters!$B$33="C",'price scenario C'!L42,'price scenario A'!L42))</f>
        <v>3.7356477945642048</v>
      </c>
      <c r="M48" s="274">
        <f>IF(parameters!$B$33="B",'price scenario B'!M42,IF(parameters!$B$33="C",'price scenario C'!M42,'price scenario A'!M42))</f>
        <v>3.1579278568856042</v>
      </c>
      <c r="N48" s="274">
        <f>IF(parameters!$B$33="B",'price scenario B'!N42,IF(parameters!$B$33="C",'price scenario C'!N42,'price scenario A'!N42))</f>
        <v>3.5132702400499993</v>
      </c>
      <c r="O48" s="274">
        <f>IF(parameters!$B$33="B",'price scenario B'!O42,IF(parameters!$B$33="C",'price scenario C'!O42,'price scenario A'!O42))</f>
        <v>3.4597889999999998</v>
      </c>
      <c r="P48" s="274">
        <f>IF(parameters!$B$33="B",'price scenario B'!P42,IF(parameters!$B$33="C",'price scenario C'!P42,'price scenario A'!P42))</f>
        <v>3.338984</v>
      </c>
      <c r="Q48" s="274">
        <f>IF(parameters!$B$33="B",'price scenario B'!Q42,IF(parameters!$B$33="C",'price scenario C'!Q42,'price scenario A'!Q42))</f>
        <v>3.523911</v>
      </c>
      <c r="R48" s="274">
        <f>IF(parameters!$B$33="B",'price scenario B'!R42,IF(parameters!$B$33="C",'price scenario C'!R42,'price scenario A'!R42))</f>
        <v>3.5198480000000001</v>
      </c>
      <c r="S48" s="274">
        <f>IF(parameters!$B$33="B",'price scenario B'!S42,IF(parameters!$B$33="C",'price scenario C'!S42,'price scenario A'!S42))</f>
        <v>3.5927020000000001</v>
      </c>
      <c r="T48" s="274">
        <f>IF(parameters!$B$33="B",'price scenario B'!T42,IF(parameters!$B$33="C",'price scenario C'!T42,'price scenario A'!T42))</f>
        <v>3.7490030000000001</v>
      </c>
      <c r="U48" s="274">
        <f>IF(parameters!$B$33="B",'price scenario B'!U42,IF(parameters!$B$33="C",'price scenario C'!U42,'price scenario A'!U42))</f>
        <v>3.860687</v>
      </c>
      <c r="V48" s="274">
        <f>IF(parameters!$B$33="B",'price scenario B'!V42,IF(parameters!$B$33="C",'price scenario C'!V42,'price scenario A'!V42))</f>
        <v>4.1278620000000004</v>
      </c>
      <c r="W48" s="274">
        <f>IF(parameters!$B$33="B",'price scenario B'!W42,IF(parameters!$B$33="C",'price scenario C'!W42,'price scenario A'!W42))</f>
        <v>4.2413309999999997</v>
      </c>
      <c r="X48" s="274">
        <f>IF(parameters!$B$33="B",'price scenario B'!X42,IF(parameters!$B$33="C",'price scenario C'!X42,'price scenario A'!X42))</f>
        <v>4.2004409999999996</v>
      </c>
      <c r="Y48" s="274">
        <f>IF(parameters!$B$33="B",'price scenario B'!Y42,IF(parameters!$B$33="C",'price scenario C'!Y42,'price scenario A'!Y42))</f>
        <v>4.266362</v>
      </c>
      <c r="Z48" s="274">
        <f>IF(parameters!$B$33="B",'price scenario B'!Z42,IF(parameters!$B$33="C",'price scenario C'!Z42,'price scenario A'!Z42))</f>
        <v>4.2519809999999998</v>
      </c>
      <c r="AA48" s="274">
        <f>IF(parameters!$B$33="B",'price scenario B'!AA42,IF(parameters!$B$33="C",'price scenario C'!AA42,'price scenario A'!AA42))</f>
        <v>4.2507210000000004</v>
      </c>
      <c r="AB48" s="274">
        <f>IF(parameters!$B$33="B",'price scenario B'!AB42,IF(parameters!$B$33="C",'price scenario C'!AB42,'price scenario A'!AB42))</f>
        <v>4.2451860000000003</v>
      </c>
      <c r="AC48" s="274">
        <f>IF(parameters!$B$33="B",'price scenario B'!AC42,IF(parameters!$B$33="C",'price scenario C'!AC42,'price scenario A'!AC42))</f>
        <v>4.3918699999999999</v>
      </c>
      <c r="AD48" s="274">
        <f>IF(parameters!$B$33="B",'price scenario B'!AD42,IF(parameters!$B$33="C",'price scenario C'!AD42,'price scenario A'!AD42))</f>
        <v>4.4640209999999998</v>
      </c>
      <c r="AE48" s="274">
        <f>IF(parameters!$B$33="B",'price scenario B'!AE42,IF(parameters!$B$33="C",'price scenario C'!AE42,'price scenario A'!AE42))</f>
        <v>4.5215240000000003</v>
      </c>
      <c r="AF48" s="274">
        <f>IF(parameters!$B$33="B",'price scenario B'!AF42,IF(parameters!$B$33="C",'price scenario C'!AF42,'price scenario A'!AF42))</f>
        <v>4.5818950000000003</v>
      </c>
      <c r="AG48" s="274">
        <f>IF(parameters!$B$33="B",'price scenario B'!AG42,IF(parameters!$B$33="C",'price scenario C'!AG42,'price scenario A'!AG42))</f>
        <v>4.6243980000000002</v>
      </c>
      <c r="AH48" s="274">
        <f>IF(parameters!$B$33="B",'price scenario B'!AH42,IF(parameters!$B$33="C",'price scenario C'!AH42,'price scenario A'!AH42))</f>
        <v>4.6344630000000002</v>
      </c>
      <c r="AI48" s="274">
        <f>IF(parameters!$B$33="B",'price scenario B'!AI42,IF(parameters!$B$33="C",'price scenario C'!AI42,'price scenario A'!AI42))</f>
        <v>4.6746629999999998</v>
      </c>
      <c r="AJ48" s="274">
        <f>IF(parameters!$B$33="B",'price scenario B'!AJ42,IF(parameters!$B$33="C",'price scenario C'!AJ42,'price scenario A'!AJ42))</f>
        <v>4.7027809999999999</v>
      </c>
      <c r="AK48" s="274">
        <f>IF(parameters!$B$33="B",'price scenario B'!AK42,IF(parameters!$B$33="C",'price scenario C'!AK42,'price scenario A'!AK42))</f>
        <v>4.7968200000000003</v>
      </c>
      <c r="AL48" s="274">
        <f>IF(parameters!$B$33="B",'price scenario B'!AL42,IF(parameters!$B$33="C",'price scenario C'!AL42,'price scenario A'!AL42))</f>
        <v>4.7838029999999998</v>
      </c>
      <c r="AM48" s="274">
        <f>IF(parameters!$B$33="B",'price scenario B'!AM42,IF(parameters!$B$33="C",'price scenario C'!AM42,'price scenario A'!AM42))</f>
        <v>4.8437279999999996</v>
      </c>
      <c r="AN48" s="274">
        <f>IF(parameters!$B$33="B",'price scenario B'!AN42,IF(parameters!$B$33="C",'price scenario C'!AN42,'price scenario A'!AN42))</f>
        <v>4.9122680000000001</v>
      </c>
      <c r="AO48" s="274">
        <f>IF(parameters!$B$33="B",'price scenario B'!AO42,IF(parameters!$B$33="C",'price scenario C'!AO42,'price scenario A'!AO42))</f>
        <v>5.0426489999999999</v>
      </c>
      <c r="AP48" s="274">
        <f>IF(parameters!$B$33="B",'price scenario B'!AP42,IF(parameters!$B$33="C",'price scenario C'!AP42,'price scenario A'!AP42))</f>
        <v>5.151084</v>
      </c>
      <c r="AQ48" s="274">
        <f>IF(parameters!$B$33="B",'price scenario B'!AQ42,IF(parameters!$B$33="C",'price scenario C'!AQ42,'price scenario A'!AQ42))</f>
        <v>5.2509100000000002</v>
      </c>
      <c r="AR48" s="274">
        <f>IF(parameters!$B$33="B",'price scenario B'!AR42,IF(parameters!$B$33="C",'price scenario C'!AR42,'price scenario A'!AR42))</f>
        <v>5.3633059999999997</v>
      </c>
      <c r="AS48" s="274">
        <f>IF(parameters!$B$33="B",'price scenario B'!AS42,IF(parameters!$B$33="C",'price scenario C'!AS42,'price scenario A'!AS42))</f>
        <v>5.554729</v>
      </c>
      <c r="AT48" s="274">
        <f>IF(parameters!$B$33="B",'price scenario B'!AT42,IF(parameters!$B$33="C",'price scenario C'!AT42,'price scenario A'!AT42))</f>
        <v>5.672034</v>
      </c>
      <c r="AU48" s="274">
        <f>IF(parameters!$B$33="B",'price scenario B'!AU42,IF(parameters!$B$33="C",'price scenario C'!AU42,'price scenario A'!AU42))</f>
        <v>5.7768170000000003</v>
      </c>
    </row>
    <row r="49" spans="1:53">
      <c r="A49" s="40" t="s">
        <v>39</v>
      </c>
      <c r="B49" s="274">
        <f>IF(parameters!$B$33="B",'price scenario B'!B43,IF(parameters!$B$33="C",'price scenario C'!B43,'price scenario A'!B43))</f>
        <v>1.7320665011297836</v>
      </c>
      <c r="C49" s="274">
        <f>IF(parameters!$B$33="B",'price scenario B'!C43,IF(parameters!$B$33="C",'price scenario C'!C43,'price scenario A'!C43))</f>
        <v>1.9023175526905256</v>
      </c>
      <c r="D49" s="274">
        <f>IF(parameters!$B$33="B",'price scenario B'!D43,IF(parameters!$B$33="C",'price scenario C'!D43,'price scenario A'!D43))</f>
        <v>2.1303159268487466</v>
      </c>
      <c r="E49" s="274">
        <f>IF(parameters!$B$33="B",'price scenario B'!E43,IF(parameters!$B$33="C",'price scenario C'!E43,'price scenario A'!E43))</f>
        <v>2.6336036357309429</v>
      </c>
      <c r="F49" s="274">
        <f>IF(parameters!$B$33="B",'price scenario B'!F43,IF(parameters!$B$33="C",'price scenario C'!F43,'price scenario A'!F43))</f>
        <v>2.7189923274487202</v>
      </c>
      <c r="G49" s="274">
        <f>IF(parameters!$B$33="B",'price scenario B'!G43,IF(parameters!$B$33="C",'price scenario C'!G43,'price scenario A'!G43))</f>
        <v>1.8096479999999999</v>
      </c>
      <c r="H49" s="274">
        <f>IF(parameters!$B$33="B",'price scenario B'!H43,IF(parameters!$B$33="C",'price scenario C'!H43,'price scenario A'!H43))</f>
        <v>2.0108612675999997</v>
      </c>
      <c r="I49" s="274">
        <f>IF(parameters!$B$33="B",'price scenario B'!I43,IF(parameters!$B$33="C",'price scenario C'!I43,'price scenario A'!I43))</f>
        <v>2.3022747970566209</v>
      </c>
      <c r="J49" s="274">
        <f>IF(parameters!$B$33="B",'price scenario B'!J43,IF(parameters!$B$33="C",'price scenario C'!J43,'price scenario A'!J43))</f>
        <v>2.4534220395104436</v>
      </c>
      <c r="K49" s="274">
        <f>IF(parameters!$B$33="B",'price scenario B'!K43,IF(parameters!$B$33="C",'price scenario C'!K43,'price scenario A'!K43))</f>
        <v>2.5854695042381763</v>
      </c>
      <c r="L49" s="274">
        <f>IF(parameters!$B$33="B",'price scenario B'!L43,IF(parameters!$B$33="C",'price scenario C'!L43,'price scenario A'!L43))</f>
        <v>2.4027795829736083</v>
      </c>
      <c r="M49" s="274">
        <f>IF(parameters!$B$33="B",'price scenario B'!M43,IF(parameters!$B$33="C",'price scenario C'!M43,'price scenario A'!M43))</f>
        <v>2.1810099116212669</v>
      </c>
      <c r="N49" s="274">
        <f>IF(parameters!$B$33="B",'price scenario B'!N43,IF(parameters!$B$33="C",'price scenario C'!N43,'price scenario A'!N43))</f>
        <v>2.1175993834499995</v>
      </c>
      <c r="O49" s="274">
        <f>IF(parameters!$B$33="B",'price scenario B'!O43,IF(parameters!$B$33="C",'price scenario C'!O43,'price scenario A'!O43))</f>
        <v>2.115135</v>
      </c>
      <c r="P49" s="274">
        <f>IF(parameters!$B$33="B",'price scenario B'!P43,IF(parameters!$B$33="C",'price scenario C'!P43,'price scenario A'!P43))</f>
        <v>2.0839189999999999</v>
      </c>
      <c r="Q49" s="274">
        <f>IF(parameters!$B$33="B",'price scenario B'!Q43,IF(parameters!$B$33="C",'price scenario C'!Q43,'price scenario A'!Q43))</f>
        <v>2.1097239999999999</v>
      </c>
      <c r="R49" s="274">
        <f>IF(parameters!$B$33="B",'price scenario B'!R43,IF(parameters!$B$33="C",'price scenario C'!R43,'price scenario A'!R43))</f>
        <v>2.1788180000000001</v>
      </c>
      <c r="S49" s="274">
        <f>IF(parameters!$B$33="B",'price scenario B'!S43,IF(parameters!$B$33="C",'price scenario C'!S43,'price scenario A'!S43))</f>
        <v>2.173702</v>
      </c>
      <c r="T49" s="274">
        <f>IF(parameters!$B$33="B",'price scenario B'!T43,IF(parameters!$B$33="C",'price scenario C'!T43,'price scenario A'!T43))</f>
        <v>2.1702279999999998</v>
      </c>
      <c r="U49" s="274">
        <f>IF(parameters!$B$33="B",'price scenario B'!U43,IF(parameters!$B$33="C",'price scenario C'!U43,'price scenario A'!U43))</f>
        <v>2.1746129999999999</v>
      </c>
      <c r="V49" s="274">
        <f>IF(parameters!$B$33="B",'price scenario B'!V43,IF(parameters!$B$33="C",'price scenario C'!V43,'price scenario A'!V43))</f>
        <v>2.182369</v>
      </c>
      <c r="W49" s="274">
        <f>IF(parameters!$B$33="B",'price scenario B'!W43,IF(parameters!$B$33="C",'price scenario C'!W43,'price scenario A'!W43))</f>
        <v>2.1846610000000002</v>
      </c>
      <c r="X49" s="274">
        <f>IF(parameters!$B$33="B",'price scenario B'!X43,IF(parameters!$B$33="C",'price scenario C'!X43,'price scenario A'!X43))</f>
        <v>2.1908029999999998</v>
      </c>
      <c r="Y49" s="274">
        <f>IF(parameters!$B$33="B",'price scenario B'!Y43,IF(parameters!$B$33="C",'price scenario C'!Y43,'price scenario A'!Y43))</f>
        <v>2.1875740000000001</v>
      </c>
      <c r="Z49" s="274">
        <f>IF(parameters!$B$33="B",'price scenario B'!Z43,IF(parameters!$B$33="C",'price scenario C'!Z43,'price scenario A'!Z43))</f>
        <v>2.198693</v>
      </c>
      <c r="AA49" s="274">
        <f>IF(parameters!$B$33="B",'price scenario B'!AA43,IF(parameters!$B$33="C",'price scenario C'!AA43,'price scenario A'!AA43))</f>
        <v>2.2079970000000002</v>
      </c>
      <c r="AB49" s="274">
        <f>IF(parameters!$B$33="B",'price scenario B'!AB43,IF(parameters!$B$33="C",'price scenario C'!AB43,'price scenario A'!AB43))</f>
        <v>2.2142819999999999</v>
      </c>
      <c r="AC49" s="274">
        <f>IF(parameters!$B$33="B",'price scenario B'!AC43,IF(parameters!$B$33="C",'price scenario C'!AC43,'price scenario A'!AC43))</f>
        <v>2.21488</v>
      </c>
      <c r="AD49" s="274">
        <f>IF(parameters!$B$33="B",'price scenario B'!AD43,IF(parameters!$B$33="C",'price scenario C'!AD43,'price scenario A'!AD43))</f>
        <v>2.2205430000000002</v>
      </c>
      <c r="AE49" s="274">
        <f>IF(parameters!$B$33="B",'price scenario B'!AE43,IF(parameters!$B$33="C",'price scenario C'!AE43,'price scenario A'!AE43))</f>
        <v>2.2202250000000001</v>
      </c>
      <c r="AF49" s="274">
        <f>IF(parameters!$B$33="B",'price scenario B'!AF43,IF(parameters!$B$33="C",'price scenario C'!AF43,'price scenario A'!AF43))</f>
        <v>2.2319819999999999</v>
      </c>
      <c r="AG49" s="274">
        <f>IF(parameters!$B$33="B",'price scenario B'!AG43,IF(parameters!$B$33="C",'price scenario C'!AG43,'price scenario A'!AG43))</f>
        <v>2.256062</v>
      </c>
      <c r="AH49" s="274">
        <f>IF(parameters!$B$33="B",'price scenario B'!AH43,IF(parameters!$B$33="C",'price scenario C'!AH43,'price scenario A'!AH43))</f>
        <v>2.2687249999999999</v>
      </c>
      <c r="AI49" s="274">
        <f>IF(parameters!$B$33="B",'price scenario B'!AI43,IF(parameters!$B$33="C",'price scenario C'!AI43,'price scenario A'!AI43))</f>
        <v>2.2840940000000001</v>
      </c>
      <c r="AJ49" s="274">
        <f>IF(parameters!$B$33="B",'price scenario B'!AJ43,IF(parameters!$B$33="C",'price scenario C'!AJ43,'price scenario A'!AJ43))</f>
        <v>2.3018879999999999</v>
      </c>
      <c r="AK49" s="274">
        <f>IF(parameters!$B$33="B",'price scenario B'!AK43,IF(parameters!$B$33="C",'price scenario C'!AK43,'price scenario A'!AK43))</f>
        <v>2.313434</v>
      </c>
      <c r="AL49" s="274">
        <f>IF(parameters!$B$33="B",'price scenario B'!AL43,IF(parameters!$B$33="C",'price scenario C'!AL43,'price scenario A'!AL43))</f>
        <v>2.3208730000000002</v>
      </c>
      <c r="AM49" s="274">
        <f>IF(parameters!$B$33="B",'price scenario B'!AM43,IF(parameters!$B$33="C",'price scenario C'!AM43,'price scenario A'!AM43))</f>
        <v>2.3302659999999999</v>
      </c>
      <c r="AN49" s="274">
        <f>IF(parameters!$B$33="B",'price scenario B'!AN43,IF(parameters!$B$33="C",'price scenario C'!AN43,'price scenario A'!AN43))</f>
        <v>2.3331529999999998</v>
      </c>
      <c r="AO49" s="274">
        <f>IF(parameters!$B$33="B",'price scenario B'!AO43,IF(parameters!$B$33="C",'price scenario C'!AO43,'price scenario A'!AO43))</f>
        <v>2.3344830000000001</v>
      </c>
      <c r="AP49" s="274">
        <f>IF(parameters!$B$33="B",'price scenario B'!AP43,IF(parameters!$B$33="C",'price scenario C'!AP43,'price scenario A'!AP43))</f>
        <v>2.339143</v>
      </c>
      <c r="AQ49" s="274">
        <f>IF(parameters!$B$33="B",'price scenario B'!AQ43,IF(parameters!$B$33="C",'price scenario C'!AQ43,'price scenario A'!AQ43))</f>
        <v>2.3411230000000001</v>
      </c>
      <c r="AR49" s="274">
        <f>IF(parameters!$B$33="B",'price scenario B'!AR43,IF(parameters!$B$33="C",'price scenario C'!AR43,'price scenario A'!AR43))</f>
        <v>2.3401860000000001</v>
      </c>
      <c r="AS49" s="274">
        <f>IF(parameters!$B$33="B",'price scenario B'!AS43,IF(parameters!$B$33="C",'price scenario C'!AS43,'price scenario A'!AS43))</f>
        <v>2.3441269999999998</v>
      </c>
      <c r="AT49" s="274">
        <f>IF(parameters!$B$33="B",'price scenario B'!AT43,IF(parameters!$B$33="C",'price scenario C'!AT43,'price scenario A'!AT43))</f>
        <v>2.3461530000000002</v>
      </c>
      <c r="AU49" s="274">
        <f>IF(parameters!$B$33="B",'price scenario B'!AU43,IF(parameters!$B$33="C",'price scenario C'!AU43,'price scenario A'!AU43))</f>
        <v>2.3493240000000002</v>
      </c>
    </row>
    <row r="50" spans="1:53" s="188" customFormat="1">
      <c r="A50" s="145" t="s">
        <v>1078</v>
      </c>
      <c r="B50" s="283"/>
      <c r="C50" s="283"/>
      <c r="D50" s="283"/>
      <c r="E50" s="283"/>
      <c r="F50" s="283"/>
      <c r="G50" s="283"/>
      <c r="H50" s="283"/>
      <c r="I50" s="283"/>
      <c r="J50" s="283"/>
      <c r="K50" s="283"/>
      <c r="L50" s="311"/>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c r="AW50"/>
      <c r="AX50"/>
      <c r="AY50"/>
      <c r="AZ50"/>
      <c r="BA50"/>
    </row>
    <row r="51" spans="1:53">
      <c r="A51" s="46" t="s">
        <v>426</v>
      </c>
      <c r="B51" s="312">
        <f>B49*'Baseline Consumption'!B89/1000</f>
        <v>17.966725816219245</v>
      </c>
      <c r="C51" s="312">
        <f>C49*'Baseline Consumption'!C89/1000</f>
        <v>19.69088898789963</v>
      </c>
      <c r="D51" s="312">
        <f>D49*'Baseline Consumption'!D89/1000</f>
        <v>22.102027741055746</v>
      </c>
      <c r="E51" s="312">
        <f>E49*'Baseline Consumption'!E89/1000</f>
        <v>27.331538531615728</v>
      </c>
      <c r="F51" s="312">
        <f>F49*'Baseline Consumption'!F89/1000</f>
        <v>28.315586098050971</v>
      </c>
      <c r="G51" s="312">
        <f>G49*'Baseline Consumption'!G89/1000</f>
        <v>18.847483919999998</v>
      </c>
      <c r="H51" s="312">
        <f>H49*'Baseline Consumption'!H89/1000</f>
        <v>21.001435078814396</v>
      </c>
      <c r="I51" s="312">
        <f>I49*'Baseline Consumption'!I89/1000</f>
        <v>24.169280819500408</v>
      </c>
      <c r="J51" s="312">
        <f>J49*'Baseline Consumption'!J89/1000</f>
        <v>25.660341111239731</v>
      </c>
      <c r="K51" s="312">
        <f>K49*'Baseline Consumption'!K89/1000</f>
        <v>26.961275990195702</v>
      </c>
      <c r="L51" s="312">
        <f>L49*'Baseline Consumption'!L89/1000</f>
        <v>25.21717172330802</v>
      </c>
      <c r="M51" s="312">
        <f>M49*'Baseline Consumption'!M89/1000</f>
        <v>22.885337002641954</v>
      </c>
      <c r="N51" s="312">
        <f>N49*'Baseline Consumption'!N89/1000</f>
        <v>22.160677547804244</v>
      </c>
      <c r="O51" s="312">
        <f>O49*'Baseline Consumption'!O89/1000</f>
        <v>22.152654909000002</v>
      </c>
      <c r="P51" s="312">
        <f>P49*'Baseline Consumption'!P89/1000</f>
        <v>21.854058552999998</v>
      </c>
      <c r="Q51" s="312">
        <f>Q49*'Baseline Consumption'!Q89/1000</f>
        <v>22.138993581546671</v>
      </c>
      <c r="R51" s="312">
        <f>R49*'Baseline Consumption'!R89/1000</f>
        <v>22.840471624915562</v>
      </c>
      <c r="S51" s="312">
        <f>S49*'Baseline Consumption'!S89/1000</f>
        <v>22.796707131688301</v>
      </c>
      <c r="T51" s="312">
        <f>T49*'Baseline Consumption'!T89/1000</f>
        <v>22.779600255772053</v>
      </c>
      <c r="U51" s="312">
        <f>U49*'Baseline Consumption'!U89/1000</f>
        <v>22.82781964823209</v>
      </c>
      <c r="V51" s="312">
        <f>V49*'Baseline Consumption'!V89/1000</f>
        <v>22.908972947928611</v>
      </c>
      <c r="W51" s="312">
        <f>W49*'Baseline Consumption'!W89/1000</f>
        <v>22.937943413607229</v>
      </c>
      <c r="X51" s="312">
        <f>X49*'Baseline Consumption'!X89/1000</f>
        <v>23.014057576987984</v>
      </c>
      <c r="Y51" s="312">
        <f>Y49*'Baseline Consumption'!Y89/1000</f>
        <v>22.95206361893716</v>
      </c>
      <c r="Z51" s="312">
        <f>Z49*'Baseline Consumption'!Z89/1000</f>
        <v>23.08281725400483</v>
      </c>
      <c r="AA51" s="312">
        <f>AA49*'Baseline Consumption'!AA89/1000</f>
        <v>23.180494615842644</v>
      </c>
      <c r="AB51" s="312">
        <f>AB49*'Baseline Consumption'!AB89/1000</f>
        <v>23.246477227531226</v>
      </c>
      <c r="AC51" s="312">
        <f>AC49*'Baseline Consumption'!AC89/1000</f>
        <v>23.252755286686327</v>
      </c>
      <c r="AD51" s="312">
        <f>AD49*'Baseline Consumption'!AD89/1000</f>
        <v>23.312207876979482</v>
      </c>
      <c r="AE51" s="312">
        <f>AE49*'Baseline Consumption'!AE89/1000</f>
        <v>23.308869377295</v>
      </c>
      <c r="AF51" s="312">
        <f>AF49*'Baseline Consumption'!AF89/1000</f>
        <v>23.432299379780719</v>
      </c>
      <c r="AG51" s="312">
        <f>AG49*'Baseline Consumption'!AG89/1000</f>
        <v>23.68510149425347</v>
      </c>
      <c r="AH51" s="312">
        <f>AH49*'Baseline Consumption'!AH89/1000</f>
        <v>23.818043071311958</v>
      </c>
      <c r="AI51" s="312">
        <f>AI49*'Baseline Consumption'!AI89/1000</f>
        <v>23.979393390968593</v>
      </c>
      <c r="AJ51" s="312">
        <f>AJ49*'Baseline Consumption'!AJ89/1000</f>
        <v>24.166202395326071</v>
      </c>
      <c r="AK51" s="312">
        <f>AK49*'Baseline Consumption'!AK89/1000</f>
        <v>24.287417229782154</v>
      </c>
      <c r="AL51" s="312">
        <f>AL49*'Baseline Consumption'!AL89/1000</f>
        <v>24.365515025860343</v>
      </c>
      <c r="AM51" s="312">
        <f>AM49*'Baseline Consumption'!AM89/1000</f>
        <v>24.464126747672736</v>
      </c>
      <c r="AN51" s="312">
        <f>AN49*'Baseline Consumption'!AN89/1000</f>
        <v>24.494435705500099</v>
      </c>
      <c r="AO51" s="312">
        <f>AO49*'Baseline Consumption'!AO89/1000</f>
        <v>24.508398612985516</v>
      </c>
      <c r="AP51" s="312">
        <f>AP49*'Baseline Consumption'!AP89/1000</f>
        <v>24.557321281317865</v>
      </c>
      <c r="AQ51" s="312">
        <f>AQ49*'Baseline Consumption'!AQ89/1000</f>
        <v>24.578108166145771</v>
      </c>
      <c r="AR51" s="312">
        <f>AR49*'Baseline Consumption'!AR89/1000</f>
        <v>24.5682711403459</v>
      </c>
      <c r="AS51" s="312">
        <f>AS49*'Baseline Consumption'!AS89/1000</f>
        <v>24.609645439894781</v>
      </c>
      <c r="AT51" s="312">
        <f>AT49*'Baseline Consumption'!AT89/1000</f>
        <v>24.630915252350007</v>
      </c>
      <c r="AU51" s="312">
        <f>AU49*'Baseline Consumption'!AU89/1000</f>
        <v>24.664205763354705</v>
      </c>
    </row>
    <row r="52" spans="1:53">
      <c r="A52" s="46" t="s">
        <v>469</v>
      </c>
      <c r="B52" s="312">
        <f>B48*'Baseline Consumption'!B90/1000</f>
        <v>75.75143298960424</v>
      </c>
      <c r="C52" s="312">
        <f>C48*'Baseline Consumption'!C90/1000</f>
        <v>61.150062778388644</v>
      </c>
      <c r="D52" s="312">
        <f>D48*'Baseline Consumption'!D90/1000</f>
        <v>61.893171695881861</v>
      </c>
      <c r="E52" s="312">
        <f>E48*'Baseline Consumption'!E90/1000</f>
        <v>73.809172601637968</v>
      </c>
      <c r="F52" s="312">
        <f>F48*'Baseline Consumption'!F90/1000</f>
        <v>39.269404129445981</v>
      </c>
      <c r="G52" s="312">
        <f>G48*'Baseline Consumption'!G90/1000</f>
        <v>40.342007004999999</v>
      </c>
      <c r="H52" s="312">
        <f>H48*'Baseline Consumption'!H90/1000</f>
        <v>40.424791408334393</v>
      </c>
      <c r="I52" s="312">
        <f>I48*'Baseline Consumption'!I90/1000</f>
        <v>35.538445805659443</v>
      </c>
      <c r="J52" s="312">
        <f>J48*'Baseline Consumption'!J90/1000</f>
        <v>42.074971544596835</v>
      </c>
      <c r="K52" s="312">
        <f>K48*'Baseline Consumption'!K90/1000</f>
        <v>46.551289055680577</v>
      </c>
      <c r="L52" s="312">
        <f>L48*'Baseline Consumption'!L90/1000</f>
        <v>29.429433325576806</v>
      </c>
      <c r="M52" s="312">
        <f>M48*'Baseline Consumption'!M90/1000</f>
        <v>24.852892233689705</v>
      </c>
      <c r="N52" s="312">
        <f>N48*'Baseline Consumption'!N90/1000</f>
        <v>27.445667115270592</v>
      </c>
      <c r="O52" s="312">
        <f>O48*'Baseline Consumption'!O90/1000</f>
        <v>26.879792698799989</v>
      </c>
      <c r="P52" s="312">
        <f>P48*'Baseline Consumption'!P90/1000</f>
        <v>25.861544074666604</v>
      </c>
      <c r="Q52" s="312">
        <f>Q48*'Baseline Consumption'!Q90/1000</f>
        <v>27.172815073693304</v>
      </c>
      <c r="R52" s="312">
        <f>R48*'Baseline Consumption'!R90/1000</f>
        <v>27.005671366020639</v>
      </c>
      <c r="S52" s="312">
        <f>S48*'Baseline Consumption'!S90/1000</f>
        <v>27.418873961299898</v>
      </c>
      <c r="T52" s="312">
        <f>T48*'Baseline Consumption'!T90/1000</f>
        <v>28.496395323804286</v>
      </c>
      <c r="U52" s="312">
        <f>U48*'Baseline Consumption'!U90/1000</f>
        <v>29.211830765592222</v>
      </c>
      <c r="V52" s="312">
        <f>V48*'Baseline Consumption'!V90/1000</f>
        <v>31.075463084930842</v>
      </c>
      <c r="W52" s="312">
        <f>W48*'Baseline Consumption'!W90/1000</f>
        <v>31.777176726882857</v>
      </c>
      <c r="X52" s="312">
        <f>X48*'Baseline Consumption'!X90/1000</f>
        <v>31.324529226849542</v>
      </c>
      <c r="Y52" s="312">
        <f>Y48*'Baseline Consumption'!Y90/1000</f>
        <v>32.49910146076661</v>
      </c>
      <c r="Z52" s="312">
        <f>Z48*'Baseline Consumption'!Z90/1000</f>
        <v>31.991316838925083</v>
      </c>
      <c r="AA52" s="312">
        <f>AA48*'Baseline Consumption'!AA90/1000</f>
        <v>31.981836773229343</v>
      </c>
      <c r="AB52" s="312">
        <f>AB48*'Baseline Consumption'!AB90/1000</f>
        <v>31.94019219892305</v>
      </c>
      <c r="AC52" s="312">
        <f>AC48*'Baseline Consumption'!AC90/1000</f>
        <v>33.043822323140652</v>
      </c>
      <c r="AD52" s="312">
        <f>AD48*'Baseline Consumption'!AD90/1000</f>
        <v>33.586676466008477</v>
      </c>
      <c r="AE52" s="312">
        <f>AE48*'Baseline Consumption'!AE90/1000</f>
        <v>34.019321083232477</v>
      </c>
      <c r="AF52" s="312">
        <f>AF48*'Baseline Consumption'!AF90/1000</f>
        <v>34.473544135706781</v>
      </c>
      <c r="AG52" s="312">
        <f>AG48*'Baseline Consumption'!AG90/1000</f>
        <v>34.793330827981471</v>
      </c>
      <c r="AH52" s="312">
        <f>AH48*'Baseline Consumption'!AH90/1000</f>
        <v>34.869058495622454</v>
      </c>
      <c r="AI52" s="312">
        <f>AI48*'Baseline Consumption'!AI90/1000</f>
        <v>35.171517734486592</v>
      </c>
      <c r="AJ52" s="312">
        <f>AJ48*'Baseline Consumption'!AJ90/1000</f>
        <v>35.383073676734902</v>
      </c>
      <c r="AK52" s="312">
        <f>AK48*'Baseline Consumption'!AK90/1000</f>
        <v>36.090610103688753</v>
      </c>
      <c r="AL52" s="312">
        <f>AL48*'Baseline Consumption'!AL90/1000</f>
        <v>35.992671996417748</v>
      </c>
      <c r="AM52" s="312">
        <f>AM48*'Baseline Consumption'!AM90/1000</f>
        <v>36.443539406590219</v>
      </c>
      <c r="AN52" s="312">
        <f>AN48*'Baseline Consumption'!AN90/1000</f>
        <v>36.959224884991926</v>
      </c>
      <c r="AO52" s="312">
        <f>AO48*'Baseline Consumption'!AO90/1000</f>
        <v>37.940193492512954</v>
      </c>
      <c r="AP52" s="312">
        <f>AP48*'Baseline Consumption'!AP90/1000</f>
        <v>38.756043431971491</v>
      </c>
      <c r="AQ52" s="312">
        <f>AQ48*'Baseline Consumption'!AQ90/1000</f>
        <v>39.507120446370791</v>
      </c>
      <c r="AR52" s="312">
        <f>AR48*'Baseline Consumption'!AR90/1000</f>
        <v>40.352772401877601</v>
      </c>
      <c r="AS52" s="312">
        <f>AS48*'Baseline Consumption'!AS90/1000</f>
        <v>41.793012573049012</v>
      </c>
      <c r="AT52" s="312">
        <f>AT48*'Baseline Consumption'!AT90/1000</f>
        <v>42.675599165460902</v>
      </c>
      <c r="AU52" s="312">
        <f>AU48*'Baseline Consumption'!AU90/1000</f>
        <v>43.463971962125115</v>
      </c>
    </row>
    <row r="53" spans="1:53">
      <c r="A53" s="46" t="s">
        <v>998</v>
      </c>
      <c r="B53" s="312">
        <f>B48*'Baseline Consumption'!B90/1000</f>
        <v>75.75143298960424</v>
      </c>
      <c r="C53" s="312">
        <f>C48*'Baseline Consumption'!C90/1000</f>
        <v>61.150062778388644</v>
      </c>
      <c r="D53" s="312">
        <f>D48*'Baseline Consumption'!D90/1000</f>
        <v>61.893171695881861</v>
      </c>
      <c r="E53" s="312">
        <f>E48*'Baseline Consumption'!E90/1000</f>
        <v>73.809172601637968</v>
      </c>
      <c r="F53" s="312">
        <f>F48*'Baseline Consumption'!F90/1000</f>
        <v>39.269404129445981</v>
      </c>
      <c r="G53" s="312">
        <f>G48*'Baseline Consumption'!G90/1000</f>
        <v>40.342007004999999</v>
      </c>
      <c r="H53" s="312">
        <f>H48*'Baseline Consumption'!H90/1000</f>
        <v>40.424791408334393</v>
      </c>
      <c r="I53" s="312">
        <f>I48*'Baseline Consumption'!I90/1000</f>
        <v>35.538445805659443</v>
      </c>
      <c r="J53" s="312">
        <f>J48*'Baseline Consumption'!J90/1000</f>
        <v>42.074971544596835</v>
      </c>
      <c r="K53" s="312">
        <f>K48*'Baseline Consumption'!K90/1000</f>
        <v>46.551289055680577</v>
      </c>
      <c r="L53" s="312">
        <f>L48*'Baseline Consumption'!L90/1000</f>
        <v>29.429433325576806</v>
      </c>
      <c r="M53" s="312">
        <f>M48*'Baseline Consumption'!M90/1000</f>
        <v>24.852892233689705</v>
      </c>
      <c r="N53" s="312">
        <f>N48*'Baseline Consumption'!N90/1000</f>
        <v>27.445667115270592</v>
      </c>
      <c r="O53" s="312">
        <f>O48*'Baseline Consumption'!O90/1000</f>
        <v>26.879792698799989</v>
      </c>
      <c r="P53" s="312">
        <f>P48*'Baseline Consumption'!P90/1000</f>
        <v>25.861544074666604</v>
      </c>
      <c r="Q53" s="312">
        <f>Q48*'Baseline Consumption'!Q90/1000</f>
        <v>27.172815073693304</v>
      </c>
      <c r="R53" s="312">
        <f>R48*'Baseline Consumption'!R90/1000</f>
        <v>27.005671366020639</v>
      </c>
      <c r="S53" s="312">
        <f>S48*'Baseline Consumption'!S90/1000</f>
        <v>27.418873961299898</v>
      </c>
      <c r="T53" s="312">
        <f>T48*'Baseline Consumption'!T90/1000</f>
        <v>28.496395323804286</v>
      </c>
      <c r="U53" s="312">
        <f>U48*'Baseline Consumption'!U90/1000</f>
        <v>29.211830765592222</v>
      </c>
      <c r="V53" s="312">
        <f>V48*'Baseline Consumption'!V90/1000</f>
        <v>31.075463084930842</v>
      </c>
      <c r="W53" s="312">
        <f>W48*'Baseline Consumption'!W90/1000</f>
        <v>31.777176726882857</v>
      </c>
      <c r="X53" s="312">
        <f>X48*'Baseline Consumption'!X90/1000</f>
        <v>31.324529226849542</v>
      </c>
      <c r="Y53" s="312">
        <f>Y48*'Baseline Consumption'!Y90/1000</f>
        <v>32.49910146076661</v>
      </c>
      <c r="Z53" s="312">
        <f>Z48*'Baseline Consumption'!Z90/1000</f>
        <v>31.991316838925083</v>
      </c>
      <c r="AA53" s="312">
        <f>AA48*'Baseline Consumption'!AA90/1000</f>
        <v>31.981836773229343</v>
      </c>
      <c r="AB53" s="312">
        <f>AB48*'Baseline Consumption'!AB90/1000</f>
        <v>31.94019219892305</v>
      </c>
      <c r="AC53" s="312">
        <f>AC48*'Baseline Consumption'!AC90/1000</f>
        <v>33.043822323140652</v>
      </c>
      <c r="AD53" s="312">
        <f>AD48*'Baseline Consumption'!AD90/1000</f>
        <v>33.586676466008477</v>
      </c>
      <c r="AE53" s="312">
        <f>AE48*'Baseline Consumption'!AE90/1000</f>
        <v>34.019321083232477</v>
      </c>
      <c r="AF53" s="312">
        <f>AF48*'Baseline Consumption'!AF90/1000</f>
        <v>34.473544135706781</v>
      </c>
      <c r="AG53" s="312">
        <f>AG48*'Baseline Consumption'!AG90/1000</f>
        <v>34.793330827981471</v>
      </c>
      <c r="AH53" s="312">
        <f>AH48*'Baseline Consumption'!AH90/1000</f>
        <v>34.869058495622454</v>
      </c>
      <c r="AI53" s="312">
        <f>AI48*'Baseline Consumption'!AI90/1000</f>
        <v>35.171517734486592</v>
      </c>
      <c r="AJ53" s="312">
        <f>AJ48*'Baseline Consumption'!AJ90/1000</f>
        <v>35.383073676734902</v>
      </c>
      <c r="AK53" s="312">
        <f>AK48*'Baseline Consumption'!AK90/1000</f>
        <v>36.090610103688753</v>
      </c>
      <c r="AL53" s="312">
        <f>AL48*'Baseline Consumption'!AL90/1000</f>
        <v>35.992671996417748</v>
      </c>
      <c r="AM53" s="312">
        <f>AM48*'Baseline Consumption'!AM90/1000</f>
        <v>36.443539406590219</v>
      </c>
      <c r="AN53" s="312">
        <f>AN48*'Baseline Consumption'!AN90/1000</f>
        <v>36.959224884991926</v>
      </c>
      <c r="AO53" s="312">
        <f>AO48*'Baseline Consumption'!AO90/1000</f>
        <v>37.940193492512954</v>
      </c>
      <c r="AP53" s="312">
        <f>AP48*'Baseline Consumption'!AP90/1000</f>
        <v>38.756043431971491</v>
      </c>
      <c r="AQ53" s="312">
        <f>AQ48*'Baseline Consumption'!AQ90/1000</f>
        <v>39.507120446370791</v>
      </c>
      <c r="AR53" s="312">
        <f>AR48*'Baseline Consumption'!AR90/1000</f>
        <v>40.352772401877601</v>
      </c>
      <c r="AS53" s="312">
        <f>AS48*'Baseline Consumption'!AS90/1000</f>
        <v>41.793012573049012</v>
      </c>
      <c r="AT53" s="312">
        <f>AT48*'Baseline Consumption'!AT90/1000</f>
        <v>42.675599165460902</v>
      </c>
      <c r="AU53" s="312">
        <f>AU48*'Baseline Consumption'!AU90/1000</f>
        <v>43.463971962125115</v>
      </c>
    </row>
    <row r="54" spans="1:53">
      <c r="A54" s="46" t="s">
        <v>425</v>
      </c>
      <c r="B54" s="312">
        <f>B47*'Baseline Consumption'!B91/1000</f>
        <v>130.6595447093226</v>
      </c>
      <c r="C54" s="312">
        <f>C47*'Baseline Consumption'!C91/1000</f>
        <v>149.08411844797183</v>
      </c>
      <c r="D54" s="312">
        <f>D47*'Baseline Consumption'!D91/1000</f>
        <v>160.70562526023417</v>
      </c>
      <c r="E54" s="312">
        <f>E47*'Baseline Consumption'!E91/1000</f>
        <v>259.1634148556127</v>
      </c>
      <c r="F54" s="312">
        <f>F47*'Baseline Consumption'!F91/1000</f>
        <v>157.13930634089584</v>
      </c>
      <c r="G54" s="312">
        <f>G47*'Baseline Consumption'!G91/1000</f>
        <v>217.62324528482614</v>
      </c>
      <c r="H54" s="312">
        <f>H47*'Baseline Consumption'!H91/1000</f>
        <v>290.6579657393587</v>
      </c>
      <c r="I54" s="312">
        <f>I47*'Baseline Consumption'!I91/1000</f>
        <v>336.53127242649464</v>
      </c>
      <c r="J54" s="312">
        <f>J47*'Baseline Consumption'!J91/1000</f>
        <v>303.10885053067261</v>
      </c>
      <c r="K54" s="312">
        <f>K47*'Baseline Consumption'!K91/1000</f>
        <v>250.38275431529786</v>
      </c>
      <c r="L54" s="312">
        <f>L47*'Baseline Consumption'!L91/1000</f>
        <v>155.5668217811091</v>
      </c>
      <c r="M54" s="312">
        <f>M47*'Baseline Consumption'!M91/1000</f>
        <v>129.38607445115582</v>
      </c>
      <c r="N54" s="312">
        <f>N47*'Baseline Consumption'!N91/1000</f>
        <v>155.32032377275729</v>
      </c>
      <c r="O54" s="312">
        <f>O47*'Baseline Consumption'!O91/1000</f>
        <v>170.23272878519998</v>
      </c>
      <c r="P54" s="312">
        <f>P47*'Baseline Consumption'!P91/1000</f>
        <v>170.91488959075556</v>
      </c>
      <c r="Q54" s="312">
        <f>Q47*'Baseline Consumption'!Q91/1000</f>
        <v>170.96084260939261</v>
      </c>
      <c r="R54" s="312">
        <f>R47*'Baseline Consumption'!R91/1000</f>
        <v>169.71422773412249</v>
      </c>
      <c r="S54" s="312">
        <f>S47*'Baseline Consumption'!S91/1000</f>
        <v>165.81452417767969</v>
      </c>
      <c r="T54" s="312">
        <f>T47*'Baseline Consumption'!T91/1000</f>
        <v>166.37414992145821</v>
      </c>
      <c r="U54" s="312">
        <f>U47*'Baseline Consumption'!U91/1000</f>
        <v>169.08503015265089</v>
      </c>
      <c r="V54" s="312">
        <f>V47*'Baseline Consumption'!V91/1000</f>
        <v>171.42271410814058</v>
      </c>
      <c r="W54" s="312">
        <f>W47*'Baseline Consumption'!W91/1000</f>
        <v>175.82730107862292</v>
      </c>
      <c r="X54" s="312">
        <f>X47*'Baseline Consumption'!X91/1000</f>
        <v>181.7579261025848</v>
      </c>
      <c r="Y54" s="312">
        <f>Y47*'Baseline Consumption'!Y91/1000</f>
        <v>183.4863315245189</v>
      </c>
      <c r="Z54" s="312">
        <f>Z47*'Baseline Consumption'!Z91/1000</f>
        <v>188.23633568513713</v>
      </c>
      <c r="AA54" s="312">
        <f>AA47*'Baseline Consumption'!AA91/1000</f>
        <v>189.37584594143485</v>
      </c>
      <c r="AB54" s="312">
        <f>AB47*'Baseline Consumption'!AB91/1000</f>
        <v>191.54058957257149</v>
      </c>
      <c r="AC54" s="312">
        <f>AC47*'Baseline Consumption'!AC91/1000</f>
        <v>194.07969933081387</v>
      </c>
      <c r="AD54" s="312">
        <f>AD47*'Baseline Consumption'!AD91/1000</f>
        <v>195.66192965790171</v>
      </c>
      <c r="AE54" s="312">
        <f>AE47*'Baseline Consumption'!AE91/1000</f>
        <v>196.7104817522046</v>
      </c>
      <c r="AF54" s="312">
        <f>AF47*'Baseline Consumption'!AF91/1000</f>
        <v>198.69606963199004</v>
      </c>
      <c r="AG54" s="312">
        <f>AG47*'Baseline Consumption'!AG91/1000</f>
        <v>201.63322148737907</v>
      </c>
      <c r="AH54" s="312">
        <f>AH47*'Baseline Consumption'!AH91/1000</f>
        <v>203.10698837421148</v>
      </c>
      <c r="AI54" s="312">
        <f>AI47*'Baseline Consumption'!AI91/1000</f>
        <v>203.86278985953268</v>
      </c>
      <c r="AJ54" s="312">
        <f>AJ47*'Baseline Consumption'!AJ91/1000</f>
        <v>205.25032944806838</v>
      </c>
      <c r="AK54" s="312">
        <f>AK47*'Baseline Consumption'!AK91/1000</f>
        <v>206.26718367301626</v>
      </c>
      <c r="AL54" s="312">
        <f>AL47*'Baseline Consumption'!AL91/1000</f>
        <v>207.30175969172583</v>
      </c>
      <c r="AM54" s="312">
        <f>AM47*'Baseline Consumption'!AM91/1000</f>
        <v>210.73986346191469</v>
      </c>
      <c r="AN54" s="312">
        <f>AN47*'Baseline Consumption'!AN91/1000</f>
        <v>210.85916350299814</v>
      </c>
      <c r="AO54" s="312">
        <f>AO47*'Baseline Consumption'!AO91/1000</f>
        <v>209.71496568610249</v>
      </c>
      <c r="AP54" s="312">
        <f>AP47*'Baseline Consumption'!AP91/1000</f>
        <v>209.83386517350897</v>
      </c>
      <c r="AQ54" s="312">
        <f>AQ47*'Baseline Consumption'!AQ91/1000</f>
        <v>209.88943387685575</v>
      </c>
      <c r="AR54" s="312">
        <f>AR47*'Baseline Consumption'!AR91/1000</f>
        <v>210.20863185429178</v>
      </c>
      <c r="AS54" s="312">
        <f>AS47*'Baseline Consumption'!AS91/1000</f>
        <v>210.43110153162974</v>
      </c>
      <c r="AT54" s="312">
        <f>AT47*'Baseline Consumption'!AT91/1000</f>
        <v>210.0999410727602</v>
      </c>
      <c r="AU54" s="312">
        <f>AU47*'Baseline Consumption'!AU91/1000</f>
        <v>210.16543701183051</v>
      </c>
    </row>
    <row r="55" spans="1:53">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row>
    <row r="56" spans="1:53" customFormat="1"/>
    <row r="57" spans="1:53" customFormat="1"/>
    <row r="58" spans="1:53" customFormat="1"/>
    <row r="59" spans="1:53" customFormat="1"/>
    <row r="60" spans="1:53" customFormat="1"/>
    <row r="61" spans="1:53" customFormat="1"/>
    <row r="62" spans="1:53" customFormat="1"/>
    <row r="63" spans="1:53" customFormat="1"/>
    <row r="64" spans="1:53" ht="13">
      <c r="L64" s="178"/>
      <c r="M64" s="178"/>
      <c r="R64" s="189"/>
      <c r="S64" s="189"/>
      <c r="T64" s="189"/>
      <c r="U64" s="189"/>
    </row>
  </sheetData>
  <phoneticPr fontId="7"/>
  <hyperlinks>
    <hyperlink ref="D1" location="Cover!B16" display="return to TOC"/>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B106"/>
  <sheetViews>
    <sheetView workbookViewId="0">
      <pane xSplit="1" ySplit="7" topLeftCell="Z41" activePane="bottomRight" state="frozen"/>
      <selection pane="topRight" activeCell="B1" sqref="B1"/>
      <selection pane="bottomLeft" activeCell="A8" sqref="A8"/>
      <selection pane="bottomRight" activeCell="AU63" sqref="AU63"/>
    </sheetView>
  </sheetViews>
  <sheetFormatPr defaultColWidth="9.33203125" defaultRowHeight="12"/>
  <cols>
    <col min="1" max="1" width="31" style="40" customWidth="1"/>
    <col min="2" max="11" width="8.88671875" style="40" customWidth="1"/>
    <col min="12" max="16" width="8.88671875" customWidth="1"/>
    <col min="17" max="47" width="8.88671875" style="40" customWidth="1"/>
    <col min="48" max="16384" width="9.33203125" style="40"/>
  </cols>
  <sheetData>
    <row r="1" spans="1:47" s="280" customFormat="1" ht="26.15" customHeight="1">
      <c r="A1" s="281" t="s">
        <v>53</v>
      </c>
      <c r="D1" s="295" t="s">
        <v>1216</v>
      </c>
      <c r="I1" s="44"/>
      <c r="J1" s="165"/>
    </row>
    <row r="2" spans="1:47" s="280" customFormat="1" ht="12.9" customHeight="1">
      <c r="A2" s="43" t="s">
        <v>359</v>
      </c>
      <c r="B2" s="41" t="s">
        <v>1219</v>
      </c>
      <c r="I2" s="44"/>
      <c r="J2" s="165"/>
    </row>
    <row r="3" spans="1:47" s="280" customFormat="1" ht="12.9" customHeight="1">
      <c r="A3" s="43" t="s">
        <v>360</v>
      </c>
      <c r="B3" s="41" t="s">
        <v>1220</v>
      </c>
      <c r="I3" s="44"/>
      <c r="J3" s="165"/>
    </row>
    <row r="4" spans="1:47" s="280" customFormat="1" ht="12.9" customHeight="1">
      <c r="A4" s="43" t="s">
        <v>357</v>
      </c>
      <c r="B4" s="41" t="s">
        <v>313</v>
      </c>
      <c r="H4" s="178"/>
      <c r="I4" s="44"/>
      <c r="J4" s="165"/>
    </row>
    <row r="5" spans="1:47" s="280" customFormat="1" ht="12.9" customHeight="1">
      <c r="B5" s="280" t="s">
        <v>19</v>
      </c>
      <c r="D5" s="280" t="s">
        <v>19</v>
      </c>
      <c r="E5" s="280" t="s">
        <v>19</v>
      </c>
      <c r="F5" s="280" t="s">
        <v>19</v>
      </c>
      <c r="G5" s="280" t="s">
        <v>19</v>
      </c>
      <c r="I5" s="44"/>
      <c r="J5" s="165"/>
    </row>
    <row r="6" spans="1:47" s="5" customFormat="1" ht="13">
      <c r="A6" s="250" t="s">
        <v>76</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1"/>
    </row>
    <row r="7" spans="1:47" s="280" customFormat="1" ht="12.9" customHeight="1">
      <c r="A7" s="253" t="s">
        <v>6</v>
      </c>
      <c r="B7" s="253">
        <v>2005</v>
      </c>
      <c r="C7" s="253">
        <v>2006</v>
      </c>
      <c r="D7" s="253">
        <v>2007</v>
      </c>
      <c r="E7" s="253">
        <v>2008</v>
      </c>
      <c r="F7" s="253">
        <v>2009</v>
      </c>
      <c r="G7" s="253">
        <v>2010</v>
      </c>
      <c r="H7" s="253">
        <v>2011</v>
      </c>
      <c r="I7" s="253">
        <v>2012</v>
      </c>
      <c r="J7" s="253">
        <v>2013</v>
      </c>
      <c r="K7" s="253">
        <v>2014</v>
      </c>
      <c r="L7" s="253">
        <v>2015</v>
      </c>
      <c r="M7" s="253">
        <v>2016</v>
      </c>
      <c r="N7" s="253">
        <v>2017</v>
      </c>
      <c r="O7" s="253">
        <v>2018</v>
      </c>
      <c r="P7" s="253">
        <v>2019</v>
      </c>
      <c r="Q7" s="253">
        <v>2020</v>
      </c>
      <c r="R7" s="253">
        <v>2021</v>
      </c>
      <c r="S7" s="253">
        <v>2022</v>
      </c>
      <c r="T7" s="253">
        <v>2023</v>
      </c>
      <c r="U7" s="253">
        <v>2024</v>
      </c>
      <c r="V7" s="253">
        <v>2025</v>
      </c>
      <c r="W7" s="253">
        <v>2026</v>
      </c>
      <c r="X7" s="253">
        <v>2027</v>
      </c>
      <c r="Y7" s="253">
        <v>2028</v>
      </c>
      <c r="Z7" s="253">
        <v>2029</v>
      </c>
      <c r="AA7" s="253">
        <v>2030</v>
      </c>
      <c r="AB7" s="253">
        <v>2031</v>
      </c>
      <c r="AC7" s="253">
        <v>2032</v>
      </c>
      <c r="AD7" s="253">
        <v>2033</v>
      </c>
      <c r="AE7" s="253">
        <v>2034</v>
      </c>
      <c r="AF7" s="253">
        <v>2035</v>
      </c>
      <c r="AG7" s="253">
        <v>2036</v>
      </c>
      <c r="AH7" s="253">
        <v>2037</v>
      </c>
      <c r="AI7" s="253">
        <v>2038</v>
      </c>
      <c r="AJ7" s="253">
        <v>2039</v>
      </c>
      <c r="AK7" s="253">
        <v>2040</v>
      </c>
      <c r="AL7" s="253">
        <v>2041</v>
      </c>
      <c r="AM7" s="253">
        <v>2042</v>
      </c>
      <c r="AN7" s="253">
        <v>2043</v>
      </c>
      <c r="AO7" s="253">
        <v>2044</v>
      </c>
      <c r="AP7" s="253">
        <v>2045</v>
      </c>
      <c r="AQ7" s="253">
        <v>2046</v>
      </c>
      <c r="AR7" s="253">
        <v>2047</v>
      </c>
      <c r="AS7" s="253">
        <v>2048</v>
      </c>
      <c r="AT7" s="253">
        <v>2049</v>
      </c>
      <c r="AU7" s="253">
        <v>2050</v>
      </c>
    </row>
    <row r="8" spans="1:47" s="230" customFormat="1">
      <c r="A8" s="130" t="s">
        <v>22</v>
      </c>
      <c r="B8" s="313">
        <f>IF(parameters!$B$33="B",'consumption scenario B'!B7,IF(parameters!$B$33="C",'consumption scenario C'!B7,'consumption scenario A'!B7))</f>
        <v>5.8942762385447468E-3</v>
      </c>
      <c r="C8" s="313">
        <f>IF(parameters!$B$33="B",'consumption scenario B'!C7,IF(parameters!$B$33="C",'consumption scenario C'!C7,'consumption scenario A'!C7))</f>
        <v>6.2467946001240303E-3</v>
      </c>
      <c r="D8" s="313">
        <f>IF(parameters!$B$33="B",'consumption scenario B'!D7,IF(parameters!$B$33="C",'consumption scenario C'!D7,'consumption scenario A'!D7))</f>
        <v>7.438418335187668E-3</v>
      </c>
      <c r="E8" s="313">
        <f>IF(parameters!$B$33="B",'consumption scenario B'!E7,IF(parameters!$B$33="C",'consumption scenario C'!E7,'consumption scenario A'!E7))</f>
        <v>7.3868315449196285E-3</v>
      </c>
      <c r="F8" s="313">
        <f>IF(parameters!$B$33="B",'consumption scenario B'!F7,IF(parameters!$B$33="C",'consumption scenario C'!F7,'consumption scenario A'!F7))</f>
        <v>8.1507128623502095E-3</v>
      </c>
      <c r="G8" s="313">
        <f>IF(parameters!$B$33="B",'consumption scenario B'!G7,IF(parameters!$B$33="C",'consumption scenario C'!G7,'consumption scenario A'!G7))</f>
        <v>8.8649914968307545E-3</v>
      </c>
      <c r="H8" s="313">
        <f>IF(parameters!$B$33="B",'consumption scenario B'!H7,IF(parameters!$B$33="C",'consumption scenario C'!H7,'consumption scenario A'!H7))</f>
        <v>8.755865594340672E-3</v>
      </c>
      <c r="I8" s="313">
        <f>IF(parameters!$B$33="B",'consumption scenario B'!I7,IF(parameters!$B$33="C",'consumption scenario C'!I7,'consumption scenario A'!I7))</f>
        <v>6.7459648812051402E-3</v>
      </c>
      <c r="J8" s="313">
        <f>IF(parameters!$B$33="B",'consumption scenario B'!J7,IF(parameters!$B$33="C",'consumption scenario C'!J7,'consumption scenario A'!J7))</f>
        <v>5.5555004904042334E-3</v>
      </c>
      <c r="K8" s="313">
        <f>IF(parameters!$B$33="B",'consumption scenario B'!K7,IF(parameters!$B$33="C",'consumption scenario C'!K7,'consumption scenario A'!K7))</f>
        <v>6.0346624077015978E-3</v>
      </c>
      <c r="L8" s="313">
        <f>IF(parameters!$B$33="B",'consumption scenario B'!L7,IF(parameters!$B$33="C",'consumption scenario C'!L7,'consumption scenario A'!L7))</f>
        <v>6.9229472539708743E-3</v>
      </c>
      <c r="M8" s="313">
        <f>IF(parameters!$B$33="B",'consumption scenario B'!M7,IF(parameters!$B$33="C",'consumption scenario C'!M7,'consumption scenario A'!M7))</f>
        <v>6.9436813729269577E-3</v>
      </c>
      <c r="N8" s="313">
        <f>IF(parameters!$B$33="B",'consumption scenario B'!N7,IF(parameters!$B$33="C",'consumption scenario C'!N7,'consumption scenario A'!N7))</f>
        <v>5.783433359724143E-3</v>
      </c>
      <c r="O8" s="313">
        <f>IF(parameters!$B$33="B",'consumption scenario B'!O7,IF(parameters!$B$33="C",'consumption scenario C'!O7,'consumption scenario A'!O7))</f>
        <v>6.5909187589264697E-3</v>
      </c>
      <c r="P8" s="313">
        <f>IF(parameters!$B$33="B",'consumption scenario B'!P7,IF(parameters!$B$33="C",'consumption scenario C'!P7,'consumption scenario A'!P7))</f>
        <v>6.3105883594219035E-3</v>
      </c>
      <c r="Q8" s="313">
        <f>IF(parameters!$B$33="B",'consumption scenario B'!Q7,IF(parameters!$B$33="C",'consumption scenario C'!Q7,'consumption scenario A'!Q7))</f>
        <v>6.1163809419921581E-3</v>
      </c>
      <c r="R8" s="313">
        <f>IF(parameters!$B$33="B",'consumption scenario B'!R7,IF(parameters!$B$33="C",'consumption scenario C'!R7,'consumption scenario A'!R7))</f>
        <v>5.9556392344241506E-3</v>
      </c>
      <c r="S8" s="313">
        <f>IF(parameters!$B$33="B",'consumption scenario B'!S7,IF(parameters!$B$33="C",'consumption scenario C'!S7,'consumption scenario A'!S7))</f>
        <v>5.8159376524193739E-3</v>
      </c>
      <c r="T8" s="313">
        <f>IF(parameters!$B$33="B",'consumption scenario B'!T7,IF(parameters!$B$33="C",'consumption scenario C'!T7,'consumption scenario A'!T7))</f>
        <v>5.6942745367098866E-3</v>
      </c>
      <c r="U8" s="313">
        <f>IF(parameters!$B$33="B",'consumption scenario B'!U7,IF(parameters!$B$33="C",'consumption scenario C'!U7,'consumption scenario A'!U7))</f>
        <v>5.5825467369033065E-3</v>
      </c>
      <c r="V8" s="313">
        <f>IF(parameters!$B$33="B",'consumption scenario B'!V7,IF(parameters!$B$33="C",'consumption scenario C'!V7,'consumption scenario A'!V7))</f>
        <v>5.4817346199790909E-3</v>
      </c>
      <c r="W8" s="313">
        <f>IF(parameters!$B$33="B",'consumption scenario B'!W7,IF(parameters!$B$33="C",'consumption scenario C'!W7,'consumption scenario A'!W7))</f>
        <v>5.3870500878923262E-3</v>
      </c>
      <c r="X8" s="313">
        <f>IF(parameters!$B$33="B",'consumption scenario B'!X7,IF(parameters!$B$33="C",'consumption scenario C'!X7,'consumption scenario A'!X7))</f>
        <v>5.3040332794291132E-3</v>
      </c>
      <c r="Y8" s="313">
        <f>IF(parameters!$B$33="B",'consumption scenario B'!Y7,IF(parameters!$B$33="C",'consumption scenario C'!Y7,'consumption scenario A'!Y7))</f>
        <v>5.2359778637624541E-3</v>
      </c>
      <c r="Z8" s="313">
        <f>IF(parameters!$B$33="B",'consumption scenario B'!Z7,IF(parameters!$B$33="C",'consumption scenario C'!Z7,'consumption scenario A'!Z7))</f>
        <v>5.1491431868845054E-3</v>
      </c>
      <c r="AA8" s="313">
        <f>IF(parameters!$B$33="B",'consumption scenario B'!AA7,IF(parameters!$B$33="C",'consumption scenario C'!AA7,'consumption scenario A'!AA7))</f>
        <v>5.0879305016698923E-3</v>
      </c>
      <c r="AB8" s="313">
        <f>IF(parameters!$B$33="B",'consumption scenario B'!AB7,IF(parameters!$B$33="C",'consumption scenario C'!AB7,'consumption scenario A'!AB7))</f>
        <v>5.0394601999173396E-3</v>
      </c>
      <c r="AC8" s="313">
        <f>IF(parameters!$B$33="B",'consumption scenario B'!AC7,IF(parameters!$B$33="C",'consumption scenario C'!AC7,'consumption scenario A'!AC7))</f>
        <v>4.9988304470717053E-3</v>
      </c>
      <c r="AD8" s="313">
        <f>IF(parameters!$B$33="B",'consumption scenario B'!AD7,IF(parameters!$B$33="C",'consumption scenario C'!AD7,'consumption scenario A'!AD7))</f>
        <v>4.9618605086801798E-3</v>
      </c>
      <c r="AE8" s="313">
        <f>IF(parameters!$B$33="B",'consumption scenario B'!AE7,IF(parameters!$B$33="C",'consumption scenario C'!AE7,'consumption scenario A'!AE7))</f>
        <v>4.930245565687566E-3</v>
      </c>
      <c r="AF8" s="313">
        <f>IF(parameters!$B$33="B",'consumption scenario B'!AF7,IF(parameters!$B$33="C",'consumption scenario C'!AF7,'consumption scenario A'!AF7))</f>
        <v>4.9026680405009964E-3</v>
      </c>
      <c r="AG8" s="313">
        <f>IF(parameters!$B$33="B",'consumption scenario B'!AG7,IF(parameters!$B$33="C",'consumption scenario C'!AG7,'consumption scenario A'!AG7))</f>
        <v>4.8790893951239324E-3</v>
      </c>
      <c r="AH8" s="313">
        <f>IF(parameters!$B$33="B",'consumption scenario B'!AH7,IF(parameters!$B$33="C",'consumption scenario C'!AH7,'consumption scenario A'!AH7))</f>
        <v>4.8581372190093595E-3</v>
      </c>
      <c r="AI8" s="313">
        <f>IF(parameters!$B$33="B",'consumption scenario B'!AI7,IF(parameters!$B$33="C",'consumption scenario C'!AI7,'consumption scenario A'!AI7))</f>
        <v>4.8414632440420035E-3</v>
      </c>
      <c r="AJ8" s="313">
        <f>IF(parameters!$B$33="B",'consumption scenario B'!AJ7,IF(parameters!$B$33="C",'consumption scenario C'!AJ7,'consumption scenario A'!AJ7))</f>
        <v>4.8282495525616377E-3</v>
      </c>
      <c r="AK8" s="313">
        <f>IF(parameters!$B$33="B",'consumption scenario B'!AK7,IF(parameters!$B$33="C",'consumption scenario C'!AK7,'consumption scenario A'!AK7))</f>
        <v>4.8187327156034463E-3</v>
      </c>
      <c r="AL8" s="313">
        <f>IF(parameters!$B$33="B",'consumption scenario B'!AL7,IF(parameters!$B$33="C",'consumption scenario C'!AL7,'consumption scenario A'!AL7))</f>
        <v>4.8126485504073483E-3</v>
      </c>
      <c r="AM8" s="313">
        <f>IF(parameters!$B$33="B",'consumption scenario B'!AM7,IF(parameters!$B$33="C",'consumption scenario C'!AM7,'consumption scenario A'!AM7))</f>
        <v>4.8058913158750653E-3</v>
      </c>
      <c r="AN8" s="313">
        <f>IF(parameters!$B$33="B",'consumption scenario B'!AN7,IF(parameters!$B$33="C",'consumption scenario C'!AN7,'consumption scenario A'!AN7))</f>
        <v>4.8003865551966363E-3</v>
      </c>
      <c r="AO8" s="313">
        <f>IF(parameters!$B$33="B",'consumption scenario B'!AO7,IF(parameters!$B$33="C",'consumption scenario C'!AO7,'consumption scenario A'!AO7))</f>
        <v>4.7953317825101928E-3</v>
      </c>
      <c r="AP8" s="313">
        <f>IF(parameters!$B$33="B",'consumption scenario B'!AP7,IF(parameters!$B$33="C",'consumption scenario C'!AP7,'consumption scenario A'!AP7))</f>
        <v>4.7939688432499915E-3</v>
      </c>
      <c r="AQ8" s="313">
        <f>IF(parameters!$B$33="B",'consumption scenario B'!AQ7,IF(parameters!$B$33="C",'consumption scenario C'!AQ7,'consumption scenario A'!AQ7))</f>
        <v>4.7953562348023249E-3</v>
      </c>
      <c r="AR8" s="313">
        <f>IF(parameters!$B$33="B",'consumption scenario B'!AR7,IF(parameters!$B$33="C",'consumption scenario C'!AR7,'consumption scenario A'!AR7))</f>
        <v>4.7990275184574419E-3</v>
      </c>
      <c r="AS8" s="313">
        <f>IF(parameters!$B$33="B",'consumption scenario B'!AS7,IF(parameters!$B$33="C",'consumption scenario C'!AS7,'consumption scenario A'!AS7))</f>
        <v>4.8039822925324662E-3</v>
      </c>
      <c r="AT8" s="313">
        <f>IF(parameters!$B$33="B",'consumption scenario B'!AT7,IF(parameters!$B$33="C",'consumption scenario C'!AT7,'consumption scenario A'!AT7))</f>
        <v>4.8116587058175224E-3</v>
      </c>
      <c r="AU8" s="313">
        <f>IF(parameters!$B$33="B",'consumption scenario B'!AU7,IF(parameters!$B$33="C",'consumption scenario C'!AU7,'consumption scenario A'!AU7))</f>
        <v>4.8218394019192388E-3</v>
      </c>
    </row>
    <row r="9" spans="1:47" s="230" customFormat="1">
      <c r="A9" s="130" t="s">
        <v>54</v>
      </c>
      <c r="B9" s="313">
        <f>IF(parameters!$B$33="B",'consumption scenario B'!B8,IF(parameters!$B$33="C",'consumption scenario C'!B8,'consumption scenario A'!B8))</f>
        <v>5.8034862224497956E-4</v>
      </c>
      <c r="C9" s="313">
        <f>IF(parameters!$B$33="B",'consumption scenario B'!C8,IF(parameters!$B$33="C",'consumption scenario C'!C8,'consumption scenario A'!C8))</f>
        <v>6.231536076880495E-4</v>
      </c>
      <c r="D9" s="313">
        <f>IF(parameters!$B$33="B",'consumption scenario B'!D8,IF(parameters!$B$33="C",'consumption scenario C'!D8,'consumption scenario A'!D8))</f>
        <v>3.5001391495894139E-4</v>
      </c>
      <c r="E9" s="313">
        <f>IF(parameters!$B$33="B",'consumption scenario B'!E8,IF(parameters!$B$33="C",'consumption scenario C'!E8,'consumption scenario A'!E8))</f>
        <v>2.6297341758819938E-4</v>
      </c>
      <c r="F9" s="313">
        <f>IF(parameters!$B$33="B",'consumption scenario B'!F8,IF(parameters!$B$33="C",'consumption scenario C'!F8,'consumption scenario A'!F8))</f>
        <v>2.7778882139598525E-4</v>
      </c>
      <c r="G9" s="313">
        <f>IF(parameters!$B$33="B",'consumption scenario B'!G8,IF(parameters!$B$33="C",'consumption scenario C'!G8,'consumption scenario A'!G8))</f>
        <v>2.5186186473235997E-4</v>
      </c>
      <c r="H9" s="313">
        <f>IF(parameters!$B$33="B",'consumption scenario B'!H8,IF(parameters!$B$33="C",'consumption scenario C'!H8,'consumption scenario A'!H8))</f>
        <v>2.2037913164081496E-4</v>
      </c>
      <c r="I9" s="313">
        <f>IF(parameters!$B$33="B",'consumption scenario B'!I8,IF(parameters!$B$33="C",'consumption scenario C'!I8,'consumption scenario A'!I8))</f>
        <v>1.8519254759732348E-4</v>
      </c>
      <c r="J9" s="313">
        <f>IF(parameters!$B$33="B",'consumption scenario B'!J8,IF(parameters!$B$33="C",'consumption scenario C'!J8,'consumption scenario A'!J8))</f>
        <v>0</v>
      </c>
      <c r="K9" s="313">
        <f>IF(parameters!$B$33="B",'consumption scenario B'!K8,IF(parameters!$B$33="C",'consumption scenario C'!K8,'consumption scenario A'!K8))</f>
        <v>5.5187379184002392E-5</v>
      </c>
      <c r="L9" s="313">
        <f>IF(parameters!$B$33="B",'consumption scenario B'!L8,IF(parameters!$B$33="C",'consumption scenario C'!L8,'consumption scenario A'!L8))</f>
        <v>7.1113938277372215E-5</v>
      </c>
      <c r="M9" s="313">
        <f>IF(parameters!$B$33="B",'consumption scenario B'!M8,IF(parameters!$B$33="C",'consumption scenario C'!M8,'consumption scenario A'!M8))</f>
        <v>3.0731504072374513E-5</v>
      </c>
      <c r="N9" s="313">
        <f>IF(parameters!$B$33="B",'consumption scenario B'!N8,IF(parameters!$B$33="C",'consumption scenario C'!N8,'consumption scenario A'!N8))</f>
        <v>1.9748890306979102E-5</v>
      </c>
      <c r="O9" s="313">
        <f>IF(parameters!$B$33="B",'consumption scenario B'!O8,IF(parameters!$B$33="C",'consumption scenario C'!O8,'consumption scenario A'!O8))</f>
        <v>2.7517151868173095E-5</v>
      </c>
      <c r="P9" s="313">
        <f>IF(parameters!$B$33="B",'consumption scenario B'!P8,IF(parameters!$B$33="C",'consumption scenario C'!P8,'consumption scenario A'!P8))</f>
        <v>2.4728730501898353E-5</v>
      </c>
      <c r="Q9" s="313">
        <f>IF(parameters!$B$33="B",'consumption scenario B'!Q8,IF(parameters!$B$33="C",'consumption scenario C'!Q8,'consumption scenario A'!Q8))</f>
        <v>2.3669471773277677E-5</v>
      </c>
      <c r="R9" s="313">
        <f>IF(parameters!$B$33="B",'consumption scenario B'!R8,IF(parameters!$B$33="C",'consumption scenario C'!R8,'consumption scenario A'!R8))</f>
        <v>2.243326685347065E-5</v>
      </c>
      <c r="S9" s="313">
        <f>IF(parameters!$B$33="B",'consumption scenario B'!S8,IF(parameters!$B$33="C",'consumption scenario C'!S8,'consumption scenario A'!S8))</f>
        <v>2.1248985590055807E-5</v>
      </c>
      <c r="T9" s="313">
        <f>IF(parameters!$B$33="B",'consumption scenario B'!T8,IF(parameters!$B$33="C",'consumption scenario C'!T8,'consumption scenario A'!T8))</f>
        <v>2.0281590144307972E-5</v>
      </c>
      <c r="U9" s="313">
        <f>IF(parameters!$B$33="B",'consumption scenario B'!U8,IF(parameters!$B$33="C",'consumption scenario C'!U8,'consumption scenario A'!U8))</f>
        <v>1.9200021357764467E-5</v>
      </c>
      <c r="V9" s="313">
        <f>IF(parameters!$B$33="B",'consumption scenario B'!V8,IF(parameters!$B$33="C",'consumption scenario C'!V8,'consumption scenario A'!V8))</f>
        <v>1.8280507405607722E-5</v>
      </c>
      <c r="W9" s="313">
        <f>IF(parameters!$B$33="B",'consumption scenario B'!W8,IF(parameters!$B$33="C",'consumption scenario C'!W8,'consumption scenario A'!W8))</f>
        <v>1.7524889891578839E-5</v>
      </c>
      <c r="X9" s="313">
        <f>IF(parameters!$B$33="B",'consumption scenario B'!X8,IF(parameters!$B$33="C",'consumption scenario C'!X8,'consumption scenario A'!X8))</f>
        <v>1.6821732926443624E-5</v>
      </c>
      <c r="Y9" s="313">
        <f>IF(parameters!$B$33="B",'consumption scenario B'!Y8,IF(parameters!$B$33="C",'consumption scenario C'!Y8,'consumption scenario A'!Y8))</f>
        <v>1.6116450801261584E-5</v>
      </c>
      <c r="Z9" s="313">
        <f>IF(parameters!$B$33="B",'consumption scenario B'!Z8,IF(parameters!$B$33="C",'consumption scenario C'!Z8,'consumption scenario A'!Z8))</f>
        <v>1.541220588764166E-5</v>
      </c>
      <c r="AA9" s="313">
        <f>IF(parameters!$B$33="B",'consumption scenario B'!AA8,IF(parameters!$B$33="C",'consumption scenario C'!AA8,'consumption scenario A'!AA8))</f>
        <v>1.4762147408003317E-5</v>
      </c>
      <c r="AB9" s="313">
        <f>IF(parameters!$B$33="B",'consumption scenario B'!AB8,IF(parameters!$B$33="C",'consumption scenario C'!AB8,'consumption scenario A'!AB8))</f>
        <v>1.4110795697675536E-5</v>
      </c>
      <c r="AC9" s="313">
        <f>IF(parameters!$B$33="B",'consumption scenario B'!AC8,IF(parameters!$B$33="C",'consumption scenario C'!AC8,'consumption scenario A'!AC8))</f>
        <v>1.3564035127785418E-5</v>
      </c>
      <c r="AD9" s="313">
        <f>IF(parameters!$B$33="B",'consumption scenario B'!AD8,IF(parameters!$B$33="C",'consumption scenario C'!AD8,'consumption scenario A'!AD8))</f>
        <v>1.2956639023010308E-5</v>
      </c>
      <c r="AE9" s="313">
        <f>IF(parameters!$B$33="B",'consumption scenario B'!AE8,IF(parameters!$B$33="C",'consumption scenario C'!AE8,'consumption scenario A'!AE8))</f>
        <v>1.240713408593014E-5</v>
      </c>
      <c r="AF9" s="313">
        <f>IF(parameters!$B$33="B",'consumption scenario B'!AF8,IF(parameters!$B$33="C",'consumption scenario C'!AF8,'consumption scenario A'!AF8))</f>
        <v>1.1856715373279086E-5</v>
      </c>
      <c r="AG9" s="313">
        <f>IF(parameters!$B$33="B",'consumption scenario B'!AG8,IF(parameters!$B$33="C",'consumption scenario C'!AG8,'consumption scenario A'!AG8))</f>
        <v>1.1363787168623386E-5</v>
      </c>
      <c r="AH9" s="313">
        <f>IF(parameters!$B$33="B",'consumption scenario B'!AH8,IF(parameters!$B$33="C",'consumption scenario C'!AH8,'consumption scenario A'!AH8))</f>
        <v>1.0869102026827263E-5</v>
      </c>
      <c r="AI9" s="313">
        <f>IF(parameters!$B$33="B",'consumption scenario B'!AI8,IF(parameters!$B$33="C",'consumption scenario C'!AI8,'consumption scenario A'!AI8))</f>
        <v>1.037301612910235E-5</v>
      </c>
      <c r="AJ9" s="313">
        <f>IF(parameters!$B$33="B",'consumption scenario B'!AJ8,IF(parameters!$B$33="C",'consumption scenario C'!AJ8,'consumption scenario A'!AJ8))</f>
        <v>9.9331521643406264E-6</v>
      </c>
      <c r="AK9" s="313">
        <f>IF(parameters!$B$33="B",'consumption scenario B'!AK8,IF(parameters!$B$33="C",'consumption scenario C'!AK8,'consumption scenario A'!AK8))</f>
        <v>9.4929607049627209E-6</v>
      </c>
      <c r="AL9" s="313">
        <f>IF(parameters!$B$33="B",'consumption scenario B'!AL8,IF(parameters!$B$33="C",'consumption scenario C'!AL8,'consumption scenario A'!AL8))</f>
        <v>9.1085018334868579E-6</v>
      </c>
      <c r="AM9" s="313">
        <f>IF(parameters!$B$33="B",'consumption scenario B'!AM8,IF(parameters!$B$33="C",'consumption scenario C'!AM8,'consumption scenario A'!AM8))</f>
        <v>8.660311595366361E-6</v>
      </c>
      <c r="AN9" s="313">
        <f>IF(parameters!$B$33="B",'consumption scenario B'!AN8,IF(parameters!$B$33="C",'consumption scenario C'!AN8,'consumption scenario A'!AN8))</f>
        <v>8.3216936748702357E-6</v>
      </c>
      <c r="AO9" s="313">
        <f>IF(parameters!$B$33="B",'consumption scenario B'!AO8,IF(parameters!$B$33="C",'consumption scenario C'!AO8,'consumption scenario A'!AO8))</f>
        <v>7.9244438324167424E-6</v>
      </c>
      <c r="AP9" s="313">
        <f>IF(parameters!$B$33="B",'consumption scenario B'!AP8,IF(parameters!$B$33="C",'consumption scenario C'!AP8,'consumption scenario A'!AP8))</f>
        <v>7.5816218534427678E-6</v>
      </c>
      <c r="AQ9" s="313">
        <f>IF(parameters!$B$33="B",'consumption scenario B'!AQ8,IF(parameters!$B$33="C",'consumption scenario C'!AQ8,'consumption scenario A'!AQ8))</f>
        <v>7.2375263944270676E-6</v>
      </c>
      <c r="AR9" s="313">
        <f>IF(parameters!$B$33="B",'consumption scenario B'!AR8,IF(parameters!$B$33="C",'consumption scenario C'!AR8,'consumption scenario A'!AR8))</f>
        <v>6.8923838446234193E-6</v>
      </c>
      <c r="AS9" s="313">
        <f>IF(parameters!$B$33="B",'consumption scenario B'!AS8,IF(parameters!$B$33="C",'consumption scenario C'!AS8,'consumption scenario A'!AS8))</f>
        <v>6.5465910405632132E-6</v>
      </c>
      <c r="AT9" s="313">
        <f>IF(parameters!$B$33="B",'consumption scenario B'!AT8,IF(parameters!$B$33="C",'consumption scenario C'!AT8,'consumption scenario A'!AT8))</f>
        <v>6.2561522806196478E-6</v>
      </c>
      <c r="AU9" s="313">
        <f>IF(parameters!$B$33="B",'consumption scenario B'!AU8,IF(parameters!$B$33="C",'consumption scenario C'!AU8,'consumption scenario A'!AU8))</f>
        <v>5.9652710031892435E-6</v>
      </c>
    </row>
    <row r="10" spans="1:47" s="230" customFormat="1">
      <c r="A10" s="130" t="s">
        <v>23</v>
      </c>
      <c r="B10" s="313">
        <f>IF(parameters!$B$33="B",'consumption scenario B'!B9,IF(parameters!$B$33="C",'consumption scenario C'!B9,'consumption scenario A'!B9))</f>
        <v>6.8304536086320998E-3</v>
      </c>
      <c r="C10" s="313">
        <f>IF(parameters!$B$33="B",'consumption scenario B'!C9,IF(parameters!$B$33="C",'consumption scenario C'!C9,'consumption scenario A'!C9))</f>
        <v>7.422900146842013E-3</v>
      </c>
      <c r="D10" s="313">
        <f>IF(parameters!$B$33="B",'consumption scenario B'!D9,IF(parameters!$B$33="C",'consumption scenario C'!D9,'consumption scenario A'!D9))</f>
        <v>5.5950143999999999E-3</v>
      </c>
      <c r="E10" s="313">
        <f>IF(parameters!$B$33="B",'consumption scenario B'!E9,IF(parameters!$B$33="C",'consumption scenario C'!E9,'consumption scenario A'!E9))</f>
        <v>5.7114527999999999E-3</v>
      </c>
      <c r="F10" s="313">
        <f>IF(parameters!$B$33="B",'consumption scenario B'!F9,IF(parameters!$B$33="C",'consumption scenario C'!F9,'consumption scenario A'!F9))</f>
        <v>6.0786816E-3</v>
      </c>
      <c r="G10" s="313">
        <f>IF(parameters!$B$33="B",'consumption scenario B'!G9,IF(parameters!$B$33="C",'consumption scenario C'!G9,'consumption scenario A'!G9))</f>
        <v>5.4427488000000001E-3</v>
      </c>
      <c r="H10" s="313">
        <f>IF(parameters!$B$33="B",'consumption scenario B'!H9,IF(parameters!$B$33="C",'consumption scenario C'!H9,'consumption scenario A'!H9))</f>
        <v>4.8157727999999997E-3</v>
      </c>
      <c r="I10" s="313">
        <f>IF(parameters!$B$33="B",'consumption scenario B'!I9,IF(parameters!$B$33="C",'consumption scenario C'!I9,'consumption scenario A'!I9))</f>
        <v>4.1798399999999998E-3</v>
      </c>
      <c r="J10" s="313">
        <f>IF(parameters!$B$33="B",'consumption scenario B'!J9,IF(parameters!$B$33="C",'consumption scenario C'!J9,'consumption scenario A'!J9))</f>
        <v>3.2841599999999995E-3</v>
      </c>
      <c r="K10" s="313">
        <f>IF(parameters!$B$33="B",'consumption scenario B'!K9,IF(parameters!$B$33="C",'consumption scenario C'!K9,'consumption scenario A'!K9))</f>
        <v>3.5397273600000002E-3</v>
      </c>
      <c r="L10" s="313">
        <f>IF(parameters!$B$33="B",'consumption scenario B'!L9,IF(parameters!$B$33="C",'consumption scenario C'!L9,'consumption scenario A'!L9))</f>
        <v>3.75409344E-3</v>
      </c>
      <c r="M10" s="313">
        <f>IF(parameters!$B$33="B",'consumption scenario B'!M9,IF(parameters!$B$33="C",'consumption scenario C'!M9,'consumption scenario A'!M9))</f>
        <v>3.4485312173642047E-3</v>
      </c>
      <c r="N10" s="313">
        <f>IF(parameters!$B$33="B",'consumption scenario B'!N9,IF(parameters!$B$33="C",'consumption scenario C'!N9,'consumption scenario A'!N9))</f>
        <v>2.7954720839123755E-3</v>
      </c>
      <c r="O10" s="313">
        <f>IF(parameters!$B$33="B",'consumption scenario B'!O9,IF(parameters!$B$33="C",'consumption scenario C'!O9,'consumption scenario A'!O9))</f>
        <v>2.6713531233866659E-3</v>
      </c>
      <c r="P10" s="313">
        <f>IF(parameters!$B$33="B",'consumption scenario B'!P9,IF(parameters!$B$33="C",'consumption scenario C'!P9,'consumption scenario A'!P9))</f>
        <v>2.5915740212040907E-3</v>
      </c>
      <c r="Q10" s="313">
        <f>IF(parameters!$B$33="B",'consumption scenario B'!Q9,IF(parameters!$B$33="C",'consumption scenario C'!Q9,'consumption scenario A'!Q9))</f>
        <v>2.5098667626481381E-3</v>
      </c>
      <c r="R10" s="313">
        <f>IF(parameters!$B$33="B",'consumption scenario B'!R9,IF(parameters!$B$33="C",'consumption scenario C'!R9,'consumption scenario A'!R9))</f>
        <v>2.4388523967702486E-3</v>
      </c>
      <c r="S10" s="313">
        <f>IF(parameters!$B$33="B",'consumption scenario B'!S9,IF(parameters!$B$33="C",'consumption scenario C'!S9,'consumption scenario A'!S9))</f>
        <v>2.3730104142474229E-3</v>
      </c>
      <c r="T10" s="313">
        <f>IF(parameters!$B$33="B",'consumption scenario B'!T9,IF(parameters!$B$33="C",'consumption scenario C'!T9,'consumption scenario A'!T9))</f>
        <v>2.3085716772874017E-3</v>
      </c>
      <c r="U10" s="313">
        <f>IF(parameters!$B$33="B",'consumption scenario B'!U9,IF(parameters!$B$33="C",'consumption scenario C'!U9,'consumption scenario A'!U9))</f>
        <v>2.2415867069253029E-3</v>
      </c>
      <c r="V10" s="313">
        <f>IF(parameters!$B$33="B",'consumption scenario B'!V9,IF(parameters!$B$33="C",'consumption scenario C'!V9,'consumption scenario A'!V9))</f>
        <v>2.1796396290724974E-3</v>
      </c>
      <c r="W10" s="313">
        <f>IF(parameters!$B$33="B",'consumption scenario B'!W9,IF(parameters!$B$33="C",'consumption scenario C'!W9,'consumption scenario A'!W9))</f>
        <v>2.1209071597580232E-3</v>
      </c>
      <c r="X10" s="313">
        <f>IF(parameters!$B$33="B",'consumption scenario B'!X9,IF(parameters!$B$33="C",'consumption scenario C'!X9,'consumption scenario A'!X9))</f>
        <v>2.0641462239125528E-3</v>
      </c>
      <c r="Y10" s="313">
        <f>IF(parameters!$B$33="B",'consumption scenario B'!Y9,IF(parameters!$B$33="C",'consumption scenario C'!Y9,'consumption scenario A'!Y9))</f>
        <v>2.014001546885069E-3</v>
      </c>
      <c r="Z10" s="313">
        <f>IF(parameters!$B$33="B",'consumption scenario B'!Z9,IF(parameters!$B$33="C",'consumption scenario C'!Z9,'consumption scenario A'!Z9))</f>
        <v>1.9637859700187168E-3</v>
      </c>
      <c r="AA10" s="313">
        <f>IF(parameters!$B$33="B",'consumption scenario B'!AA9,IF(parameters!$B$33="C",'consumption scenario C'!AA9,'consumption scenario A'!AA9))</f>
        <v>1.9200179184525848E-3</v>
      </c>
      <c r="AB10" s="313">
        <f>IF(parameters!$B$33="B",'consumption scenario B'!AB9,IF(parameters!$B$33="C",'consumption scenario C'!AB9,'consumption scenario A'!AB9))</f>
        <v>1.8784600296336954E-3</v>
      </c>
      <c r="AC10" s="313">
        <f>IF(parameters!$B$33="B",'consumption scenario B'!AC9,IF(parameters!$B$33="C",'consumption scenario C'!AC9,'consumption scenario A'!AC9))</f>
        <v>1.8357702675147001E-3</v>
      </c>
      <c r="AD10" s="313">
        <f>IF(parameters!$B$33="B",'consumption scenario B'!AD9,IF(parameters!$B$33="C",'consumption scenario C'!AD9,'consumption scenario A'!AD9))</f>
        <v>1.7939007651809936E-3</v>
      </c>
      <c r="AE10" s="313">
        <f>IF(parameters!$B$33="B",'consumption scenario B'!AE9,IF(parameters!$B$33="C",'consumption scenario C'!AE9,'consumption scenario A'!AE9))</f>
        <v>1.7546454409680594E-3</v>
      </c>
      <c r="AF10" s="313">
        <f>IF(parameters!$B$33="B",'consumption scenario B'!AF9,IF(parameters!$B$33="C",'consumption scenario C'!AF9,'consumption scenario A'!AF9))</f>
        <v>1.7161735700669607E-3</v>
      </c>
      <c r="AG10" s="313">
        <f>IF(parameters!$B$33="B",'consumption scenario B'!AG9,IF(parameters!$B$33="C",'consumption scenario C'!AG9,'consumption scenario A'!AG9))</f>
        <v>1.677415605163185E-3</v>
      </c>
      <c r="AH10" s="313">
        <f>IF(parameters!$B$33="B",'consumption scenario B'!AH9,IF(parameters!$B$33="C",'consumption scenario C'!AH9,'consumption scenario A'!AH9))</f>
        <v>1.6404621764947239E-3</v>
      </c>
      <c r="AI10" s="313">
        <f>IF(parameters!$B$33="B",'consumption scenario B'!AI9,IF(parameters!$B$33="C",'consumption scenario C'!AI9,'consumption scenario A'!AI9))</f>
        <v>1.605364338141611E-3</v>
      </c>
      <c r="AJ10" s="313">
        <f>IF(parameters!$B$33="B",'consumption scenario B'!AJ9,IF(parameters!$B$33="C",'consumption scenario C'!AJ9,'consumption scenario A'!AJ9))</f>
        <v>1.5709252270406434E-3</v>
      </c>
      <c r="AK10" s="313">
        <f>IF(parameters!$B$33="B",'consumption scenario B'!AK9,IF(parameters!$B$33="C",'consumption scenario C'!AK9,'consumption scenario A'!AK9))</f>
        <v>1.5379327732595257E-3</v>
      </c>
      <c r="AL10" s="313">
        <f>IF(parameters!$B$33="B",'consumption scenario B'!AL9,IF(parameters!$B$33="C",'consumption scenario C'!AL9,'consumption scenario A'!AL9))</f>
        <v>1.5052200616685822E-3</v>
      </c>
      <c r="AM10" s="313">
        <f>IF(parameters!$B$33="B",'consumption scenario B'!AM9,IF(parameters!$B$33="C",'consumption scenario C'!AM9,'consumption scenario A'!AM9))</f>
        <v>1.4718787502985501E-3</v>
      </c>
      <c r="AN10" s="313">
        <f>IF(parameters!$B$33="B",'consumption scenario B'!AN9,IF(parameters!$B$33="C",'consumption scenario C'!AN9,'consumption scenario A'!AN9))</f>
        <v>1.4394858483204914E-3</v>
      </c>
      <c r="AO10" s="313">
        <f>IF(parameters!$B$33="B",'consumption scenario B'!AO9,IF(parameters!$B$33="C",'consumption scenario C'!AO9,'consumption scenario A'!AO9))</f>
        <v>1.4075182847491056E-3</v>
      </c>
      <c r="AP10" s="313">
        <f>IF(parameters!$B$33="B",'consumption scenario B'!AP9,IF(parameters!$B$33="C",'consumption scenario C'!AP9,'consumption scenario A'!AP9))</f>
        <v>1.3766315969304696E-3</v>
      </c>
      <c r="AQ10" s="313">
        <f>IF(parameters!$B$33="B",'consumption scenario B'!AQ9,IF(parameters!$B$33="C",'consumption scenario C'!AQ9,'consumption scenario A'!AQ9))</f>
        <v>1.3466064007524267E-3</v>
      </c>
      <c r="AR10" s="313">
        <f>IF(parameters!$B$33="B",'consumption scenario B'!AR9,IF(parameters!$B$33="C",'consumption scenario C'!AR9,'consumption scenario A'!AR9))</f>
        <v>1.3165973459652927E-3</v>
      </c>
      <c r="AS10" s="313">
        <f>IF(parameters!$B$33="B",'consumption scenario B'!AS9,IF(parameters!$B$33="C",'consumption scenario C'!AS9,'consumption scenario A'!AS9))</f>
        <v>1.286367346275282E-3</v>
      </c>
      <c r="AT10" s="313">
        <f>IF(parameters!$B$33="B",'consumption scenario B'!AT9,IF(parameters!$B$33="C",'consumption scenario C'!AT9,'consumption scenario A'!AT9))</f>
        <v>1.257060740145248E-3</v>
      </c>
      <c r="AU10" s="313">
        <f>IF(parameters!$B$33="B",'consumption scenario B'!AU9,IF(parameters!$B$33="C",'consumption scenario C'!AU9,'consumption scenario A'!AU9))</f>
        <v>1.2284141687060332E-3</v>
      </c>
    </row>
    <row r="11" spans="1:47" s="230" customFormat="1">
      <c r="A11" s="130" t="s">
        <v>24</v>
      </c>
      <c r="B11" s="313">
        <f>IF(parameters!$B$33="B",'consumption scenario B'!B10,IF(parameters!$B$33="C",'consumption scenario C'!B10,'consumption scenario A'!B10))</f>
        <v>7.5801999999999994E-2</v>
      </c>
      <c r="C11" s="313">
        <f>IF(parameters!$B$33="B",'consumption scenario B'!C10,IF(parameters!$B$33="C",'consumption scenario C'!C10,'consumption scenario A'!C10))</f>
        <v>7.7752000000000002E-2</v>
      </c>
      <c r="D11" s="313">
        <f>IF(parameters!$B$33="B",'consumption scenario B'!D10,IF(parameters!$B$33="C",'consumption scenario C'!D10,'consumption scenario A'!D10))</f>
        <v>8.2187999999999997E-2</v>
      </c>
      <c r="E11" s="313">
        <f>IF(parameters!$B$33="B",'consumption scenario B'!E10,IF(parameters!$B$33="C",'consumption scenario C'!E10,'consumption scenario A'!E10))</f>
        <v>8.7054000000000006E-2</v>
      </c>
      <c r="F11" s="313">
        <f>IF(parameters!$B$33="B",'consumption scenario B'!F10,IF(parameters!$B$33="C",'consumption scenario C'!F10,'consumption scenario A'!F10))</f>
        <v>8.6681999999999995E-2</v>
      </c>
      <c r="G11" s="313">
        <f>IF(parameters!$B$33="B",'consumption scenario B'!G10,IF(parameters!$B$33="C",'consumption scenario C'!G10,'consumption scenario A'!G10))</f>
        <v>7.8028E-2</v>
      </c>
      <c r="H11" s="313">
        <f>IF(parameters!$B$33="B",'consumption scenario B'!H10,IF(parameters!$B$33="C",'consumption scenario C'!H10,'consumption scenario A'!H10))</f>
        <v>8.7884000000000004E-2</v>
      </c>
      <c r="I11" s="313">
        <f>IF(parameters!$B$33="B",'consumption scenario B'!I10,IF(parameters!$B$33="C",'consumption scenario C'!I10,'consumption scenario A'!I10))</f>
        <v>8.2237000000000005E-2</v>
      </c>
      <c r="J11" s="313">
        <f>IF(parameters!$B$33="B",'consumption scenario B'!J10,IF(parameters!$B$33="C",'consumption scenario C'!J10,'consumption scenario A'!J10))</f>
        <v>8.6128999999999997E-2</v>
      </c>
      <c r="K11" s="313">
        <f>IF(parameters!$B$33="B",'consumption scenario B'!K10,IF(parameters!$B$33="C",'consumption scenario C'!K10,'consumption scenario A'!K10))</f>
        <v>8.2249000000000003E-2</v>
      </c>
      <c r="L11" s="313">
        <f>IF(parameters!$B$33="B",'consumption scenario B'!L10,IF(parameters!$B$33="C",'consumption scenario C'!L10,'consumption scenario A'!L10))</f>
        <v>7.6475000000000001E-2</v>
      </c>
      <c r="M11" s="313">
        <f>IF(parameters!$B$33="B",'consumption scenario B'!M10,IF(parameters!$B$33="C",'consumption scenario C'!M10,'consumption scenario A'!M10))</f>
        <v>8.2328999999999999E-2</v>
      </c>
      <c r="N11" s="313">
        <f>IF(parameters!$B$33="B",'consumption scenario B'!N10,IF(parameters!$B$33="C",'consumption scenario C'!N10,'consumption scenario A'!N10))</f>
        <v>8.4165415194799975E-2</v>
      </c>
      <c r="O11" s="313">
        <f>IF(parameters!$B$33="B",'consumption scenario B'!O10,IF(parameters!$B$33="C",'consumption scenario C'!O10,'consumption scenario A'!O10))</f>
        <v>8.5532732448052901E-2</v>
      </c>
      <c r="P11" s="313">
        <f>IF(parameters!$B$33="B",'consumption scenario B'!P10,IF(parameters!$B$33="C",'consumption scenario C'!P10,'consumption scenario A'!P10))</f>
        <v>8.4416421964726346E-2</v>
      </c>
      <c r="Q11" s="313">
        <f>IF(parameters!$B$33="B",'consumption scenario B'!Q10,IF(parameters!$B$33="C",'consumption scenario C'!Q10,'consumption scenario A'!Q10))</f>
        <v>8.4658997952583373E-2</v>
      </c>
      <c r="R11" s="313">
        <f>IF(parameters!$B$33="B",'consumption scenario B'!R10,IF(parameters!$B$33="C",'consumption scenario C'!R10,'consumption scenario A'!R10))</f>
        <v>8.4834813925563968E-2</v>
      </c>
      <c r="S11" s="313">
        <f>IF(parameters!$B$33="B",'consumption scenario B'!S10,IF(parameters!$B$33="C",'consumption scenario C'!S10,'consumption scenario A'!S10))</f>
        <v>8.510838236638868E-2</v>
      </c>
      <c r="T11" s="313">
        <f>IF(parameters!$B$33="B",'consumption scenario B'!T10,IF(parameters!$B$33="C",'consumption scenario C'!T10,'consumption scenario A'!T10))</f>
        <v>8.5392556393082908E-2</v>
      </c>
      <c r="U11" s="313">
        <f>IF(parameters!$B$33="B",'consumption scenario B'!U10,IF(parameters!$B$33="C",'consumption scenario C'!U10,'consumption scenario A'!U10))</f>
        <v>8.6653299174879309E-2</v>
      </c>
      <c r="V11" s="313">
        <f>IF(parameters!$B$33="B",'consumption scenario B'!V10,IF(parameters!$B$33="C",'consumption scenario C'!V10,'consumption scenario A'!V10))</f>
        <v>8.744372747300827E-2</v>
      </c>
      <c r="W11" s="313">
        <f>IF(parameters!$B$33="B",'consumption scenario B'!W10,IF(parameters!$B$33="C",'consumption scenario C'!W10,'consumption scenario A'!W10))</f>
        <v>8.7750919192656138E-2</v>
      </c>
      <c r="X11" s="313">
        <f>IF(parameters!$B$33="B",'consumption scenario B'!X10,IF(parameters!$B$33="C",'consumption scenario C'!X10,'consumption scenario A'!X10))</f>
        <v>8.7830967124235229E-2</v>
      </c>
      <c r="Y11" s="313">
        <f>IF(parameters!$B$33="B",'consumption scenario B'!Y10,IF(parameters!$B$33="C",'consumption scenario C'!Y10,'consumption scenario A'!Y10))</f>
        <v>8.7985723020185341E-2</v>
      </c>
      <c r="Z11" s="313">
        <f>IF(parameters!$B$33="B",'consumption scenario B'!Z10,IF(parameters!$B$33="C",'consumption scenario C'!Z10,'consumption scenario A'!Z10))</f>
        <v>8.7310890083508036E-2</v>
      </c>
      <c r="AA11" s="313">
        <f>IF(parameters!$B$33="B",'consumption scenario B'!AA10,IF(parameters!$B$33="C",'consumption scenario C'!AA10,'consumption scenario A'!AA10))</f>
        <v>8.6955798536892615E-2</v>
      </c>
      <c r="AB11" s="313">
        <f>IF(parameters!$B$33="B",'consumption scenario B'!AB10,IF(parameters!$B$33="C",'consumption scenario C'!AB10,'consumption scenario A'!AB10))</f>
        <v>8.6811499868324496E-2</v>
      </c>
      <c r="AC11" s="313">
        <f>IF(parameters!$B$33="B",'consumption scenario B'!AC10,IF(parameters!$B$33="C",'consumption scenario C'!AC10,'consumption scenario A'!AC10))</f>
        <v>8.684829545804687E-2</v>
      </c>
      <c r="AD11" s="313">
        <f>IF(parameters!$B$33="B",'consumption scenario B'!AD10,IF(parameters!$B$33="C",'consumption scenario C'!AD10,'consumption scenario A'!AD10))</f>
        <v>8.6926845511169401E-2</v>
      </c>
      <c r="AE11" s="313">
        <f>IF(parameters!$B$33="B",'consumption scenario B'!AE10,IF(parameters!$B$33="C",'consumption scenario C'!AE10,'consumption scenario A'!AE10))</f>
        <v>8.7074321002007432E-2</v>
      </c>
      <c r="AF11" s="313">
        <f>IF(parameters!$B$33="B",'consumption scenario B'!AF10,IF(parameters!$B$33="C",'consumption scenario C'!AF10,'consumption scenario A'!AF10))</f>
        <v>8.7249682152290925E-2</v>
      </c>
      <c r="AG11" s="313">
        <f>IF(parameters!$B$33="B",'consumption scenario B'!AG10,IF(parameters!$B$33="C",'consumption scenario C'!AG10,'consumption scenario A'!AG10))</f>
        <v>8.7446392757140501E-2</v>
      </c>
      <c r="AH11" s="313">
        <f>IF(parameters!$B$33="B",'consumption scenario B'!AH10,IF(parameters!$B$33="C",'consumption scenario C'!AH10,'consumption scenario A'!AH10))</f>
        <v>8.7617093973126295E-2</v>
      </c>
      <c r="AI11" s="313">
        <f>IF(parameters!$B$33="B",'consumption scenario B'!AI10,IF(parameters!$B$33="C",'consumption scenario C'!AI10,'consumption scenario A'!AI10))</f>
        <v>8.7782078156849408E-2</v>
      </c>
      <c r="AJ11" s="313">
        <f>IF(parameters!$B$33="B",'consumption scenario B'!AJ10,IF(parameters!$B$33="C",'consumption scenario C'!AJ10,'consumption scenario A'!AJ10))</f>
        <v>8.7931329541958897E-2</v>
      </c>
      <c r="AK11" s="313">
        <f>IF(parameters!$B$33="B",'consumption scenario B'!AK10,IF(parameters!$B$33="C",'consumption scenario C'!AK10,'consumption scenario A'!AK10))</f>
        <v>8.8072689213039457E-2</v>
      </c>
      <c r="AL11" s="313">
        <f>IF(parameters!$B$33="B",'consumption scenario B'!AL10,IF(parameters!$B$33="C",'consumption scenario C'!AL10,'consumption scenario A'!AL10))</f>
        <v>8.823817265818093E-2</v>
      </c>
      <c r="AM11" s="313">
        <f>IF(parameters!$B$33="B",'consumption scenario B'!AM10,IF(parameters!$B$33="C",'consumption scenario C'!AM10,'consumption scenario A'!AM10))</f>
        <v>8.8352041434754169E-2</v>
      </c>
      <c r="AN11" s="313">
        <f>IF(parameters!$B$33="B",'consumption scenario B'!AN10,IF(parameters!$B$33="C",'consumption scenario C'!AN10,'consumption scenario A'!AN10))</f>
        <v>8.8434233821764671E-2</v>
      </c>
      <c r="AO11" s="313">
        <f>IF(parameters!$B$33="B",'consumption scenario B'!AO10,IF(parameters!$B$33="C",'consumption scenario C'!AO10,'consumption scenario A'!AO10))</f>
        <v>8.8475857885633419E-2</v>
      </c>
      <c r="AP11" s="313">
        <f>IF(parameters!$B$33="B",'consumption scenario B'!AP10,IF(parameters!$B$33="C",'consumption scenario C'!AP10,'consumption scenario A'!AP10))</f>
        <v>8.8521783631504869E-2</v>
      </c>
      <c r="AQ11" s="313">
        <f>IF(parameters!$B$33="B",'consumption scenario B'!AQ10,IF(parameters!$B$33="C",'consumption scenario C'!AQ10,'consumption scenario A'!AQ10))</f>
        <v>8.8564062878936339E-2</v>
      </c>
      <c r="AR11" s="313">
        <f>IF(parameters!$B$33="B",'consumption scenario B'!AR10,IF(parameters!$B$33="C",'consumption scenario C'!AR10,'consumption scenario A'!AR10))</f>
        <v>8.8589481154284597E-2</v>
      </c>
      <c r="AS11" s="313">
        <f>IF(parameters!$B$33="B",'consumption scenario B'!AS10,IF(parameters!$B$33="C",'consumption scenario C'!AS10,'consumption scenario A'!AS10))</f>
        <v>8.8566123066040864E-2</v>
      </c>
      <c r="AT11" s="313">
        <f>IF(parameters!$B$33="B",'consumption scenario B'!AT10,IF(parameters!$B$33="C",'consumption scenario C'!AT10,'consumption scenario A'!AT10))</f>
        <v>8.853233031340875E-2</v>
      </c>
      <c r="AU11" s="313">
        <f>IF(parameters!$B$33="B",'consumption scenario B'!AU10,IF(parameters!$B$33="C",'consumption scenario C'!AU10,'consumption scenario A'!AU10))</f>
        <v>8.8486838096099113E-2</v>
      </c>
    </row>
    <row r="12" spans="1:47" s="230" customFormat="1">
      <c r="A12" s="130" t="s">
        <v>56</v>
      </c>
      <c r="B12" s="313">
        <f>IF(parameters!$B$33="B",'consumption scenario B'!B11,IF(parameters!$B$33="C",'consumption scenario C'!B11,'consumption scenario A'!B11))</f>
        <v>2.5619835112737261E-2</v>
      </c>
      <c r="C12" s="313">
        <f>IF(parameters!$B$33="B",'consumption scenario B'!C11,IF(parameters!$B$33="C",'consumption scenario C'!C11,'consumption scenario A'!C11))</f>
        <v>2.864199903128303E-2</v>
      </c>
      <c r="D12" s="313">
        <f>IF(parameters!$B$33="B",'consumption scenario B'!D11,IF(parameters!$B$33="C",'consumption scenario C'!D11,'consumption scenario A'!D11))</f>
        <v>2.4351163685010991E-2</v>
      </c>
      <c r="E12" s="313">
        <f>IF(parameters!$B$33="B",'consumption scenario B'!E11,IF(parameters!$B$33="C",'consumption scenario C'!E11,'consumption scenario A'!E11))</f>
        <v>2.5910547916754244E-2</v>
      </c>
      <c r="F12" s="313">
        <f>IF(parameters!$B$33="B",'consumption scenario B'!F11,IF(parameters!$B$33="C",'consumption scenario C'!F11,'consumption scenario A'!F11))</f>
        <v>2.4137076390130387E-2</v>
      </c>
      <c r="G12" s="313">
        <f>IF(parameters!$B$33="B",'consumption scenario B'!G11,IF(parameters!$B$33="C",'consumption scenario C'!G11,'consumption scenario A'!G11))</f>
        <v>2.4553740910274364E-2</v>
      </c>
      <c r="H12" s="313">
        <f>IF(parameters!$B$33="B",'consumption scenario B'!H11,IF(parameters!$B$33="C",'consumption scenario C'!H11,'consumption scenario A'!H11))</f>
        <v>4.2340021288398137E-2</v>
      </c>
      <c r="I12" s="313">
        <f>IF(parameters!$B$33="B",'consumption scenario B'!I11,IF(parameters!$B$33="C",'consumption scenario C'!I11,'consumption scenario A'!I11))</f>
        <v>3.4990611636400056E-2</v>
      </c>
      <c r="J12" s="313">
        <f>IF(parameters!$B$33="B",'consumption scenario B'!J11,IF(parameters!$B$33="C",'consumption scenario C'!J11,'consumption scenario A'!J11))</f>
        <v>3.4530208851710584E-2</v>
      </c>
      <c r="K12" s="313">
        <f>IF(parameters!$B$33="B",'consumption scenario B'!K11,IF(parameters!$B$33="C",'consumption scenario C'!K11,'consumption scenario A'!K11))</f>
        <v>2.4050060263824075E-2</v>
      </c>
      <c r="L12" s="313">
        <f>IF(parameters!$B$33="B",'consumption scenario B'!L11,IF(parameters!$B$33="C",'consumption scenario C'!L11,'consumption scenario A'!L11))</f>
        <v>2.2825849259334761E-2</v>
      </c>
      <c r="M12" s="313">
        <f>IF(parameters!$B$33="B",'consumption scenario B'!M11,IF(parameters!$B$33="C",'consumption scenario C'!M11,'consumption scenario A'!M11))</f>
        <v>1.2050038567881257E-2</v>
      </c>
      <c r="N12" s="313">
        <f>IF(parameters!$B$33="B",'consumption scenario B'!N11,IF(parameters!$B$33="C",'consumption scenario C'!N11,'consumption scenario A'!N11))</f>
        <v>1.5364514903065663E-2</v>
      </c>
      <c r="O12" s="313">
        <f>IF(parameters!$B$33="B",'consumption scenario B'!O11,IF(parameters!$B$33="C",'consumption scenario C'!O11,'consumption scenario A'!O11))</f>
        <v>1.6494427769252938E-2</v>
      </c>
      <c r="P12" s="313">
        <f>IF(parameters!$B$33="B",'consumption scenario B'!P11,IF(parameters!$B$33="C",'consumption scenario C'!P11,'consumption scenario A'!P11))</f>
        <v>1.7193584030458457E-2</v>
      </c>
      <c r="Q12" s="313">
        <f>IF(parameters!$B$33="B",'consumption scenario B'!Q11,IF(parameters!$B$33="C",'consumption scenario C'!Q11,'consumption scenario A'!Q11))</f>
        <v>1.7407928845809117E-2</v>
      </c>
      <c r="R12" s="313">
        <f>IF(parameters!$B$33="B",'consumption scenario B'!R11,IF(parameters!$B$33="C",'consumption scenario C'!R11,'consumption scenario A'!R11))</f>
        <v>1.7294963990703172E-2</v>
      </c>
      <c r="S12" s="313">
        <f>IF(parameters!$B$33="B",'consumption scenario B'!S11,IF(parameters!$B$33="C",'consumption scenario C'!S11,'consumption scenario A'!S11))</f>
        <v>1.7100261287079158E-2</v>
      </c>
      <c r="T12" s="313">
        <f>IF(parameters!$B$33="B",'consumption scenario B'!T11,IF(parameters!$B$33="C",'consumption scenario C'!T11,'consumption scenario A'!T11))</f>
        <v>1.6948244366821637E-2</v>
      </c>
      <c r="U12" s="313">
        <f>IF(parameters!$B$33="B",'consumption scenario B'!U11,IF(parameters!$B$33="C",'consumption scenario C'!U11,'consumption scenario A'!U11))</f>
        <v>1.6881220312290324E-2</v>
      </c>
      <c r="V12" s="313">
        <f>IF(parameters!$B$33="B",'consumption scenario B'!V11,IF(parameters!$B$33="C",'consumption scenario C'!V11,'consumption scenario A'!V11))</f>
        <v>1.6774832294045673E-2</v>
      </c>
      <c r="W12" s="313">
        <f>IF(parameters!$B$33="B",'consumption scenario B'!W11,IF(parameters!$B$33="C",'consumption scenario C'!W11,'consumption scenario A'!W11))</f>
        <v>1.6629729159350595E-2</v>
      </c>
      <c r="X12" s="313">
        <f>IF(parameters!$B$33="B",'consumption scenario B'!X11,IF(parameters!$B$33="C",'consumption scenario C'!X11,'consumption scenario A'!X11))</f>
        <v>1.6495383216629442E-2</v>
      </c>
      <c r="Y12" s="313">
        <f>IF(parameters!$B$33="B",'consumption scenario B'!Y11,IF(parameters!$B$33="C",'consumption scenario C'!Y11,'consumption scenario A'!Y11))</f>
        <v>1.6319219190474629E-2</v>
      </c>
      <c r="Z12" s="313">
        <f>IF(parameters!$B$33="B",'consumption scenario B'!Z11,IF(parameters!$B$33="C",'consumption scenario C'!Z11,'consumption scenario A'!Z11))</f>
        <v>1.6116294173353266E-2</v>
      </c>
      <c r="AA12" s="313">
        <f>IF(parameters!$B$33="B",'consumption scenario B'!AA11,IF(parameters!$B$33="C",'consumption scenario C'!AA11,'consumption scenario A'!AA11))</f>
        <v>1.586523104717328E-2</v>
      </c>
      <c r="AB12" s="313">
        <f>IF(parameters!$B$33="B",'consumption scenario B'!AB11,IF(parameters!$B$33="C",'consumption scenario C'!AB11,'consumption scenario A'!AB11))</f>
        <v>1.5609704720564539E-2</v>
      </c>
      <c r="AC12" s="313">
        <f>IF(parameters!$B$33="B",'consumption scenario B'!AC11,IF(parameters!$B$33="C",'consumption scenario C'!AC11,'consumption scenario A'!AC11))</f>
        <v>1.535588122466873E-2</v>
      </c>
      <c r="AD12" s="313">
        <f>IF(parameters!$B$33="B",'consumption scenario B'!AD11,IF(parameters!$B$33="C",'consumption scenario C'!AD11,'consumption scenario A'!AD11))</f>
        <v>1.5112039750617772E-2</v>
      </c>
      <c r="AE12" s="313">
        <f>IF(parameters!$B$33="B",'consumption scenario B'!AE11,IF(parameters!$B$33="C",'consumption scenario C'!AE11,'consumption scenario A'!AE11))</f>
        <v>1.48461419963625E-2</v>
      </c>
      <c r="AF12" s="313">
        <f>IF(parameters!$B$33="B",'consumption scenario B'!AF11,IF(parameters!$B$33="C",'consumption scenario C'!AF11,'consumption scenario A'!AF11))</f>
        <v>1.4584123047552792E-2</v>
      </c>
      <c r="AG12" s="313">
        <f>IF(parameters!$B$33="B",'consumption scenario B'!AG11,IF(parameters!$B$33="C",'consumption scenario C'!AG11,'consumption scenario A'!AG11))</f>
        <v>1.4348421880156807E-2</v>
      </c>
      <c r="AH12" s="313">
        <f>IF(parameters!$B$33="B",'consumption scenario B'!AH11,IF(parameters!$B$33="C",'consumption scenario C'!AH11,'consumption scenario A'!AH11))</f>
        <v>1.408198320741046E-2</v>
      </c>
      <c r="AI12" s="313">
        <f>IF(parameters!$B$33="B",'consumption scenario B'!AI11,IF(parameters!$B$33="C",'consumption scenario C'!AI11,'consumption scenario A'!AI11))</f>
        <v>1.3826617523986173E-2</v>
      </c>
      <c r="AJ12" s="313">
        <f>IF(parameters!$B$33="B",'consumption scenario B'!AJ11,IF(parameters!$B$33="C",'consumption scenario C'!AJ11,'consumption scenario A'!AJ11))</f>
        <v>1.3583123776960975E-2</v>
      </c>
      <c r="AK12" s="313">
        <f>IF(parameters!$B$33="B",'consumption scenario B'!AK11,IF(parameters!$B$33="C",'consumption scenario C'!AK11,'consumption scenario A'!AK11))</f>
        <v>1.3342287201155895E-2</v>
      </c>
      <c r="AL12" s="313">
        <f>IF(parameters!$B$33="B",'consumption scenario B'!AL11,IF(parameters!$B$33="C",'consumption scenario C'!AL11,'consumption scenario A'!AL11))</f>
        <v>1.3097776871821409E-2</v>
      </c>
      <c r="AM12" s="313">
        <f>IF(parameters!$B$33="B",'consumption scenario B'!AM11,IF(parameters!$B$33="C",'consumption scenario C'!AM11,'consumption scenario A'!AM11))</f>
        <v>1.2873874400670029E-2</v>
      </c>
      <c r="AN12" s="313">
        <f>IF(parameters!$B$33="B",'consumption scenario B'!AN11,IF(parameters!$B$33="C",'consumption scenario C'!AN11,'consumption scenario A'!AN11))</f>
        <v>1.2642010819270149E-2</v>
      </c>
      <c r="AO12" s="313">
        <f>IF(parameters!$B$33="B",'consumption scenario B'!AO11,IF(parameters!$B$33="C",'consumption scenario C'!AO11,'consumption scenario A'!AO11))</f>
        <v>1.2391023454966822E-2</v>
      </c>
      <c r="AP12" s="313">
        <f>IF(parameters!$B$33="B",'consumption scenario B'!AP11,IF(parameters!$B$33="C",'consumption scenario C'!AP11,'consumption scenario A'!AP11))</f>
        <v>1.2148935047702288E-2</v>
      </c>
      <c r="AQ12" s="313">
        <f>IF(parameters!$B$33="B",'consumption scenario B'!AQ11,IF(parameters!$B$33="C",'consumption scenario C'!AQ11,'consumption scenario A'!AQ11))</f>
        <v>1.1913367930111194E-2</v>
      </c>
      <c r="AR12" s="313">
        <f>IF(parameters!$B$33="B",'consumption scenario B'!AR11,IF(parameters!$B$33="C",'consumption scenario C'!AR11,'consumption scenario A'!AR11))</f>
        <v>1.1677552434735783E-2</v>
      </c>
      <c r="AS12" s="313">
        <f>IF(parameters!$B$33="B",'consumption scenario B'!AS11,IF(parameters!$B$33="C",'consumption scenario C'!AS11,'consumption scenario A'!AS11))</f>
        <v>1.1441410931225911E-2</v>
      </c>
      <c r="AT12" s="313">
        <f>IF(parameters!$B$33="B",'consumption scenario B'!AT11,IF(parameters!$B$33="C",'consumption scenario C'!AT11,'consumption scenario A'!AT11))</f>
        <v>1.1202979216637186E-2</v>
      </c>
      <c r="AU12" s="313">
        <f>IF(parameters!$B$33="B",'consumption scenario B'!AU11,IF(parameters!$B$33="C",'consumption scenario C'!AU11,'consumption scenario A'!AU11))</f>
        <v>1.0962730329174778E-2</v>
      </c>
    </row>
    <row r="13" spans="1:47" s="230" customFormat="1">
      <c r="A13" s="130" t="s">
        <v>25</v>
      </c>
      <c r="B13" s="313">
        <f>IF(parameters!$B$33="B",'consumption scenario B'!B12,IF(parameters!$B$33="C",'consumption scenario C'!B12,'consumption scenario A'!B12))</f>
        <v>0.11332</v>
      </c>
      <c r="C13" s="313">
        <f>IF(parameters!$B$33="B",'consumption scenario B'!C12,IF(parameters!$B$33="C",'consumption scenario C'!C12,'consumption scenario A'!C12))</f>
        <v>0.117504</v>
      </c>
      <c r="D13" s="313">
        <f>IF(parameters!$B$33="B",'consumption scenario B'!D12,IF(parameters!$B$33="C",'consumption scenario C'!D12,'consumption scenario A'!D12))</f>
        <v>0.12074699999999999</v>
      </c>
      <c r="E13" s="313">
        <f>IF(parameters!$B$33="B",'consumption scenario B'!E12,IF(parameters!$B$33="C",'consumption scenario C'!E12,'consumption scenario A'!E12))</f>
        <v>0.123978</v>
      </c>
      <c r="F13" s="313">
        <f>IF(parameters!$B$33="B",'consumption scenario B'!F12,IF(parameters!$B$33="C",'consumption scenario C'!F12,'consumption scenario A'!F12))</f>
        <v>0.12545300000000001</v>
      </c>
      <c r="G13" s="313">
        <f>IF(parameters!$B$33="B",'consumption scenario B'!G12,IF(parameters!$B$33="C",'consumption scenario C'!G12,'consumption scenario A'!G12))</f>
        <v>0.119102</v>
      </c>
      <c r="H13" s="313">
        <f>IF(parameters!$B$33="B",'consumption scenario B'!H12,IF(parameters!$B$33="C",'consumption scenario C'!H12,'consumption scenario A'!H12))</f>
        <v>0.124115</v>
      </c>
      <c r="I13" s="313">
        <f>IF(parameters!$B$33="B",'consumption scenario B'!I12,IF(parameters!$B$33="C",'consumption scenario C'!I12,'consumption scenario A'!I12))</f>
        <v>0.12116300000000001</v>
      </c>
      <c r="J13" s="313">
        <f>IF(parameters!$B$33="B",'consumption scenario B'!J12,IF(parameters!$B$33="C",'consumption scenario C'!J12,'consumption scenario A'!J12))</f>
        <v>0.122776</v>
      </c>
      <c r="K13" s="313">
        <f>IF(parameters!$B$33="B",'consumption scenario B'!K12,IF(parameters!$B$33="C",'consumption scenario C'!K12,'consumption scenario A'!K12))</f>
        <v>0.119703</v>
      </c>
      <c r="L13" s="313">
        <f>IF(parameters!$B$33="B",'consumption scenario B'!L12,IF(parameters!$B$33="C",'consumption scenario C'!L12,'consumption scenario A'!L12))</f>
        <v>0.116254</v>
      </c>
      <c r="M13" s="313">
        <f>IF(parameters!$B$33="B",'consumption scenario B'!M12,IF(parameters!$B$33="C",'consumption scenario C'!M12,'consumption scenario A'!M12))</f>
        <v>0.11673</v>
      </c>
      <c r="N13" s="313">
        <f>IF(parameters!$B$33="B",'consumption scenario B'!N12,IF(parameters!$B$33="C",'consumption scenario C'!N12,'consumption scenario A'!N12))</f>
        <v>0.12439573367477594</v>
      </c>
      <c r="O13" s="313">
        <f>IF(parameters!$B$33="B",'consumption scenario B'!O12,IF(parameters!$B$33="C",'consumption scenario C'!O12,'consumption scenario A'!O12))</f>
        <v>0.12204087750746904</v>
      </c>
      <c r="P13" s="313">
        <f>IF(parameters!$B$33="B",'consumption scenario B'!P12,IF(parameters!$B$33="C",'consumption scenario C'!P12,'consumption scenario A'!P12))</f>
        <v>0.11862723687580025</v>
      </c>
      <c r="Q13" s="313">
        <f>IF(parameters!$B$33="B",'consumption scenario B'!Q12,IF(parameters!$B$33="C",'consumption scenario C'!Q12,'consumption scenario A'!Q12))</f>
        <v>0.11684761416986771</v>
      </c>
      <c r="R13" s="313">
        <f>IF(parameters!$B$33="B",'consumption scenario B'!R12,IF(parameters!$B$33="C",'consumption scenario C'!R12,'consumption scenario A'!R12))</f>
        <v>0.11521526589842083</v>
      </c>
      <c r="S13" s="313">
        <f>IF(parameters!$B$33="B",'consumption scenario B'!S12,IF(parameters!$B$33="C",'consumption scenario C'!S12,'consumption scenario A'!S12))</f>
        <v>0.11355577635510031</v>
      </c>
      <c r="T13" s="313">
        <f>IF(parameters!$B$33="B",'consumption scenario B'!T12,IF(parameters!$B$33="C",'consumption scenario C'!T12,'consumption scenario A'!T12))</f>
        <v>0.11187522321809647</v>
      </c>
      <c r="U13" s="313">
        <f>IF(parameters!$B$33="B",'consumption scenario B'!U12,IF(parameters!$B$33="C",'consumption scenario C'!U12,'consumption scenario A'!U12))</f>
        <v>0.11009632437046522</v>
      </c>
      <c r="V13" s="313">
        <f>IF(parameters!$B$33="B",'consumption scenario B'!V12,IF(parameters!$B$33="C",'consumption scenario C'!V12,'consumption scenario A'!V12))</f>
        <v>0.10833609901835253</v>
      </c>
      <c r="W13" s="313">
        <f>IF(parameters!$B$33="B",'consumption scenario B'!W12,IF(parameters!$B$33="C",'consumption scenario C'!W12,'consumption scenario A'!W12))</f>
        <v>0.10663235510029878</v>
      </c>
      <c r="X13" s="313">
        <f>IF(parameters!$B$33="B",'consumption scenario B'!X12,IF(parameters!$B$33="C",'consumption scenario C'!X12,'consumption scenario A'!X12))</f>
        <v>0.10476178915919761</v>
      </c>
      <c r="Y13" s="313">
        <f>IF(parameters!$B$33="B",'consumption scenario B'!Y12,IF(parameters!$B$33="C",'consumption scenario C'!Y12,'consumption scenario A'!Y12))</f>
        <v>0.10292075800256083</v>
      </c>
      <c r="Z13" s="313">
        <f>IF(parameters!$B$33="B",'consumption scenario B'!Z12,IF(parameters!$B$33="C",'consumption scenario C'!Z12,'consumption scenario A'!Z12))</f>
        <v>0.1018107383696116</v>
      </c>
      <c r="AA13" s="313">
        <f>IF(parameters!$B$33="B",'consumption scenario B'!AA12,IF(parameters!$B$33="C",'consumption scenario C'!AA12,'consumption scenario A'!AA12))</f>
        <v>0.1015605360648741</v>
      </c>
      <c r="AB13" s="313">
        <f>IF(parameters!$B$33="B",'consumption scenario B'!AB12,IF(parameters!$B$33="C",'consumption scenario C'!AB12,'consumption scenario A'!AB12))</f>
        <v>0.10167605292360223</v>
      </c>
      <c r="AC13" s="313">
        <f>IF(parameters!$B$33="B",'consumption scenario B'!AC12,IF(parameters!$B$33="C",'consumption scenario C'!AC12,'consumption scenario A'!AC12))</f>
        <v>0.10186643790012805</v>
      </c>
      <c r="AD13" s="313">
        <f>IF(parameters!$B$33="B",'consumption scenario B'!AD12,IF(parameters!$B$33="C",'consumption scenario C'!AD12,'consumption scenario A'!AD12))</f>
        <v>0.10217900469483568</v>
      </c>
      <c r="AE13" s="313">
        <f>IF(parameters!$B$33="B",'consumption scenario B'!AE12,IF(parameters!$B$33="C",'consumption scenario C'!AE12,'consumption scenario A'!AE12))</f>
        <v>0.10262277080665813</v>
      </c>
      <c r="AF13" s="313">
        <f>IF(parameters!$B$33="B",'consumption scenario B'!AF12,IF(parameters!$B$33="C",'consumption scenario C'!AF12,'consumption scenario A'!AF12))</f>
        <v>0.1031030712761417</v>
      </c>
      <c r="AG13" s="313">
        <f>IF(parameters!$B$33="B",'consumption scenario B'!AG12,IF(parameters!$B$33="C",'consumption scenario C'!AG12,'consumption scenario A'!AG12))</f>
        <v>0.10325451859439456</v>
      </c>
      <c r="AH13" s="313">
        <f>IF(parameters!$B$33="B",'consumption scenario B'!AH12,IF(parameters!$B$33="C",'consumption scenario C'!AH12,'consumption scenario A'!AH12))</f>
        <v>0.10356495849440067</v>
      </c>
      <c r="AI13" s="313">
        <f>IF(parameters!$B$33="B",'consumption scenario B'!AI12,IF(parameters!$B$33="C",'consumption scenario C'!AI12,'consumption scenario A'!AI12))</f>
        <v>0.10387539839440676</v>
      </c>
      <c r="AJ13" s="313">
        <f>IF(parameters!$B$33="B",'consumption scenario B'!AJ12,IF(parameters!$B$33="C",'consumption scenario C'!AJ12,'consumption scenario A'!AJ12))</f>
        <v>0.10418583829441287</v>
      </c>
      <c r="AK13" s="313">
        <f>IF(parameters!$B$33="B",'consumption scenario B'!AK12,IF(parameters!$B$33="C",'consumption scenario C'!AK12,'consumption scenario A'!AK12))</f>
        <v>0.10449627819441895</v>
      </c>
      <c r="AL13" s="313">
        <f>IF(parameters!$B$33="B",'consumption scenario B'!AL12,IF(parameters!$B$33="C",'consumption scenario C'!AL12,'consumption scenario A'!AL12))</f>
        <v>0.10480671809442506</v>
      </c>
      <c r="AM13" s="313">
        <f>IF(parameters!$B$33="B",'consumption scenario B'!AM12,IF(parameters!$B$33="C",'consumption scenario C'!AM12,'consumption scenario A'!AM12))</f>
        <v>0.10511715799443115</v>
      </c>
      <c r="AN13" s="313">
        <f>IF(parameters!$B$33="B",'consumption scenario B'!AN12,IF(parameters!$B$33="C",'consumption scenario C'!AN12,'consumption scenario A'!AN12))</f>
        <v>0.10542759789443726</v>
      </c>
      <c r="AO13" s="313">
        <f>IF(parameters!$B$33="B",'consumption scenario B'!AO12,IF(parameters!$B$33="C",'consumption scenario C'!AO12,'consumption scenario A'!AO12))</f>
        <v>0.10573803779444335</v>
      </c>
      <c r="AP13" s="313">
        <f>IF(parameters!$B$33="B",'consumption scenario B'!AP12,IF(parameters!$B$33="C",'consumption scenario C'!AP12,'consumption scenario A'!AP12))</f>
        <v>0.10604847769444946</v>
      </c>
      <c r="AQ13" s="313">
        <f>IF(parameters!$B$33="B",'consumption scenario B'!AQ12,IF(parameters!$B$33="C",'consumption scenario C'!AQ12,'consumption scenario A'!AQ12))</f>
        <v>0.10635891759445554</v>
      </c>
      <c r="AR13" s="313">
        <f>IF(parameters!$B$33="B",'consumption scenario B'!AR12,IF(parameters!$B$33="C",'consumption scenario C'!AR12,'consumption scenario A'!AR12))</f>
        <v>0.10666935749446164</v>
      </c>
      <c r="AS13" s="313">
        <f>IF(parameters!$B$33="B",'consumption scenario B'!AS12,IF(parameters!$B$33="C",'consumption scenario C'!AS12,'consumption scenario A'!AS12))</f>
        <v>0.10697979739446774</v>
      </c>
      <c r="AT13" s="313">
        <f>IF(parameters!$B$33="B",'consumption scenario B'!AT12,IF(parameters!$B$33="C",'consumption scenario C'!AT12,'consumption scenario A'!AT12))</f>
        <v>0.10729023729447384</v>
      </c>
      <c r="AU13" s="313">
        <f>IF(parameters!$B$33="B",'consumption scenario B'!AU12,IF(parameters!$B$33="C",'consumption scenario C'!AU12,'consumption scenario A'!AU12))</f>
        <v>0.10760067719447994</v>
      </c>
    </row>
    <row r="14" spans="1:47" s="230" customFormat="1">
      <c r="A14" s="130" t="s">
        <v>26</v>
      </c>
      <c r="B14" s="310">
        <f t="shared" ref="B14:AJ14" si="0">SUM(B8:B13)</f>
        <v>0.22804691358215906</v>
      </c>
      <c r="C14" s="310">
        <f t="shared" si="0"/>
        <v>0.23819084738593713</v>
      </c>
      <c r="D14" s="310">
        <f t="shared" si="0"/>
        <v>0.2406696103351576</v>
      </c>
      <c r="E14" s="310">
        <f t="shared" si="0"/>
        <v>0.25030380567926208</v>
      </c>
      <c r="F14" s="310">
        <f t="shared" si="0"/>
        <v>0.2507792596738766</v>
      </c>
      <c r="G14" s="310">
        <f t="shared" si="0"/>
        <v>0.23624334307183747</v>
      </c>
      <c r="H14" s="310">
        <f t="shared" si="0"/>
        <v>0.26813103881437961</v>
      </c>
      <c r="I14" s="310">
        <f t="shared" si="0"/>
        <v>0.24950160906520252</v>
      </c>
      <c r="J14" s="310">
        <f t="shared" si="0"/>
        <v>0.25227486934211479</v>
      </c>
      <c r="K14" s="310">
        <f t="shared" si="0"/>
        <v>0.23563163741070969</v>
      </c>
      <c r="L14" s="310">
        <f t="shared" si="0"/>
        <v>0.226303003891583</v>
      </c>
      <c r="M14" s="310">
        <f t="shared" si="0"/>
        <v>0.22153198266224478</v>
      </c>
      <c r="N14" s="310">
        <f t="shared" si="0"/>
        <v>0.23252431810658508</v>
      </c>
      <c r="O14" s="310">
        <f t="shared" si="0"/>
        <v>0.23335782675895617</v>
      </c>
      <c r="P14" s="310">
        <f t="shared" si="0"/>
        <v>0.22916413398211294</v>
      </c>
      <c r="Q14" s="310">
        <f t="shared" si="0"/>
        <v>0.22756445814467377</v>
      </c>
      <c r="R14" s="310">
        <f t="shared" si="0"/>
        <v>0.22576196871273585</v>
      </c>
      <c r="S14" s="310">
        <f t="shared" si="0"/>
        <v>0.223974617060825</v>
      </c>
      <c r="T14" s="310">
        <f t="shared" si="0"/>
        <v>0.2222391517821426</v>
      </c>
      <c r="U14" s="310">
        <f t="shared" si="0"/>
        <v>0.22147417732282121</v>
      </c>
      <c r="V14" s="310">
        <f t="shared" si="0"/>
        <v>0.22023431354186368</v>
      </c>
      <c r="W14" s="310">
        <f t="shared" si="0"/>
        <v>0.21853848558984745</v>
      </c>
      <c r="X14" s="310">
        <f t="shared" si="0"/>
        <v>0.21647314073633039</v>
      </c>
      <c r="Y14" s="310">
        <f t="shared" si="0"/>
        <v>0.21449179607466959</v>
      </c>
      <c r="Z14" s="310">
        <f t="shared" si="0"/>
        <v>0.21236626398926378</v>
      </c>
      <c r="AA14" s="310">
        <f t="shared" si="0"/>
        <v>0.21140427621647045</v>
      </c>
      <c r="AB14" s="310">
        <f t="shared" si="0"/>
        <v>0.21102928853773997</v>
      </c>
      <c r="AC14" s="310">
        <f t="shared" si="0"/>
        <v>0.21091877933255784</v>
      </c>
      <c r="AD14" s="310">
        <f t="shared" si="0"/>
        <v>0.21098660786950701</v>
      </c>
      <c r="AE14" s="310">
        <f t="shared" si="0"/>
        <v>0.21124053194576961</v>
      </c>
      <c r="AF14" s="310">
        <f t="shared" si="0"/>
        <v>0.21156757480192667</v>
      </c>
      <c r="AG14" s="310">
        <f t="shared" si="0"/>
        <v>0.21161720201914763</v>
      </c>
      <c r="AH14" s="310">
        <f t="shared" si="0"/>
        <v>0.21177350417246832</v>
      </c>
      <c r="AI14" s="310">
        <f t="shared" si="0"/>
        <v>0.21194129467355505</v>
      </c>
      <c r="AJ14" s="310">
        <f t="shared" si="0"/>
        <v>0.21210939954509936</v>
      </c>
      <c r="AK14" s="313">
        <f>IF(parameters!$B$33="B",'consumption scenario B'!AK13,IF(parameters!$B$33="C",'consumption scenario C'!AK13,'consumption scenario A'!AK13))</f>
        <v>0</v>
      </c>
      <c r="AL14" s="313">
        <f>IF(parameters!$B$33="B",'consumption scenario B'!AL13,IF(parameters!$B$33="C",'consumption scenario C'!AL13,'consumption scenario A'!AL13))</f>
        <v>0</v>
      </c>
      <c r="AM14" s="313">
        <f>IF(parameters!$B$33="B",'consumption scenario B'!AM13,IF(parameters!$B$33="C",'consumption scenario C'!AM13,'consumption scenario A'!AM13))</f>
        <v>0</v>
      </c>
      <c r="AN14" s="313">
        <f>IF(parameters!$B$33="B",'consumption scenario B'!AN13,IF(parameters!$B$33="C",'consumption scenario C'!AN13,'consumption scenario A'!AN13))</f>
        <v>0</v>
      </c>
      <c r="AO14" s="313">
        <f>IF(parameters!$B$33="B",'consumption scenario B'!AO13,IF(parameters!$B$33="C",'consumption scenario C'!AO13,'consumption scenario A'!AO13))</f>
        <v>0</v>
      </c>
      <c r="AP14" s="313">
        <f>IF(parameters!$B$33="B",'consumption scenario B'!AP13,IF(parameters!$B$33="C",'consumption scenario C'!AP13,'consumption scenario A'!AP13))</f>
        <v>0</v>
      </c>
      <c r="AQ14" s="313">
        <f>IF(parameters!$B$33="B",'consumption scenario B'!AQ13,IF(parameters!$B$33="C",'consumption scenario C'!AQ13,'consumption scenario A'!AQ13))</f>
        <v>0</v>
      </c>
      <c r="AR14" s="313">
        <f>IF(parameters!$B$33="B",'consumption scenario B'!AR13,IF(parameters!$B$33="C",'consumption scenario C'!AR13,'consumption scenario A'!AR13))</f>
        <v>0</v>
      </c>
      <c r="AS14" s="313">
        <f>IF(parameters!$B$33="B",'consumption scenario B'!AS13,IF(parameters!$B$33="C",'consumption scenario C'!AS13,'consumption scenario A'!AS13))</f>
        <v>0</v>
      </c>
      <c r="AT14" s="313">
        <f>IF(parameters!$B$33="B",'consumption scenario B'!AT13,IF(parameters!$B$33="C",'consumption scenario C'!AT13,'consumption scenario A'!AT13))</f>
        <v>0</v>
      </c>
      <c r="AU14" s="313">
        <f>IF(parameters!$B$33="B",'consumption scenario B'!AU13,IF(parameters!$B$33="C",'consumption scenario C'!AU13,'consumption scenario A'!AU13))</f>
        <v>0</v>
      </c>
    </row>
    <row r="15" spans="1:47" s="230" customFormat="1">
      <c r="A15" s="165"/>
      <c r="B15" s="310"/>
      <c r="C15" s="310"/>
      <c r="D15" s="310"/>
      <c r="E15" s="310"/>
      <c r="F15" s="310"/>
      <c r="G15" s="310"/>
      <c r="H15" s="310"/>
      <c r="I15" s="310"/>
      <c r="J15" s="310"/>
      <c r="K15" s="310"/>
      <c r="L15" s="310"/>
      <c r="M15" s="283"/>
      <c r="N15" s="310"/>
      <c r="O15" s="310"/>
      <c r="P15" s="310"/>
      <c r="Q15" s="310"/>
      <c r="R15" s="310"/>
      <c r="S15" s="310"/>
      <c r="T15" s="310"/>
      <c r="U15" s="310"/>
      <c r="V15" s="310"/>
      <c r="W15" s="310"/>
      <c r="X15" s="310"/>
      <c r="Y15" s="310"/>
      <c r="Z15" s="310"/>
      <c r="AA15" s="310"/>
      <c r="AB15" s="310"/>
      <c r="AC15" s="310"/>
      <c r="AD15" s="310"/>
      <c r="AE15" s="310"/>
      <c r="AF15" s="310"/>
      <c r="AG15" s="283"/>
      <c r="AH15" s="283"/>
      <c r="AI15" s="283"/>
      <c r="AJ15" s="283"/>
      <c r="AK15" s="283"/>
      <c r="AL15" s="283"/>
      <c r="AM15" s="283"/>
      <c r="AN15" s="283"/>
      <c r="AO15" s="283"/>
      <c r="AP15" s="283"/>
      <c r="AQ15" s="283"/>
      <c r="AR15" s="283"/>
      <c r="AS15" s="283"/>
      <c r="AT15" s="283"/>
      <c r="AU15" s="283"/>
    </row>
    <row r="16" spans="1:47" s="5" customFormat="1" ht="13">
      <c r="A16" s="250" t="s">
        <v>77</v>
      </c>
      <c r="B16" s="380"/>
      <c r="C16" s="380"/>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O16" s="380"/>
      <c r="AP16" s="380"/>
      <c r="AQ16" s="380"/>
      <c r="AR16" s="380"/>
      <c r="AS16" s="380"/>
      <c r="AT16" s="380"/>
      <c r="AU16" s="381"/>
    </row>
    <row r="17" spans="1:47" s="377" customFormat="1" ht="12.9" customHeight="1">
      <c r="A17" s="253" t="s">
        <v>6</v>
      </c>
      <c r="B17" s="253">
        <v>2005</v>
      </c>
      <c r="C17" s="253">
        <v>2006</v>
      </c>
      <c r="D17" s="253">
        <v>2007</v>
      </c>
      <c r="E17" s="253">
        <v>2008</v>
      </c>
      <c r="F17" s="253">
        <v>2009</v>
      </c>
      <c r="G17" s="253">
        <v>2010</v>
      </c>
      <c r="H17" s="253">
        <v>2011</v>
      </c>
      <c r="I17" s="253">
        <v>2012</v>
      </c>
      <c r="J17" s="253">
        <v>2013</v>
      </c>
      <c r="K17" s="253">
        <v>2014</v>
      </c>
      <c r="L17" s="253">
        <v>2015</v>
      </c>
      <c r="M17" s="253">
        <v>2016</v>
      </c>
      <c r="N17" s="253">
        <v>2017</v>
      </c>
      <c r="O17" s="253">
        <v>2018</v>
      </c>
      <c r="P17" s="253">
        <v>2019</v>
      </c>
      <c r="Q17" s="253">
        <v>2020</v>
      </c>
      <c r="R17" s="253">
        <v>2021</v>
      </c>
      <c r="S17" s="253">
        <v>2022</v>
      </c>
      <c r="T17" s="253">
        <v>2023</v>
      </c>
      <c r="U17" s="253">
        <v>2024</v>
      </c>
      <c r="V17" s="253">
        <v>2025</v>
      </c>
      <c r="W17" s="253">
        <v>2026</v>
      </c>
      <c r="X17" s="253">
        <v>2027</v>
      </c>
      <c r="Y17" s="253">
        <v>2028</v>
      </c>
      <c r="Z17" s="253">
        <v>2029</v>
      </c>
      <c r="AA17" s="253">
        <v>2030</v>
      </c>
      <c r="AB17" s="253">
        <v>2031</v>
      </c>
      <c r="AC17" s="253">
        <v>2032</v>
      </c>
      <c r="AD17" s="253">
        <v>2033</v>
      </c>
      <c r="AE17" s="253">
        <v>2034</v>
      </c>
      <c r="AF17" s="253">
        <v>2035</v>
      </c>
      <c r="AG17" s="253">
        <v>2036</v>
      </c>
      <c r="AH17" s="253">
        <v>2037</v>
      </c>
      <c r="AI17" s="253">
        <v>2038</v>
      </c>
      <c r="AJ17" s="253">
        <v>2039</v>
      </c>
      <c r="AK17" s="253">
        <v>2040</v>
      </c>
      <c r="AL17" s="253">
        <v>2041</v>
      </c>
      <c r="AM17" s="253">
        <v>2042</v>
      </c>
      <c r="AN17" s="253">
        <v>2043</v>
      </c>
      <c r="AO17" s="253">
        <v>2044</v>
      </c>
      <c r="AP17" s="253">
        <v>2045</v>
      </c>
      <c r="AQ17" s="253">
        <v>2046</v>
      </c>
      <c r="AR17" s="253">
        <v>2047</v>
      </c>
      <c r="AS17" s="253">
        <v>2048</v>
      </c>
      <c r="AT17" s="253">
        <v>2049</v>
      </c>
      <c r="AU17" s="253">
        <v>2050</v>
      </c>
    </row>
    <row r="18" spans="1:47" s="230" customFormat="1">
      <c r="A18" s="130" t="s">
        <v>22</v>
      </c>
      <c r="B18" s="313">
        <f>IF(parameters!$B$33="B",'consumption scenario B'!B15,IF(parameters!$B$33="C",'consumption scenario C'!B15,'consumption scenario A'!B15))</f>
        <v>1.2587159951896001E-3</v>
      </c>
      <c r="C18" s="310">
        <f>IF(parameters!$B$33="B",'consumption scenario B'!C15,IF(parameters!$B$33="C",'consumption scenario C'!C15,'consumption scenario A'!C15))</f>
        <v>1.0560701573511305E-3</v>
      </c>
      <c r="D18" s="310">
        <f>IF(parameters!$B$33="B",'consumption scenario B'!D15,IF(parameters!$B$33="C",'consumption scenario C'!D15,'consumption scenario A'!D15))</f>
        <v>1.3134790445170008E-3</v>
      </c>
      <c r="E18" s="310">
        <f>IF(parameters!$B$33="B",'consumption scenario B'!E15,IF(parameters!$B$33="C",'consumption scenario C'!E15,'consumption scenario A'!E15))</f>
        <v>1.2928443284097851E-3</v>
      </c>
      <c r="F18" s="310">
        <f>IF(parameters!$B$33="B",'consumption scenario B'!F15,IF(parameters!$B$33="C",'consumption scenario C'!F15,'consumption scenario A'!F15))</f>
        <v>2.7083064890720638E-3</v>
      </c>
      <c r="G18" s="310">
        <f>IF(parameters!$B$33="B",'consumption scenario B'!G15,IF(parameters!$B$33="C",'consumption scenario C'!G15,'consumption scenario A'!G15))</f>
        <v>3.0475888404503221E-3</v>
      </c>
      <c r="H18" s="310">
        <f>IF(parameters!$B$33="B",'consumption scenario B'!H15,IF(parameters!$B$33="C",'consumption scenario C'!H15,'consumption scenario A'!H15))</f>
        <v>3.1586988502584068E-3</v>
      </c>
      <c r="I18" s="310">
        <f>IF(parameters!$B$33="B",'consumption scenario B'!I15,IF(parameters!$B$33="C",'consumption scenario C'!I15,'consumption scenario A'!I15))</f>
        <v>3.3729824406025701E-3</v>
      </c>
      <c r="J18" s="310">
        <f>IF(parameters!$B$33="B",'consumption scenario B'!J15,IF(parameters!$B$33="C",'consumption scenario C'!J15,'consumption scenario A'!J15))</f>
        <v>3.571393172402721E-3</v>
      </c>
      <c r="K18" s="310">
        <f>IF(parameters!$B$33="B",'consumption scenario B'!K15,IF(parameters!$B$33="C",'consumption scenario C'!K15,'consumption scenario A'!K15))</f>
        <v>3.140841884396393E-3</v>
      </c>
      <c r="L18" s="310">
        <f>IF(parameters!$B$33="B",'consumption scenario B'!L15,IF(parameters!$B$33="C",'consumption scenario C'!L15,'consumption scenario A'!L15))</f>
        <v>3.0670330921667367E-3</v>
      </c>
      <c r="M18" s="310">
        <f>IF(parameters!$B$33="B",'consumption scenario B'!M15,IF(parameters!$B$33="C",'consumption scenario C'!M15,'consumption scenario A'!M15))</f>
        <v>3.1091878810090394E-3</v>
      </c>
      <c r="N18" s="310">
        <f>IF(parameters!$B$33="B",'consumption scenario B'!N15,IF(parameters!$B$33="C",'consumption scenario C'!N15,'consumption scenario A'!N15))</f>
        <v>3.8392013189207049E-3</v>
      </c>
      <c r="O18" s="310">
        <f>IF(parameters!$B$33="B",'consumption scenario B'!O15,IF(parameters!$B$33="C",'consumption scenario C'!O15,'consumption scenario A'!O15))</f>
        <v>3.5644565930658982E-3</v>
      </c>
      <c r="P18" s="310">
        <f>IF(parameters!$B$33="B",'consumption scenario B'!P15,IF(parameters!$B$33="C",'consumption scenario C'!P15,'consumption scenario A'!P15))</f>
        <v>3.5704488129175882E-3</v>
      </c>
      <c r="Q18" s="310">
        <f>IF(parameters!$B$33="B",'consumption scenario B'!Q15,IF(parameters!$B$33="C",'consumption scenario C'!Q15,'consumption scenario A'!Q15))</f>
        <v>3.6138198737450137E-3</v>
      </c>
      <c r="R18" s="310">
        <f>IF(parameters!$B$33="B",'consumption scenario B'!R15,IF(parameters!$B$33="C",'consumption scenario C'!R15,'consumption scenario A'!R15))</f>
        <v>3.6477500064558601E-3</v>
      </c>
      <c r="S18" s="310">
        <f>IF(parameters!$B$33="B",'consumption scenario B'!S15,IF(parameters!$B$33="C",'consumption scenario C'!S15,'consumption scenario A'!S15))</f>
        <v>3.6708420419556118E-3</v>
      </c>
      <c r="T18" s="310">
        <f>IF(parameters!$B$33="B",'consumption scenario B'!T15,IF(parameters!$B$33="C",'consumption scenario C'!T15,'consumption scenario A'!T15))</f>
        <v>3.7002990005522911E-3</v>
      </c>
      <c r="U18" s="310">
        <f>IF(parameters!$B$33="B",'consumption scenario B'!U15,IF(parameters!$B$33="C",'consumption scenario C'!U15,'consumption scenario A'!U15))</f>
        <v>3.7233428077092976E-3</v>
      </c>
      <c r="V18" s="310">
        <f>IF(parameters!$B$33="B",'consumption scenario B'!V15,IF(parameters!$B$33="C",'consumption scenario C'!V15,'consumption scenario A'!V15))</f>
        <v>3.7447201061078356E-3</v>
      </c>
      <c r="W18" s="310">
        <f>IF(parameters!$B$33="B",'consumption scenario B'!W15,IF(parameters!$B$33="C",'consumption scenario C'!W15,'consumption scenario A'!W15))</f>
        <v>3.7717677276254778E-3</v>
      </c>
      <c r="X18" s="310">
        <f>IF(parameters!$B$33="B",'consumption scenario B'!X15,IF(parameters!$B$33="C",'consumption scenario C'!X15,'consumption scenario A'!X15))</f>
        <v>3.8042771396995757E-3</v>
      </c>
      <c r="Y18" s="310">
        <f>IF(parameters!$B$33="B",'consumption scenario B'!Y15,IF(parameters!$B$33="C",'consumption scenario C'!Y15,'consumption scenario A'!Y15))</f>
        <v>3.8403744091912739E-3</v>
      </c>
      <c r="Z18" s="310">
        <f>IF(parameters!$B$33="B",'consumption scenario B'!Z15,IF(parameters!$B$33="C",'consumption scenario C'!Z15,'consumption scenario A'!Z15))</f>
        <v>3.8061370678549671E-3</v>
      </c>
      <c r="AA18" s="310">
        <f>IF(parameters!$B$33="B",'consumption scenario B'!AA15,IF(parameters!$B$33="C",'consumption scenario C'!AA15,'consumption scenario A'!AA15))</f>
        <v>3.8489002003417377E-3</v>
      </c>
      <c r="AB18" s="310">
        <f>IF(parameters!$B$33="B",'consumption scenario B'!AB15,IF(parameters!$B$33="C",'consumption scenario C'!AB15,'consumption scenario A'!AB15))</f>
        <v>3.882221402357864E-3</v>
      </c>
      <c r="AC18" s="310">
        <f>IF(parameters!$B$33="B",'consumption scenario B'!AC15,IF(parameters!$B$33="C",'consumption scenario C'!AC15,'consumption scenario A'!AC15))</f>
        <v>3.9195632397628927E-3</v>
      </c>
      <c r="AD18" s="310">
        <f>IF(parameters!$B$33="B",'consumption scenario B'!AD15,IF(parameters!$B$33="C",'consumption scenario C'!AD15,'consumption scenario A'!AD15))</f>
        <v>3.9543454423612455E-3</v>
      </c>
      <c r="AE18" s="310">
        <f>IF(parameters!$B$33="B",'consumption scenario B'!AE15,IF(parameters!$B$33="C",'consumption scenario C'!AE15,'consumption scenario A'!AE15))</f>
        <v>3.9902158549096041E-3</v>
      </c>
      <c r="AF18" s="310">
        <f>IF(parameters!$B$33="B",'consumption scenario B'!AF15,IF(parameters!$B$33="C",'consumption scenario C'!AF15,'consumption scenario A'!AF15))</f>
        <v>4.0269188374418416E-3</v>
      </c>
      <c r="AG18" s="310">
        <f>IF(parameters!$B$33="B",'consumption scenario B'!AG15,IF(parameters!$B$33="C",'consumption scenario C'!AG15,'consumption scenario A'!AG15))</f>
        <v>4.0634734598037478E-3</v>
      </c>
      <c r="AH18" s="310">
        <f>IF(parameters!$B$33="B",'consumption scenario B'!AH15,IF(parameters!$B$33="C",'consumption scenario C'!AH15,'consumption scenario A'!AH15))</f>
        <v>4.1018295858204733E-3</v>
      </c>
      <c r="AI18" s="310">
        <f>IF(parameters!$B$33="B",'consumption scenario B'!AI15,IF(parameters!$B$33="C",'consumption scenario C'!AI15,'consumption scenario A'!AI15))</f>
        <v>4.1412575316870353E-3</v>
      </c>
      <c r="AJ18" s="310">
        <f>IF(parameters!$B$33="B",'consumption scenario B'!AJ15,IF(parameters!$B$33="C",'consumption scenario C'!AJ15,'consumption scenario A'!AJ15))</f>
        <v>4.1809155677630062E-3</v>
      </c>
      <c r="AK18" s="310">
        <f>IF(parameters!$B$33="B",'consumption scenario B'!AK15,IF(parameters!$B$33="C",'consumption scenario C'!AK15,'consumption scenario A'!AK15))</f>
        <v>4.2210467883604229E-3</v>
      </c>
      <c r="AL18" s="310">
        <f>IF(parameters!$B$33="B",'consumption scenario B'!AL15,IF(parameters!$B$33="C",'consumption scenario C'!AL15,'consumption scenario A'!AL15))</f>
        <v>4.263053754190377E-3</v>
      </c>
      <c r="AM18" s="310">
        <f>IF(parameters!$B$33="B",'consumption scenario B'!AM15,IF(parameters!$B$33="C",'consumption scenario C'!AM15,'consumption scenario A'!AM15))</f>
        <v>4.3007756093685181E-3</v>
      </c>
      <c r="AN18" s="310">
        <f>IF(parameters!$B$33="B",'consumption scenario B'!AN15,IF(parameters!$B$33="C",'consumption scenario C'!AN15,'consumption scenario A'!AN15))</f>
        <v>4.3366640329752168E-3</v>
      </c>
      <c r="AO18" s="310">
        <f>IF(parameters!$B$33="B",'consumption scenario B'!AO15,IF(parameters!$B$33="C",'consumption scenario C'!AO15,'consumption scenario A'!AO15))</f>
        <v>4.3713635783791437E-3</v>
      </c>
      <c r="AP18" s="310">
        <f>IF(parameters!$B$33="B",'consumption scenario B'!AP15,IF(parameters!$B$33="C",'consumption scenario C'!AP15,'consumption scenario A'!AP15))</f>
        <v>4.4062449926998894E-3</v>
      </c>
      <c r="AQ18" s="310">
        <f>IF(parameters!$B$33="B",'consumption scenario B'!AQ15,IF(parameters!$B$33="C",'consumption scenario C'!AQ15,'consumption scenario A'!AQ15))</f>
        <v>4.4412176740713976E-3</v>
      </c>
      <c r="AR18" s="310">
        <f>IF(parameters!$B$33="B",'consumption scenario B'!AR15,IF(parameters!$B$33="C",'consumption scenario C'!AR15,'consumption scenario A'!AR15))</f>
        <v>4.4754132424191257E-3</v>
      </c>
      <c r="AS18" s="310">
        <f>IF(parameters!$B$33="B",'consumption scenario B'!AS15,IF(parameters!$B$33="C",'consumption scenario C'!AS15,'consumption scenario A'!AS15))</f>
        <v>4.5089015185411623E-3</v>
      </c>
      <c r="AT18" s="310">
        <f>IF(parameters!$B$33="B",'consumption scenario B'!AT15,IF(parameters!$B$33="C",'consumption scenario C'!AT15,'consumption scenario A'!AT15))</f>
        <v>4.5428229637406916E-3</v>
      </c>
      <c r="AU18" s="310">
        <f>IF(parameters!$B$33="B",'consumption scenario B'!AU15,IF(parameters!$B$33="C",'consumption scenario C'!AU15,'consumption scenario A'!AU15))</f>
        <v>4.5773730518920402E-3</v>
      </c>
    </row>
    <row r="19" spans="1:47" s="230" customFormat="1">
      <c r="A19" s="130" t="s">
        <v>28</v>
      </c>
      <c r="B19" s="310">
        <f>IF(parameters!$B$33="B",'consumption scenario B'!B16,IF(parameters!$B$33="C",'consumption scenario C'!B16,'consumption scenario A'!B16))</f>
        <v>3.6985840507473735E-4</v>
      </c>
      <c r="C19" s="310">
        <f>IF(parameters!$B$33="B",'consumption scenario B'!C16,IF(parameters!$B$33="C",'consumption scenario C'!C16,'consumption scenario A'!C16))</f>
        <v>3.5468746916060654E-4</v>
      </c>
      <c r="D19" s="310">
        <f>IF(parameters!$B$33="B",'consumption scenario B'!D16,IF(parameters!$B$33="C",'consumption scenario C'!D16,'consumption scenario A'!D16))</f>
        <v>4.7044319165203357E-4</v>
      </c>
      <c r="E19" s="310">
        <f>IF(parameters!$B$33="B",'consumption scenario B'!E16,IF(parameters!$B$33="C",'consumption scenario C'!E16,'consumption scenario A'!E16))</f>
        <v>3.9724816211992637E-4</v>
      </c>
      <c r="F19" s="310">
        <f>IF(parameters!$B$33="B",'consumption scenario B'!F16,IF(parameters!$B$33="C",'consumption scenario C'!F16,'consumption scenario A'!F16))</f>
        <v>3.6395318551876526E-4</v>
      </c>
      <c r="G19" s="310">
        <f>IF(parameters!$B$33="B",'consumption scenario B'!G16,IF(parameters!$B$33="C",'consumption scenario C'!G16,'consumption scenario A'!G16))</f>
        <v>3.9630457978709989E-4</v>
      </c>
      <c r="H19" s="310">
        <f>IF(parameters!$B$33="B",'consumption scenario B'!H16,IF(parameters!$B$33="C",'consumption scenario C'!H16,'consumption scenario A'!H16))</f>
        <v>3.7608495836939074E-4</v>
      </c>
      <c r="I19" s="310">
        <f>IF(parameters!$B$33="B",'consumption scenario B'!I16,IF(parameters!$B$33="C",'consumption scenario C'!I16,'consumption scenario A'!I16))</f>
        <v>4.0439242835418361E-4</v>
      </c>
      <c r="J19" s="310">
        <f>IF(parameters!$B$33="B",'consumption scenario B'!J16,IF(parameters!$B$33="C",'consumption scenario C'!J16,'consumption scenario A'!J16))</f>
        <v>4.0439242835418361E-4</v>
      </c>
      <c r="K19" s="310">
        <f>IF(parameters!$B$33="B",'consumption scenario B'!K16,IF(parameters!$B$33="C",'consumption scenario C'!K16,'consumption scenario A'!K16))</f>
        <v>3.8956470598119691E-4</v>
      </c>
      <c r="L19" s="310">
        <f>IF(parameters!$B$33="B",'consumption scenario B'!L16,IF(parameters!$B$33="C",'consumption scenario C'!L16,'consumption scenario A'!L16))</f>
        <v>5.4660376565873812E-4</v>
      </c>
      <c r="M19" s="310">
        <f>IF(parameters!$B$33="B",'consumption scenario B'!M16,IF(parameters!$B$33="C",'consumption scenario C'!M16,'consumption scenario A'!M16))</f>
        <v>5.4660376565873812E-4</v>
      </c>
      <c r="N19" s="310">
        <f>IF(parameters!$B$33="B",'consumption scenario B'!N16,IF(parameters!$B$33="C",'consumption scenario C'!N16,'consumption scenario A'!N16))</f>
        <v>5.4660376565873812E-4</v>
      </c>
      <c r="O19" s="310">
        <f>IF(parameters!$B$33="B",'consumption scenario B'!O16,IF(parameters!$B$33="C",'consumption scenario C'!O16,'consumption scenario A'!O16))</f>
        <v>5.4660376565873812E-4</v>
      </c>
      <c r="P19" s="310">
        <f>IF(parameters!$B$33="B",'consumption scenario B'!P16,IF(parameters!$B$33="C",'consumption scenario C'!P16,'consumption scenario A'!P16))</f>
        <v>5.4660376565873812E-4</v>
      </c>
      <c r="Q19" s="310">
        <f>IF(parameters!$B$33="B",'consumption scenario B'!Q16,IF(parameters!$B$33="C",'consumption scenario C'!Q16,'consumption scenario A'!Q16))</f>
        <v>5.4660376565873812E-4</v>
      </c>
      <c r="R19" s="310">
        <f>IF(parameters!$B$33="B",'consumption scenario B'!R16,IF(parameters!$B$33="C",'consumption scenario C'!R16,'consumption scenario A'!R16))</f>
        <v>5.4660376565873812E-4</v>
      </c>
      <c r="S19" s="310">
        <f>IF(parameters!$B$33="B",'consumption scenario B'!S16,IF(parameters!$B$33="C",'consumption scenario C'!S16,'consumption scenario A'!S16))</f>
        <v>5.4660376565873812E-4</v>
      </c>
      <c r="T19" s="310">
        <f>IF(parameters!$B$33="B",'consumption scenario B'!T16,IF(parameters!$B$33="C",'consumption scenario C'!T16,'consumption scenario A'!T16))</f>
        <v>5.4660376565873812E-4</v>
      </c>
      <c r="U19" s="310">
        <f>IF(parameters!$B$33="B",'consumption scenario B'!U16,IF(parameters!$B$33="C",'consumption scenario C'!U16,'consumption scenario A'!U16))</f>
        <v>5.4660376565873812E-4</v>
      </c>
      <c r="V19" s="310">
        <f>IF(parameters!$B$33="B",'consumption scenario B'!V16,IF(parameters!$B$33="C",'consumption scenario C'!V16,'consumption scenario A'!V16))</f>
        <v>5.4660376565873812E-4</v>
      </c>
      <c r="W19" s="310">
        <f>IF(parameters!$B$33="B",'consumption scenario B'!W16,IF(parameters!$B$33="C",'consumption scenario C'!W16,'consumption scenario A'!W16))</f>
        <v>5.4660376565873812E-4</v>
      </c>
      <c r="X19" s="310">
        <f>IF(parameters!$B$33="B",'consumption scenario B'!X16,IF(parameters!$B$33="C",'consumption scenario C'!X16,'consumption scenario A'!X16))</f>
        <v>5.4660376565873812E-4</v>
      </c>
      <c r="Y19" s="310">
        <f>IF(parameters!$B$33="B",'consumption scenario B'!Y16,IF(parameters!$B$33="C",'consumption scenario C'!Y16,'consumption scenario A'!Y16))</f>
        <v>5.4660376565873812E-4</v>
      </c>
      <c r="Z19" s="310">
        <f>IF(parameters!$B$33="B",'consumption scenario B'!Z16,IF(parameters!$B$33="C",'consumption scenario C'!Z16,'consumption scenario A'!Z16))</f>
        <v>5.4660376565873812E-4</v>
      </c>
      <c r="AA19" s="310">
        <f>IF(parameters!$B$33="B",'consumption scenario B'!AA16,IF(parameters!$B$33="C",'consumption scenario C'!AA16,'consumption scenario A'!AA16))</f>
        <v>5.4660376565873812E-4</v>
      </c>
      <c r="AB19" s="310">
        <f>IF(parameters!$B$33="B",'consumption scenario B'!AB16,IF(parameters!$B$33="C",'consumption scenario C'!AB16,'consumption scenario A'!AB16))</f>
        <v>5.4660376565873812E-4</v>
      </c>
      <c r="AC19" s="310">
        <f>IF(parameters!$B$33="B",'consumption scenario B'!AC16,IF(parameters!$B$33="C",'consumption scenario C'!AC16,'consumption scenario A'!AC16))</f>
        <v>5.4660376565873812E-4</v>
      </c>
      <c r="AD19" s="310">
        <f>IF(parameters!$B$33="B",'consumption scenario B'!AD16,IF(parameters!$B$33="C",'consumption scenario C'!AD16,'consumption scenario A'!AD16))</f>
        <v>5.4660376565873812E-4</v>
      </c>
      <c r="AE19" s="310">
        <f>IF(parameters!$B$33="B",'consumption scenario B'!AE16,IF(parameters!$B$33="C",'consumption scenario C'!AE16,'consumption scenario A'!AE16))</f>
        <v>5.4660376565873812E-4</v>
      </c>
      <c r="AF19" s="310">
        <f>IF(parameters!$B$33="B",'consumption scenario B'!AF16,IF(parameters!$B$33="C",'consumption scenario C'!AF16,'consumption scenario A'!AF16))</f>
        <v>5.4660376565873812E-4</v>
      </c>
      <c r="AG19" s="310">
        <f>IF(parameters!$B$33="B",'consumption scenario B'!AG16,IF(parameters!$B$33="C",'consumption scenario C'!AG16,'consumption scenario A'!AG16))</f>
        <v>5.4660376565873812E-4</v>
      </c>
      <c r="AH19" s="310">
        <f>IF(parameters!$B$33="B",'consumption scenario B'!AH16,IF(parameters!$B$33="C",'consumption scenario C'!AH16,'consumption scenario A'!AH16))</f>
        <v>5.4660376565873812E-4</v>
      </c>
      <c r="AI19" s="310">
        <f>IF(parameters!$B$33="B",'consumption scenario B'!AI16,IF(parameters!$B$33="C",'consumption scenario C'!AI16,'consumption scenario A'!AI16))</f>
        <v>5.4660376565873812E-4</v>
      </c>
      <c r="AJ19" s="310">
        <f>IF(parameters!$B$33="B",'consumption scenario B'!AJ16,IF(parameters!$B$33="C",'consumption scenario C'!AJ16,'consumption scenario A'!AJ16))</f>
        <v>5.4660376565873812E-4</v>
      </c>
      <c r="AK19" s="310">
        <f>IF(parameters!$B$33="B",'consumption scenario B'!AK16,IF(parameters!$B$33="C",'consumption scenario C'!AK16,'consumption scenario A'!AK16))</f>
        <v>5.4660376565873812E-4</v>
      </c>
      <c r="AL19" s="310">
        <f>IF(parameters!$B$33="B",'consumption scenario B'!AL16,IF(parameters!$B$33="C",'consumption scenario C'!AL16,'consumption scenario A'!AL16))</f>
        <v>5.4660376565873812E-4</v>
      </c>
      <c r="AM19" s="310">
        <f>IF(parameters!$B$33="B",'consumption scenario B'!AM16,IF(parameters!$B$33="C",'consumption scenario C'!AM16,'consumption scenario A'!AM16))</f>
        <v>5.4660376565873812E-4</v>
      </c>
      <c r="AN19" s="310">
        <f>IF(parameters!$B$33="B",'consumption scenario B'!AN16,IF(parameters!$B$33="C",'consumption scenario C'!AN16,'consumption scenario A'!AN16))</f>
        <v>5.4660376565873812E-4</v>
      </c>
      <c r="AO19" s="310">
        <f>IF(parameters!$B$33="B",'consumption scenario B'!AO16,IF(parameters!$B$33="C",'consumption scenario C'!AO16,'consumption scenario A'!AO16))</f>
        <v>5.4660376565873812E-4</v>
      </c>
      <c r="AP19" s="310">
        <f>IF(parameters!$B$33="B",'consumption scenario B'!AP16,IF(parameters!$B$33="C",'consumption scenario C'!AP16,'consumption scenario A'!AP16))</f>
        <v>5.4660376565873812E-4</v>
      </c>
      <c r="AQ19" s="310">
        <f>IF(parameters!$B$33="B",'consumption scenario B'!AQ16,IF(parameters!$B$33="C",'consumption scenario C'!AQ16,'consumption scenario A'!AQ16))</f>
        <v>5.4660376565873812E-4</v>
      </c>
      <c r="AR19" s="310">
        <f>IF(parameters!$B$33="B",'consumption scenario B'!AR16,IF(parameters!$B$33="C",'consumption scenario C'!AR16,'consumption scenario A'!AR16))</f>
        <v>5.4660376565873812E-4</v>
      </c>
      <c r="AS19" s="310">
        <f>IF(parameters!$B$33="B",'consumption scenario B'!AS16,IF(parameters!$B$33="C",'consumption scenario C'!AS16,'consumption scenario A'!AS16))</f>
        <v>5.4660376565873812E-4</v>
      </c>
      <c r="AT19" s="310">
        <f>IF(parameters!$B$33="B",'consumption scenario B'!AT16,IF(parameters!$B$33="C",'consumption scenario C'!AT16,'consumption scenario A'!AT16))</f>
        <v>5.4660376565873812E-4</v>
      </c>
      <c r="AU19" s="310">
        <f>IF(parameters!$B$33="B",'consumption scenario B'!AU16,IF(parameters!$B$33="C",'consumption scenario C'!AU16,'consumption scenario A'!AU16))</f>
        <v>5.4660376565873812E-4</v>
      </c>
    </row>
    <row r="20" spans="1:47" s="230" customFormat="1">
      <c r="A20" s="130" t="s">
        <v>54</v>
      </c>
      <c r="B20" s="310">
        <f>IF(parameters!$B$33="B",'consumption scenario B'!B17,IF(parameters!$B$33="C",'consumption scenario C'!B17,'consumption scenario A'!B17))</f>
        <v>1.592482195869598E-4</v>
      </c>
      <c r="C20" s="310">
        <f>IF(parameters!$B$33="B",'consumption scenario B'!C17,IF(parameters!$B$33="C",'consumption scenario C'!C17,'consumption scenario A'!C17))</f>
        <v>1.317943040934273E-4</v>
      </c>
      <c r="D20" s="310">
        <f>IF(parameters!$B$33="B",'consumption scenario B'!D17,IF(parameters!$B$33="C",'consumption scenario C'!D17,'consumption scenario A'!D17))</f>
        <v>1.6852521831356437E-4</v>
      </c>
      <c r="E20" s="310">
        <f>IF(parameters!$B$33="B",'consumption scenario B'!E17,IF(parameters!$B$33="C",'consumption scenario C'!E17,'consumption scenario A'!E17))</f>
        <v>1.979708333815388E-4</v>
      </c>
      <c r="F20" s="310">
        <f>IF(parameters!$B$33="B",'consumption scenario B'!F17,IF(parameters!$B$33="C",'consumption scenario C'!F17,'consumption scenario A'!F17))</f>
        <v>5.7409689755170276E-5</v>
      </c>
      <c r="G20" s="310">
        <f>IF(parameters!$B$33="B",'consumption scenario B'!G17,IF(parameters!$B$33="C",'consumption scenario C'!G17,'consumption scenario A'!G17))</f>
        <v>6.2965466183089992E-5</v>
      </c>
      <c r="H20" s="310">
        <f>IF(parameters!$B$33="B",'consumption scenario B'!H17,IF(parameters!$B$33="C",'consumption scenario C'!H17,'consumption scenario A'!H17))</f>
        <v>6.1113540707116745E-5</v>
      </c>
      <c r="I20" s="310">
        <f>IF(parameters!$B$33="B",'consumption scenario B'!I17,IF(parameters!$B$33="C",'consumption scenario C'!I17,'consumption scenario A'!I17))</f>
        <v>0</v>
      </c>
      <c r="J20" s="310">
        <f>IF(parameters!$B$33="B",'consumption scenario B'!J17,IF(parameters!$B$33="C",'consumption scenario C'!J17,'consumption scenario A'!J17))</f>
        <v>0</v>
      </c>
      <c r="K20" s="310">
        <f>IF(parameters!$B$33="B",'consumption scenario B'!K17,IF(parameters!$B$33="C",'consumption scenario C'!K17,'consumption scenario A'!K17))</f>
        <v>2.7408497044403875E-5</v>
      </c>
      <c r="L20" s="310">
        <f>IF(parameters!$B$33="B",'consumption scenario B'!L17,IF(parameters!$B$33="C",'consumption scenario C'!L17,'consumption scenario A'!L17))</f>
        <v>1.4259826164993908E-5</v>
      </c>
      <c r="M20" s="310">
        <f>IF(parameters!$B$33="B",'consumption scenario B'!M17,IF(parameters!$B$33="C",'consumption scenario C'!M17,'consumption scenario A'!M17))</f>
        <v>1.075781593719602E-5</v>
      </c>
      <c r="N20" s="310">
        <f>IF(parameters!$B$33="B",'consumption scenario B'!N17,IF(parameters!$B$33="C",'consumption scenario C'!N17,'consumption scenario A'!N17))</f>
        <v>7.683828830750699E-5</v>
      </c>
      <c r="O20" s="310">
        <f>IF(parameters!$B$33="B",'consumption scenario B'!O17,IF(parameters!$B$33="C",'consumption scenario C'!O17,'consumption scenario A'!O17))</f>
        <v>9.3977655874845643E-5</v>
      </c>
      <c r="P20" s="310">
        <f>IF(parameters!$B$33="B",'consumption scenario B'!P17,IF(parameters!$B$33="C",'consumption scenario C'!P17,'consumption scenario A'!P17))</f>
        <v>8.6857022838229543E-5</v>
      </c>
      <c r="Q20" s="310">
        <f>IF(parameters!$B$33="B",'consumption scenario B'!Q17,IF(parameters!$B$33="C",'consumption scenario C'!Q17,'consumption scenario A'!Q17))</f>
        <v>6.5494691531155141E-5</v>
      </c>
      <c r="R20" s="310">
        <f>IF(parameters!$B$33="B",'consumption scenario B'!R17,IF(parameters!$B$33="C",'consumption scenario C'!R17,'consumption scenario A'!R17))</f>
        <v>4.8410320019668696E-5</v>
      </c>
      <c r="S20" s="310">
        <f>IF(parameters!$B$33="B",'consumption scenario B'!S17,IF(parameters!$B$33="C",'consumption scenario C'!S17,'consumption scenario A'!S17))</f>
        <v>3.2737587187207333E-5</v>
      </c>
      <c r="T20" s="310">
        <f>IF(parameters!$B$33="B",'consumption scenario B'!T17,IF(parameters!$B$33="C",'consumption scenario C'!T17,'consumption scenario A'!T17))</f>
        <v>3.3946942090436847E-5</v>
      </c>
      <c r="U20" s="310">
        <f>IF(parameters!$B$33="B",'consumption scenario B'!U17,IF(parameters!$B$33="C",'consumption scenario C'!U17,'consumption scenario A'!U17))</f>
        <v>3.2625437091361023E-5</v>
      </c>
      <c r="V20" s="310">
        <f>IF(parameters!$B$33="B",'consumption scenario B'!V17,IF(parameters!$B$33="C",'consumption scenario C'!V17,'consumption scenario A'!V17))</f>
        <v>3.4320710063144035E-5</v>
      </c>
      <c r="W20" s="310">
        <f>IF(parameters!$B$33="B",'consumption scenario B'!W17,IF(parameters!$B$33="C",'consumption scenario C'!W17,'consumption scenario A'!W17))</f>
        <v>3.6019184529655264E-5</v>
      </c>
      <c r="X20" s="310">
        <f>IF(parameters!$B$33="B",'consumption scenario B'!X17,IF(parameters!$B$33="C",'consumption scenario C'!X17,'consumption scenario A'!X17))</f>
        <v>3.7327659737495114E-5</v>
      </c>
      <c r="Y20" s="310">
        <f>IF(parameters!$B$33="B",'consumption scenario B'!Y17,IF(parameters!$B$33="C",'consumption scenario C'!Y17,'consumption scenario A'!Y17))</f>
        <v>3.8735207740327545E-5</v>
      </c>
      <c r="Z20" s="310">
        <f>IF(parameters!$B$33="B",'consumption scenario B'!Z17,IF(parameters!$B$33="C",'consumption scenario C'!Z17,'consumption scenario A'!Z17))</f>
        <v>3.9270705209782167E-5</v>
      </c>
      <c r="AA20" s="310">
        <f>IF(parameters!$B$33="B",'consumption scenario B'!AA17,IF(parameters!$B$33="C",'consumption scenario C'!AA17,'consumption scenario A'!AA17))</f>
        <v>4.0788364254972095E-5</v>
      </c>
      <c r="AB20" s="310">
        <f>IF(parameters!$B$33="B",'consumption scenario B'!AB17,IF(parameters!$B$33="C",'consumption scenario C'!AB17,'consumption scenario A'!AB17))</f>
        <v>4.201593635285831E-5</v>
      </c>
      <c r="AC20" s="310">
        <f>IF(parameters!$B$33="B",'consumption scenario B'!AC17,IF(parameters!$B$33="C",'consumption scenario C'!AC17,'consumption scenario A'!AC17))</f>
        <v>4.3425436872691992E-5</v>
      </c>
      <c r="AD20" s="310">
        <f>IF(parameters!$B$33="B",'consumption scenario B'!AD17,IF(parameters!$B$33="C",'consumption scenario C'!AD17,'consumption scenario A'!AD17))</f>
        <v>4.4627187955652844E-5</v>
      </c>
      <c r="AE20" s="310">
        <f>IF(parameters!$B$33="B",'consumption scenario B'!AE17,IF(parameters!$B$33="C",'consumption scenario C'!AE17,'consumption scenario A'!AE17))</f>
        <v>4.5839905396622868E-5</v>
      </c>
      <c r="AF20" s="310">
        <f>IF(parameters!$B$33="B",'consumption scenario B'!AF17,IF(parameters!$B$33="C",'consumption scenario C'!AF17,'consumption scenario A'!AF17))</f>
        <v>4.7250789091990212E-5</v>
      </c>
      <c r="AG20" s="310">
        <f>IF(parameters!$B$33="B",'consumption scenario B'!AG17,IF(parameters!$B$33="C",'consumption scenario C'!AG17,'consumption scenario A'!AG17))</f>
        <v>4.8673580747116188E-5</v>
      </c>
      <c r="AH20" s="310">
        <f>IF(parameters!$B$33="B",'consumption scenario B'!AH17,IF(parameters!$B$33="C",'consumption scenario C'!AH17,'consumption scenario A'!AH17))</f>
        <v>4.9404778446857562E-5</v>
      </c>
      <c r="AI20" s="310">
        <f>IF(parameters!$B$33="B",'consumption scenario B'!AI17,IF(parameters!$B$33="C",'consumption scenario C'!AI17,'consumption scenario A'!AI17))</f>
        <v>5.0627908273149422E-5</v>
      </c>
      <c r="AJ20" s="310">
        <f>IF(parameters!$B$33="B",'consumption scenario B'!AJ17,IF(parameters!$B$33="C",'consumption scenario C'!AJ17,'consumption scenario A'!AJ17))</f>
        <v>5.1857600793546682E-5</v>
      </c>
      <c r="AK20" s="310">
        <f>IF(parameters!$B$33="B",'consumption scenario B'!AK17,IF(parameters!$B$33="C",'consumption scenario C'!AK17,'consumption scenario A'!AK17))</f>
        <v>5.3190803265508468E-5</v>
      </c>
      <c r="AL20" s="310">
        <f>IF(parameters!$B$33="B",'consumption scenario B'!AL17,IF(parameters!$B$33="C",'consumption scenario C'!AL17,'consumption scenario A'!AL17))</f>
        <v>5.4429446723243246E-5</v>
      </c>
      <c r="AM20" s="310">
        <f>IF(parameters!$B$33="B",'consumption scenario B'!AM17,IF(parameters!$B$33="C",'consumption scenario C'!AM17,'consumption scenario A'!AM17))</f>
        <v>5.5825316750218836E-5</v>
      </c>
      <c r="AN20" s="310">
        <f>IF(parameters!$B$33="B",'consumption scenario B'!AN17,IF(parameters!$B$33="C",'consumption scenario C'!AN17,'consumption scenario A'!AN17))</f>
        <v>5.7004847463262677E-5</v>
      </c>
      <c r="AO20" s="310">
        <f>IF(parameters!$B$33="B",'consumption scenario B'!AO17,IF(parameters!$B$33="C",'consumption scenario C'!AO17,'consumption scenario A'!AO17))</f>
        <v>5.816561168800172E-5</v>
      </c>
      <c r="AP20" s="310">
        <f>IF(parameters!$B$33="B",'consumption scenario B'!AP17,IF(parameters!$B$33="C",'consumption scenario C'!AP17,'consumption scenario A'!AP17))</f>
        <v>5.9407615034902499E-5</v>
      </c>
      <c r="AQ20" s="310">
        <f>IF(parameters!$B$33="B",'consumption scenario B'!AQ17,IF(parameters!$B$33="C",'consumption scenario C'!AQ17,'consumption scenario A'!AQ17))</f>
        <v>6.0830369867273451E-5</v>
      </c>
      <c r="AR20" s="310">
        <f>IF(parameters!$B$33="B",'consumption scenario B'!AR17,IF(parameters!$B$33="C",'consumption scenario C'!AR17,'consumption scenario A'!AR17))</f>
        <v>6.1840241919747693E-5</v>
      </c>
      <c r="AS20" s="310">
        <f>IF(parameters!$B$33="B",'consumption scenario B'!AS17,IF(parameters!$B$33="C",'consumption scenario C'!AS17,'consumption scenario A'!AS17))</f>
        <v>6.2833221010326684E-5</v>
      </c>
      <c r="AT20" s="310">
        <f>IF(parameters!$B$33="B",'consumption scenario B'!AT17,IF(parameters!$B$33="C",'consumption scenario C'!AT17,'consumption scenario A'!AT17))</f>
        <v>6.3611093890710336E-5</v>
      </c>
      <c r="AU20" s="310">
        <f>IF(parameters!$B$33="B",'consumption scenario B'!AU17,IF(parameters!$B$33="C",'consumption scenario C'!AU17,'consumption scenario A'!AU17))</f>
        <v>6.4763398576180283E-5</v>
      </c>
    </row>
    <row r="21" spans="1:47" s="230" customFormat="1">
      <c r="A21" s="130" t="s">
        <v>23</v>
      </c>
      <c r="B21" s="310">
        <f>IF(parameters!$B$33="B",'consumption scenario B'!B18,IF(parameters!$B$33="C",'consumption scenario C'!B18,'consumption scenario A'!B18))</f>
        <v>4.6543384913355045E-3</v>
      </c>
      <c r="C21" s="310">
        <f>IF(parameters!$B$33="B",'consumption scenario B'!C18,IF(parameters!$B$33="C",'consumption scenario C'!C18,'consumption scenario A'!C18))</f>
        <v>4.6359459206461858E-3</v>
      </c>
      <c r="D21" s="310">
        <f>IF(parameters!$B$33="B",'consumption scenario B'!D18,IF(parameters!$B$33="C",'consumption scenario C'!D18,'consumption scenario A'!D18))</f>
        <v>4.55793E-3</v>
      </c>
      <c r="E21" s="310">
        <f>IF(parameters!$B$33="B",'consumption scenario B'!E18,IF(parameters!$B$33="C",'consumption scenario C'!E18,'consumption scenario A'!E18))</f>
        <v>4.3696793999999997E-3</v>
      </c>
      <c r="F21" s="310">
        <f>IF(parameters!$B$33="B",'consumption scenario B'!F18,IF(parameters!$B$33="C",'consumption scenario C'!F18,'consumption scenario A'!F18))</f>
        <v>7.4005679999999997E-3</v>
      </c>
      <c r="G21" s="310">
        <f>IF(parameters!$B$33="B",'consumption scenario B'!G18,IF(parameters!$B$33="C",'consumption scenario C'!G18,'consumption scenario A'!G18))</f>
        <v>9.3495999999999996E-3</v>
      </c>
      <c r="H21" s="310">
        <f>IF(parameters!$B$33="B",'consumption scenario B'!H18,IF(parameters!$B$33="C",'consumption scenario C'!H18,'consumption scenario A'!H18))</f>
        <v>1.2508686E-2</v>
      </c>
      <c r="I21" s="310">
        <f>IF(parameters!$B$33="B",'consumption scenario B'!I18,IF(parameters!$B$33="C",'consumption scenario C'!I18,'consumption scenario A'!I18))</f>
        <v>7.3717999999999995E-3</v>
      </c>
      <c r="J21" s="310">
        <f>IF(parameters!$B$33="B",'consumption scenario B'!J18,IF(parameters!$B$33="C",'consumption scenario C'!J18,'consumption scenario A'!J18))</f>
        <v>7.0121999999999997E-3</v>
      </c>
      <c r="K21" s="310">
        <f>IF(parameters!$B$33="B",'consumption scenario B'!K18,IF(parameters!$B$33="C",'consumption scenario C'!K18,'consumption scenario A'!K18))</f>
        <v>6.7119340000000001E-3</v>
      </c>
      <c r="L21" s="310">
        <f>IF(parameters!$B$33="B",'consumption scenario B'!L18,IF(parameters!$B$33="C",'consumption scenario C'!L18,'consumption scenario A'!L18))</f>
        <v>6.6919761999999997E-3</v>
      </c>
      <c r="M21" s="310">
        <f>IF(parameters!$B$33="B",'consumption scenario B'!M18,IF(parameters!$B$33="C",'consumption scenario C'!M18,'consumption scenario A'!M18))</f>
        <v>7.2311261095989393E-3</v>
      </c>
      <c r="N21" s="310">
        <f>IF(parameters!$B$33="B",'consumption scenario B'!N18,IF(parameters!$B$33="C",'consumption scenario C'!N18,'consumption scenario A'!N18))</f>
        <v>6.9078268861660188E-3</v>
      </c>
      <c r="O21" s="310">
        <f>IF(parameters!$B$33="B",'consumption scenario B'!O18,IF(parameters!$B$33="C",'consumption scenario C'!O18,'consumption scenario A'!O18))</f>
        <v>7.0027363463817729E-3</v>
      </c>
      <c r="P21" s="310">
        <f>IF(parameters!$B$33="B",'consumption scenario B'!P18,IF(parameters!$B$33="C",'consumption scenario C'!P18,'consumption scenario A'!P18))</f>
        <v>7.440514916078232E-3</v>
      </c>
      <c r="Q21" s="310">
        <f>IF(parameters!$B$33="B",'consumption scenario B'!Q18,IF(parameters!$B$33="C",'consumption scenario C'!Q18,'consumption scenario A'!Q18))</f>
        <v>7.4024323950588429E-3</v>
      </c>
      <c r="R21" s="310">
        <f>IF(parameters!$B$33="B",'consumption scenario B'!R18,IF(parameters!$B$33="C",'consumption scenario C'!R18,'consumption scenario A'!R18))</f>
        <v>7.4477311223120875E-3</v>
      </c>
      <c r="S21" s="310">
        <f>IF(parameters!$B$33="B",'consumption scenario B'!S18,IF(parameters!$B$33="C",'consumption scenario C'!S18,'consumption scenario A'!S18))</f>
        <v>7.5090330905279428E-3</v>
      </c>
      <c r="T21" s="310">
        <f>IF(parameters!$B$33="B",'consumption scenario B'!T18,IF(parameters!$B$33="C",'consumption scenario C'!T18,'consumption scenario A'!T18))</f>
        <v>7.5689294790053261E-3</v>
      </c>
      <c r="U21" s="310">
        <f>IF(parameters!$B$33="B",'consumption scenario B'!U18,IF(parameters!$B$33="C",'consumption scenario C'!U18,'consumption scenario A'!U18))</f>
        <v>7.7181928112317619E-3</v>
      </c>
      <c r="V21" s="310">
        <f>IF(parameters!$B$33="B",'consumption scenario B'!V18,IF(parameters!$B$33="C",'consumption scenario C'!V18,'consumption scenario A'!V18))</f>
        <v>7.792257707060931E-3</v>
      </c>
      <c r="W21" s="310">
        <f>IF(parameters!$B$33="B",'consumption scenario B'!W18,IF(parameters!$B$33="C",'consumption scenario C'!W18,'consumption scenario A'!W18))</f>
        <v>7.7991158331240174E-3</v>
      </c>
      <c r="X21" s="310">
        <f>IF(parameters!$B$33="B",'consumption scenario B'!X18,IF(parameters!$B$33="C",'consumption scenario C'!X18,'consumption scenario A'!X18))</f>
        <v>7.7633978996579584E-3</v>
      </c>
      <c r="Y21" s="310">
        <f>IF(parameters!$B$33="B",'consumption scenario B'!Y18,IF(parameters!$B$33="C",'consumption scenario C'!Y18,'consumption scenario A'!Y18))</f>
        <v>7.7350914670593117E-3</v>
      </c>
      <c r="Z21" s="310">
        <f>IF(parameters!$B$33="B",'consumption scenario B'!Z18,IF(parameters!$B$33="C",'consumption scenario C'!Z18,'consumption scenario A'!Z18))</f>
        <v>7.6423005400901682E-3</v>
      </c>
      <c r="AA21" s="310">
        <f>IF(parameters!$B$33="B",'consumption scenario B'!AA18,IF(parameters!$B$33="C",'consumption scenario C'!AA18,'consumption scenario A'!AA18))</f>
        <v>7.5832961772018632E-3</v>
      </c>
      <c r="AB21" s="310">
        <f>IF(parameters!$B$33="B",'consumption scenario B'!AB18,IF(parameters!$B$33="C",'consumption scenario C'!AB18,'consumption scenario A'!AB18))</f>
        <v>7.5480836766337357E-3</v>
      </c>
      <c r="AC21" s="310">
        <f>IF(parameters!$B$33="B",'consumption scenario B'!AC18,IF(parameters!$B$33="C",'consumption scenario C'!AC18,'consumption scenario A'!AC18))</f>
        <v>7.53141899185785E-3</v>
      </c>
      <c r="AD21" s="310">
        <f>IF(parameters!$B$33="B",'consumption scenario B'!AD18,IF(parameters!$B$33="C",'consumption scenario C'!AD18,'consumption scenario A'!AD18))</f>
        <v>7.5155921503153511E-3</v>
      </c>
      <c r="AE21" s="310">
        <f>IF(parameters!$B$33="B",'consumption scenario B'!AE18,IF(parameters!$B$33="C",'consumption scenario C'!AE18,'consumption scenario A'!AE18))</f>
        <v>7.5114051711088819E-3</v>
      </c>
      <c r="AF21" s="310">
        <f>IF(parameters!$B$33="B",'consumption scenario B'!AF18,IF(parameters!$B$33="C",'consumption scenario C'!AF18,'consumption scenario A'!AF18))</f>
        <v>7.505993434298047E-3</v>
      </c>
      <c r="AG21" s="310">
        <f>IF(parameters!$B$33="B",'consumption scenario B'!AG18,IF(parameters!$B$33="C",'consumption scenario C'!AG18,'consumption scenario A'!AG18))</f>
        <v>7.4993188221876336E-3</v>
      </c>
      <c r="AH21" s="310">
        <f>IF(parameters!$B$33="B",'consumption scenario B'!AH18,IF(parameters!$B$33="C",'consumption scenario C'!AH18,'consumption scenario A'!AH18))</f>
        <v>7.4956107114929685E-3</v>
      </c>
      <c r="AI21" s="310">
        <f>IF(parameters!$B$33="B",'consumption scenario B'!AI18,IF(parameters!$B$33="C",'consumption scenario C'!AI18,'consumption scenario A'!AI18))</f>
        <v>7.4937076279868418E-3</v>
      </c>
      <c r="AJ21" s="310">
        <f>IF(parameters!$B$33="B",'consumption scenario B'!AJ18,IF(parameters!$B$33="C",'consumption scenario C'!AJ18,'consumption scenario A'!AJ18))</f>
        <v>7.4921612251928078E-3</v>
      </c>
      <c r="AK21" s="310">
        <f>IF(parameters!$B$33="B",'consumption scenario B'!AK18,IF(parameters!$B$33="C",'consumption scenario C'!AK18,'consumption scenario A'!AK18))</f>
        <v>7.4953182219772898E-3</v>
      </c>
      <c r="AL21" s="310">
        <f>IF(parameters!$B$33="B",'consumption scenario B'!AL18,IF(parameters!$B$33="C",'consumption scenario C'!AL18,'consumption scenario A'!AL18))</f>
        <v>7.5016941232886204E-3</v>
      </c>
      <c r="AM21" s="310">
        <f>IF(parameters!$B$33="B",'consumption scenario B'!AM18,IF(parameters!$B$33="C",'consumption scenario C'!AM18,'consumption scenario A'!AM18))</f>
        <v>7.4987878733875522E-3</v>
      </c>
      <c r="AN21" s="310">
        <f>IF(parameters!$B$33="B",'consumption scenario B'!AN18,IF(parameters!$B$33="C",'consumption scenario C'!AN18,'consumption scenario A'!AN18))</f>
        <v>7.4970051698322699E-3</v>
      </c>
      <c r="AO21" s="310">
        <f>IF(parameters!$B$33="B",'consumption scenario B'!AO18,IF(parameters!$B$33="C",'consumption scenario C'!AO18,'consumption scenario A'!AO18))</f>
        <v>7.4994030819093525E-3</v>
      </c>
      <c r="AP21" s="310">
        <f>IF(parameters!$B$33="B",'consumption scenario B'!AP18,IF(parameters!$B$33="C",'consumption scenario C'!AP18,'consumption scenario A'!AP18))</f>
        <v>7.4999701638829297E-3</v>
      </c>
      <c r="AQ21" s="310">
        <f>IF(parameters!$B$33="B",'consumption scenario B'!AQ18,IF(parameters!$B$33="C",'consumption scenario C'!AQ18,'consumption scenario A'!AQ18))</f>
        <v>7.4998672487914834E-3</v>
      </c>
      <c r="AR21" s="310">
        <f>IF(parameters!$B$33="B",'consumption scenario B'!AR18,IF(parameters!$B$33="C",'consumption scenario C'!AR18,'consumption scenario A'!AR18))</f>
        <v>7.500169010524086E-3</v>
      </c>
      <c r="AS21" s="310">
        <f>IF(parameters!$B$33="B",'consumption scenario B'!AS18,IF(parameters!$B$33="C",'consumption scenario C'!AS18,'consumption scenario A'!AS18))</f>
        <v>7.4955050891328916E-3</v>
      </c>
      <c r="AT21" s="310">
        <f>IF(parameters!$B$33="B",'consumption scenario B'!AT18,IF(parameters!$B$33="C",'consumption scenario C'!AT18,'consumption scenario A'!AT18))</f>
        <v>7.4896459389240744E-3</v>
      </c>
      <c r="AU21" s="310">
        <f>IF(parameters!$B$33="B",'consumption scenario B'!AU18,IF(parameters!$B$33="C",'consumption scenario C'!AU18,'consumption scenario A'!AU18))</f>
        <v>7.4818972667754927E-3</v>
      </c>
    </row>
    <row r="22" spans="1:47" s="230" customFormat="1">
      <c r="A22" s="130" t="s">
        <v>29</v>
      </c>
      <c r="B22" s="310">
        <f>IF(parameters!$B$33="B",'consumption scenario B'!B19,IF(parameters!$B$33="C",'consumption scenario C'!B19,'consumption scenario A'!B19))</f>
        <v>0</v>
      </c>
      <c r="C22" s="310">
        <f>IF(parameters!$B$33="B",'consumption scenario B'!C19,IF(parameters!$B$33="C",'consumption scenario C'!C19,'consumption scenario A'!C19))</f>
        <v>0</v>
      </c>
      <c r="D22" s="310">
        <f>IF(parameters!$B$33="B",'consumption scenario B'!D19,IF(parameters!$B$33="C",'consumption scenario C'!D19,'consumption scenario A'!D19))</f>
        <v>3.7438924259351497E-5</v>
      </c>
      <c r="E22" s="310">
        <f>IF(parameters!$B$33="B",'consumption scenario B'!E19,IF(parameters!$B$33="C",'consumption scenario C'!E19,'consumption scenario A'!E19))</f>
        <v>2.0502268046787723E-5</v>
      </c>
      <c r="F22" s="310">
        <f>IF(parameters!$B$33="B",'consumption scenario B'!F19,IF(parameters!$B$33="C",'consumption scenario C'!F19,'consumption scenario A'!F19))</f>
        <v>3.5834398933950719E-4</v>
      </c>
      <c r="G22" s="310">
        <f>IF(parameters!$B$33="B",'consumption scenario B'!G19,IF(parameters!$B$33="C",'consumption scenario C'!G19,'consumption scenario A'!G19))</f>
        <v>3.9400010768174669E-4</v>
      </c>
      <c r="H22" s="310">
        <f>IF(parameters!$B$33="B",'consumption scenario B'!H19,IF(parameters!$B$33="C",'consumption scenario C'!H19,'consumption scenario A'!H19))</f>
        <v>3.3873312425127543E-5</v>
      </c>
      <c r="I22" s="310">
        <f>IF(parameters!$B$33="B",'consumption scenario B'!I19,IF(parameters!$B$33="C",'consumption scenario C'!I19,'consumption scenario A'!I19))</f>
        <v>0</v>
      </c>
      <c r="J22" s="310">
        <f>IF(parameters!$B$33="B",'consumption scenario B'!J19,IF(parameters!$B$33="C",'consumption scenario C'!J19,'consumption scenario A'!J19))</f>
        <v>0</v>
      </c>
      <c r="K22" s="310">
        <f>IF(parameters!$B$33="B",'consumption scenario B'!K19,IF(parameters!$B$33="C",'consumption scenario C'!K19,'consumption scenario A'!K19))</f>
        <v>1.0518554910960657E-5</v>
      </c>
      <c r="L22" s="310">
        <f>IF(parameters!$B$33="B",'consumption scenario B'!L19,IF(parameters!$B$33="C",'consumption scenario C'!L19,'consumption scenario A'!L19))</f>
        <v>2.1393671005343709E-6</v>
      </c>
      <c r="M22" s="310">
        <f>IF(parameters!$B$33="B",'consumption scenario B'!M19,IF(parameters!$B$33="C",'consumption scenario C'!M19,'consumption scenario A'!M19))</f>
        <v>0</v>
      </c>
      <c r="N22" s="310">
        <f>IF(parameters!$B$33="B",'consumption scenario B'!N19,IF(parameters!$B$33="C",'consumption scenario C'!N19,'consumption scenario A'!N19))</f>
        <v>0</v>
      </c>
      <c r="O22" s="310">
        <f>IF(parameters!$B$33="B",'consumption scenario B'!O19,IF(parameters!$B$33="C",'consumption scenario C'!O19,'consumption scenario A'!O19))</f>
        <v>0</v>
      </c>
      <c r="P22" s="310">
        <f>IF(parameters!$B$33="B",'consumption scenario B'!P19,IF(parameters!$B$33="C",'consumption scenario C'!P19,'consumption scenario A'!P19))</f>
        <v>0</v>
      </c>
      <c r="Q22" s="310">
        <f>IF(parameters!$B$33="B",'consumption scenario B'!Q19,IF(parameters!$B$33="C",'consumption scenario C'!Q19,'consumption scenario A'!Q19))</f>
        <v>0</v>
      </c>
      <c r="R22" s="310">
        <f>IF(parameters!$B$33="B",'consumption scenario B'!R19,IF(parameters!$B$33="C",'consumption scenario C'!R19,'consumption scenario A'!R19))</f>
        <v>0</v>
      </c>
      <c r="S22" s="310">
        <f>IF(parameters!$B$33="B",'consumption scenario B'!S19,IF(parameters!$B$33="C",'consumption scenario C'!S19,'consumption scenario A'!S19))</f>
        <v>0</v>
      </c>
      <c r="T22" s="310">
        <f>IF(parameters!$B$33="B",'consumption scenario B'!T19,IF(parameters!$B$33="C",'consumption scenario C'!T19,'consumption scenario A'!T19))</f>
        <v>0</v>
      </c>
      <c r="U22" s="310">
        <f>IF(parameters!$B$33="B",'consumption scenario B'!U19,IF(parameters!$B$33="C",'consumption scenario C'!U19,'consumption scenario A'!U19))</f>
        <v>0</v>
      </c>
      <c r="V22" s="310">
        <f>IF(parameters!$B$33="B",'consumption scenario B'!V19,IF(parameters!$B$33="C",'consumption scenario C'!V19,'consumption scenario A'!V19))</f>
        <v>0</v>
      </c>
      <c r="W22" s="310">
        <f>IF(parameters!$B$33="B",'consumption scenario B'!W19,IF(parameters!$B$33="C",'consumption scenario C'!W19,'consumption scenario A'!W19))</f>
        <v>0</v>
      </c>
      <c r="X22" s="310">
        <f>IF(parameters!$B$33="B",'consumption scenario B'!X19,IF(parameters!$B$33="C",'consumption scenario C'!X19,'consumption scenario A'!X19))</f>
        <v>0</v>
      </c>
      <c r="Y22" s="310">
        <f>IF(parameters!$B$33="B",'consumption scenario B'!Y19,IF(parameters!$B$33="C",'consumption scenario C'!Y19,'consumption scenario A'!Y19))</f>
        <v>0</v>
      </c>
      <c r="Z22" s="310">
        <f>IF(parameters!$B$33="B",'consumption scenario B'!Z19,IF(parameters!$B$33="C",'consumption scenario C'!Z19,'consumption scenario A'!Z19))</f>
        <v>0</v>
      </c>
      <c r="AA22" s="310">
        <f>IF(parameters!$B$33="B",'consumption scenario B'!AA19,IF(parameters!$B$33="C",'consumption scenario C'!AA19,'consumption scenario A'!AA19))</f>
        <v>0</v>
      </c>
      <c r="AB22" s="310">
        <f>IF(parameters!$B$33="B",'consumption scenario B'!AB19,IF(parameters!$B$33="C",'consumption scenario C'!AB19,'consumption scenario A'!AB19))</f>
        <v>0</v>
      </c>
      <c r="AC22" s="310">
        <f>IF(parameters!$B$33="B",'consumption scenario B'!AC19,IF(parameters!$B$33="C",'consumption scenario C'!AC19,'consumption scenario A'!AC19))</f>
        <v>0</v>
      </c>
      <c r="AD22" s="310">
        <f>IF(parameters!$B$33="B",'consumption scenario B'!AD19,IF(parameters!$B$33="C",'consumption scenario C'!AD19,'consumption scenario A'!AD19))</f>
        <v>0</v>
      </c>
      <c r="AE22" s="310">
        <f>IF(parameters!$B$33="B",'consumption scenario B'!AE19,IF(parameters!$B$33="C",'consumption scenario C'!AE19,'consumption scenario A'!AE19))</f>
        <v>0</v>
      </c>
      <c r="AF22" s="310">
        <f>IF(parameters!$B$33="B",'consumption scenario B'!AF19,IF(parameters!$B$33="C",'consumption scenario C'!AF19,'consumption scenario A'!AF19))</f>
        <v>0</v>
      </c>
      <c r="AG22" s="310">
        <f>IF(parameters!$B$33="B",'consumption scenario B'!AG19,IF(parameters!$B$33="C",'consumption scenario C'!AG19,'consumption scenario A'!AG19))</f>
        <v>0</v>
      </c>
      <c r="AH22" s="310">
        <f>IF(parameters!$B$33="B",'consumption scenario B'!AH19,IF(parameters!$B$33="C",'consumption scenario C'!AH19,'consumption scenario A'!AH19))</f>
        <v>0</v>
      </c>
      <c r="AI22" s="310">
        <f>IF(parameters!$B$33="B",'consumption scenario B'!AI19,IF(parameters!$B$33="C",'consumption scenario C'!AI19,'consumption scenario A'!AI19))</f>
        <v>0</v>
      </c>
      <c r="AJ22" s="310">
        <f>IF(parameters!$B$33="B",'consumption scenario B'!AJ19,IF(parameters!$B$33="C",'consumption scenario C'!AJ19,'consumption scenario A'!AJ19))</f>
        <v>0</v>
      </c>
      <c r="AK22" s="310">
        <f>IF(parameters!$B$33="B",'consumption scenario B'!AK19,IF(parameters!$B$33="C",'consumption scenario C'!AK19,'consumption scenario A'!AK19))</f>
        <v>0</v>
      </c>
      <c r="AL22" s="310">
        <f>IF(parameters!$B$33="B",'consumption scenario B'!AL19,IF(parameters!$B$33="C",'consumption scenario C'!AL19,'consumption scenario A'!AL19))</f>
        <v>0</v>
      </c>
      <c r="AM22" s="310">
        <f>IF(parameters!$B$33="B",'consumption scenario B'!AM19,IF(parameters!$B$33="C",'consumption scenario C'!AM19,'consumption scenario A'!AM19))</f>
        <v>0</v>
      </c>
      <c r="AN22" s="310">
        <f>IF(parameters!$B$33="B",'consumption scenario B'!AN19,IF(parameters!$B$33="C",'consumption scenario C'!AN19,'consumption scenario A'!AN19))</f>
        <v>0</v>
      </c>
      <c r="AO22" s="310">
        <f>IF(parameters!$B$33="B",'consumption scenario B'!AO19,IF(parameters!$B$33="C",'consumption scenario C'!AO19,'consumption scenario A'!AO19))</f>
        <v>0</v>
      </c>
      <c r="AP22" s="310">
        <f>IF(parameters!$B$33="B",'consumption scenario B'!AP19,IF(parameters!$B$33="C",'consumption scenario C'!AP19,'consumption scenario A'!AP19))</f>
        <v>0</v>
      </c>
      <c r="AQ22" s="310">
        <f>IF(parameters!$B$33="B",'consumption scenario B'!AQ19,IF(parameters!$B$33="C",'consumption scenario C'!AQ19,'consumption scenario A'!AQ19))</f>
        <v>0</v>
      </c>
      <c r="AR22" s="310">
        <f>IF(parameters!$B$33="B",'consumption scenario B'!AR19,IF(parameters!$B$33="C",'consumption scenario C'!AR19,'consumption scenario A'!AR19))</f>
        <v>0</v>
      </c>
      <c r="AS22" s="310">
        <f>IF(parameters!$B$33="B",'consumption scenario B'!AS19,IF(parameters!$B$33="C",'consumption scenario C'!AS19,'consumption scenario A'!AS19))</f>
        <v>0</v>
      </c>
      <c r="AT22" s="310">
        <f>IF(parameters!$B$33="B",'consumption scenario B'!AT19,IF(parameters!$B$33="C",'consumption scenario C'!AT19,'consumption scenario A'!AT19))</f>
        <v>0</v>
      </c>
      <c r="AU22" s="310">
        <f>IF(parameters!$B$33="B",'consumption scenario B'!AU19,IF(parameters!$B$33="C",'consumption scenario C'!AU19,'consumption scenario A'!AU19))</f>
        <v>0</v>
      </c>
    </row>
    <row r="23" spans="1:47" s="230" customFormat="1">
      <c r="A23" s="130" t="s">
        <v>24</v>
      </c>
      <c r="B23" s="310">
        <f>IF(parameters!$B$33="B",'consumption scenario B'!B20,IF(parameters!$B$33="C",'consumption scenario C'!B20,'consumption scenario A'!B20))</f>
        <v>5.1214000000000003E-2</v>
      </c>
      <c r="C23" s="310">
        <f>IF(parameters!$B$33="B",'consumption scenario B'!C20,IF(parameters!$B$33="C",'consumption scenario C'!C20,'consumption scenario A'!C20))</f>
        <v>5.2828E-2</v>
      </c>
      <c r="D23" s="310">
        <f>IF(parameters!$B$33="B",'consumption scenario B'!D20,IF(parameters!$B$33="C",'consumption scenario C'!D20,'consumption scenario A'!D20))</f>
        <v>5.5051999999999997E-2</v>
      </c>
      <c r="E23" s="310">
        <f>IF(parameters!$B$33="B",'consumption scenario B'!E20,IF(parameters!$B$33="C",'consumption scenario C'!E20,'consumption scenario A'!E20))</f>
        <v>5.7896999999999997E-2</v>
      </c>
      <c r="F23" s="310">
        <f>IF(parameters!$B$33="B",'consumption scenario B'!F20,IF(parameters!$B$33="C",'consumption scenario C'!F20,'consumption scenario A'!F20))</f>
        <v>5.7377999999999998E-2</v>
      </c>
      <c r="G23" s="310">
        <f>IF(parameters!$B$33="B",'consumption scenario B'!G20,IF(parameters!$B$33="C",'consumption scenario C'!G20,'consumption scenario A'!G20))</f>
        <v>5.3016000000000001E-2</v>
      </c>
      <c r="H23" s="310">
        <f>IF(parameters!$B$33="B",'consumption scenario B'!H20,IF(parameters!$B$33="C",'consumption scenario C'!H20,'consumption scenario A'!H20))</f>
        <v>5.8134999999999999E-2</v>
      </c>
      <c r="I23" s="310">
        <f>IF(parameters!$B$33="B",'consumption scenario B'!I20,IF(parameters!$B$33="C",'consumption scenario C'!I20,'consumption scenario A'!I20))</f>
        <v>5.4988000000000002E-2</v>
      </c>
      <c r="J23" s="310">
        <f>IF(parameters!$B$33="B",'consumption scenario B'!J20,IF(parameters!$B$33="C",'consumption scenario C'!J20,'consumption scenario A'!J20))</f>
        <v>5.7654999999999998E-2</v>
      </c>
      <c r="K23" s="310">
        <f>IF(parameters!$B$33="B",'consumption scenario B'!K20,IF(parameters!$B$33="C",'consumption scenario C'!K20,'consumption scenario A'!K20))</f>
        <v>5.6876999999999997E-2</v>
      </c>
      <c r="L23" s="310">
        <f>IF(parameters!$B$33="B",'consumption scenario B'!L20,IF(parameters!$B$33="C",'consumption scenario C'!L20,'consumption scenario A'!L20))</f>
        <v>5.3111999999999999E-2</v>
      </c>
      <c r="M23" s="310">
        <f>IF(parameters!$B$33="B",'consumption scenario B'!M20,IF(parameters!$B$33="C",'consumption scenario C'!M20,'consumption scenario A'!M20))</f>
        <v>5.5698999999999999E-2</v>
      </c>
      <c r="N23" s="310">
        <f>IF(parameters!$B$33="B",'consumption scenario B'!N20,IF(parameters!$B$33="C",'consumption scenario C'!N20,'consumption scenario A'!N20))</f>
        <v>5.5966835565110645E-2</v>
      </c>
      <c r="O23" s="310">
        <f>IF(parameters!$B$33="B",'consumption scenario B'!O20,IF(parameters!$B$33="C",'consumption scenario C'!O20,'consumption scenario A'!O20))</f>
        <v>5.8523915625327834E-2</v>
      </c>
      <c r="P23" s="310">
        <f>IF(parameters!$B$33="B",'consumption scenario B'!P20,IF(parameters!$B$33="C",'consumption scenario C'!P20,'consumption scenario A'!P20))</f>
        <v>5.948748667885756E-2</v>
      </c>
      <c r="Q23" s="310">
        <f>IF(parameters!$B$33="B",'consumption scenario B'!Q20,IF(parameters!$B$33="C",'consumption scenario C'!Q20,'consumption scenario A'!Q20))</f>
        <v>6.0301302184893747E-2</v>
      </c>
      <c r="R23" s="310">
        <f>IF(parameters!$B$33="B",'consumption scenario B'!R20,IF(parameters!$B$33="C",'consumption scenario C'!R20,'consumption scenario A'!R20))</f>
        <v>6.0913786654772817E-2</v>
      </c>
      <c r="S23" s="310">
        <f>IF(parameters!$B$33="B",'consumption scenario B'!S20,IF(parameters!$B$33="C",'consumption scenario C'!S20,'consumption scenario A'!S20))</f>
        <v>6.1463325706564806E-2</v>
      </c>
      <c r="T23" s="310">
        <f>IF(parameters!$B$33="B",'consumption scenario B'!T20,IF(parameters!$B$33="C",'consumption scenario C'!T20,'consumption scenario A'!T20))</f>
        <v>6.1822030385556961E-2</v>
      </c>
      <c r="U23" s="310">
        <f>IF(parameters!$B$33="B",'consumption scenario B'!U20,IF(parameters!$B$33="C",'consumption scenario C'!U20,'consumption scenario A'!U20))</f>
        <v>6.3690981410237199E-2</v>
      </c>
      <c r="V23" s="310">
        <f>IF(parameters!$B$33="B",'consumption scenario B'!V20,IF(parameters!$B$33="C",'consumption scenario C'!V20,'consumption scenario A'!V20))</f>
        <v>6.513375116583045E-2</v>
      </c>
      <c r="W23" s="310">
        <f>IF(parameters!$B$33="B",'consumption scenario B'!W20,IF(parameters!$B$33="C",'consumption scenario C'!W20,'consumption scenario A'!W20))</f>
        <v>6.6182537410300057E-2</v>
      </c>
      <c r="X23" s="310">
        <f>IF(parameters!$B$33="B",'consumption scenario B'!X20,IF(parameters!$B$33="C",'consumption scenario C'!X20,'consumption scenario A'!X20))</f>
        <v>6.7095494674876521E-2</v>
      </c>
      <c r="Y23" s="310">
        <f>IF(parameters!$B$33="B",'consumption scenario B'!Y20,IF(parameters!$B$33="C",'consumption scenario C'!Y20,'consumption scenario A'!Y20))</f>
        <v>6.8114712802252467E-2</v>
      </c>
      <c r="Z23" s="310">
        <f>IF(parameters!$B$33="B",'consumption scenario B'!Z20,IF(parameters!$B$33="C",'consumption scenario C'!Z20,'consumption scenario A'!Z20))</f>
        <v>6.7686878212167581E-2</v>
      </c>
      <c r="AA23" s="310">
        <f>IF(parameters!$B$33="B",'consumption scenario B'!AA20,IF(parameters!$B$33="C",'consumption scenario C'!AA20,'consumption scenario A'!AA20))</f>
        <v>6.7674896625387407E-2</v>
      </c>
      <c r="AB23" s="310">
        <f>IF(parameters!$B$33="B",'consumption scenario B'!AB20,IF(parameters!$B$33="C",'consumption scenario C'!AB20,'consumption scenario A'!AB20))</f>
        <v>6.793124961269123E-2</v>
      </c>
      <c r="AC23" s="310">
        <f>IF(parameters!$B$33="B",'consumption scenario B'!AC20,IF(parameters!$B$33="C",'consumption scenario C'!AC20,'consumption scenario A'!AC20))</f>
        <v>6.8528568969132661E-2</v>
      </c>
      <c r="AD23" s="310">
        <f>IF(parameters!$B$33="B",'consumption scenario B'!AD20,IF(parameters!$B$33="C",'consumption scenario C'!AD20,'consumption scenario A'!AD20))</f>
        <v>6.9184360294954783E-2</v>
      </c>
      <c r="AE23" s="310">
        <f>IF(parameters!$B$33="B",'consumption scenario B'!AE20,IF(parameters!$B$33="C",'consumption scenario C'!AE20,'consumption scenario A'!AE20))</f>
        <v>6.9915172102793244E-2</v>
      </c>
      <c r="AF23" s="310">
        <f>IF(parameters!$B$33="B",'consumption scenario B'!AF20,IF(parameters!$B$33="C",'consumption scenario C'!AF20,'consumption scenario A'!AF20))</f>
        <v>7.0714641963580113E-2</v>
      </c>
      <c r="AG23" s="310">
        <f>IF(parameters!$B$33="B",'consumption scenario B'!AG20,IF(parameters!$B$33="C",'consumption scenario C'!AG20,'consumption scenario A'!AG20))</f>
        <v>7.1626689725620654E-2</v>
      </c>
      <c r="AH23" s="310">
        <f>IF(parameters!$B$33="B",'consumption scenario B'!AH20,IF(parameters!$B$33="C",'consumption scenario C'!AH20,'consumption scenario A'!AH20))</f>
        <v>7.259997423589655E-2</v>
      </c>
      <c r="AI23" s="310">
        <f>IF(parameters!$B$33="B",'consumption scenario B'!AI20,IF(parameters!$B$33="C",'consumption scenario C'!AI20,'consumption scenario A'!AI20))</f>
        <v>7.3579983788905484E-2</v>
      </c>
      <c r="AJ23" s="310">
        <f>IF(parameters!$B$33="B",'consumption scenario B'!AJ20,IF(parameters!$B$33="C",'consumption scenario C'!AJ20,'consumption scenario A'!AJ20))</f>
        <v>7.4559327893704883E-2</v>
      </c>
      <c r="AK23" s="310">
        <f>IF(parameters!$B$33="B",'consumption scenario B'!AK20,IF(parameters!$B$33="C",'consumption scenario C'!AK20,'consumption scenario A'!AK20))</f>
        <v>7.5546441277812626E-2</v>
      </c>
      <c r="AL23" s="310">
        <f>IF(parameters!$B$33="B",'consumption scenario B'!AL20,IF(parameters!$B$33="C",'consumption scenario C'!AL20,'consumption scenario A'!AL20))</f>
        <v>7.6759829880778355E-2</v>
      </c>
      <c r="AM23" s="310">
        <f>IF(parameters!$B$33="B",'consumption scenario B'!AM20,IF(parameters!$B$33="C",'consumption scenario C'!AM20,'consumption scenario A'!AM20))</f>
        <v>7.7956446052409714E-2</v>
      </c>
      <c r="AN23" s="310">
        <f>IF(parameters!$B$33="B",'consumption scenario B'!AN20,IF(parameters!$B$33="C",'consumption scenario C'!AN20,'consumption scenario A'!AN20))</f>
        <v>7.9126449044794323E-2</v>
      </c>
      <c r="AO23" s="310">
        <f>IF(parameters!$B$33="B",'consumption scenario B'!AO20,IF(parameters!$B$33="C",'consumption scenario C'!AO20,'consumption scenario A'!AO20))</f>
        <v>8.026913639757613E-2</v>
      </c>
      <c r="AP23" s="310">
        <f>IF(parameters!$B$33="B",'consumption scenario B'!AP20,IF(parameters!$B$33="C",'consumption scenario C'!AP20,'consumption scenario A'!AP20))</f>
        <v>8.142279341273384E-2</v>
      </c>
      <c r="AQ23" s="310">
        <f>IF(parameters!$B$33="B",'consumption scenario B'!AQ20,IF(parameters!$B$33="C",'consumption scenario C'!AQ20,'consumption scenario A'!AQ20))</f>
        <v>8.2621331088611319E-2</v>
      </c>
      <c r="AR23" s="310">
        <f>IF(parameters!$B$33="B",'consumption scenario B'!AR20,IF(parameters!$B$33="C",'consumption scenario C'!AR20,'consumption scenario A'!AR20))</f>
        <v>8.3755414680991236E-2</v>
      </c>
      <c r="AS23" s="310">
        <f>IF(parameters!$B$33="B",'consumption scenario B'!AS20,IF(parameters!$B$33="C",'consumption scenario C'!AS20,'consumption scenario A'!AS20))</f>
        <v>8.4805706049698629E-2</v>
      </c>
      <c r="AT23" s="310">
        <f>IF(parameters!$B$33="B",'consumption scenario B'!AT20,IF(parameters!$B$33="C",'consumption scenario C'!AT20,'consumption scenario A'!AT20))</f>
        <v>8.5772338137669352E-2</v>
      </c>
      <c r="AU23" s="310">
        <f>IF(parameters!$B$33="B",'consumption scenario B'!AU20,IF(parameters!$B$33="C",'consumption scenario C'!AU20,'consumption scenario A'!AU20))</f>
        <v>8.6664340895714814E-2</v>
      </c>
    </row>
    <row r="24" spans="1:47" s="230" customFormat="1">
      <c r="A24" s="130" t="s">
        <v>55</v>
      </c>
      <c r="B24" s="310">
        <f>IF(parameters!$B$33="B",'consumption scenario B'!B21,IF(parameters!$B$33="C",'consumption scenario C'!B21,'consumption scenario A'!B21))</f>
        <v>0</v>
      </c>
      <c r="C24" s="310">
        <f>IF(parameters!$B$33="B",'consumption scenario B'!C21,IF(parameters!$B$33="C",'consumption scenario C'!C21,'consumption scenario A'!C21))</f>
        <v>0</v>
      </c>
      <c r="D24" s="310">
        <f>IF(parameters!$B$33="B",'consumption scenario B'!D21,IF(parameters!$B$33="C",'consumption scenario C'!D21,'consumption scenario A'!D21))</f>
        <v>0</v>
      </c>
      <c r="E24" s="310">
        <f>IF(parameters!$B$33="B",'consumption scenario B'!E21,IF(parameters!$B$33="C",'consumption scenario C'!E21,'consumption scenario A'!E21))</f>
        <v>0</v>
      </c>
      <c r="F24" s="310">
        <f>IF(parameters!$B$33="B",'consumption scenario B'!F21,IF(parameters!$B$33="C",'consumption scenario C'!F21,'consumption scenario A'!F21))</f>
        <v>0</v>
      </c>
      <c r="G24" s="310">
        <f>IF(parameters!$B$33="B",'consumption scenario B'!G21,IF(parameters!$B$33="C",'consumption scenario C'!G21,'consumption scenario A'!G21))</f>
        <v>0</v>
      </c>
      <c r="H24" s="310">
        <f>IF(parameters!$B$33="B",'consumption scenario B'!H21,IF(parameters!$B$33="C",'consumption scenario C'!H21,'consumption scenario A'!H21))</f>
        <v>0</v>
      </c>
      <c r="I24" s="310">
        <f>IF(parameters!$B$33="B",'consumption scenario B'!I21,IF(parameters!$B$33="C",'consumption scenario C'!I21,'consumption scenario A'!I21))</f>
        <v>0</v>
      </c>
      <c r="J24" s="310">
        <f>IF(parameters!$B$33="B",'consumption scenario B'!J21,IF(parameters!$B$33="C",'consumption scenario C'!J21,'consumption scenario A'!J21))</f>
        <v>0</v>
      </c>
      <c r="K24" s="310">
        <f>IF(parameters!$B$33="B",'consumption scenario B'!K21,IF(parameters!$B$33="C",'consumption scenario C'!K21,'consumption scenario A'!K21))</f>
        <v>0</v>
      </c>
      <c r="L24" s="310">
        <f>IF(parameters!$B$33="B",'consumption scenario B'!L21,IF(parameters!$B$33="C",'consumption scenario C'!L21,'consumption scenario A'!L21))</f>
        <v>0</v>
      </c>
      <c r="M24" s="310">
        <f>IF(parameters!$B$33="B",'consumption scenario B'!M21,IF(parameters!$B$33="C",'consumption scenario C'!M21,'consumption scenario A'!M21))</f>
        <v>0</v>
      </c>
      <c r="N24" s="310">
        <f>IF(parameters!$B$33="B",'consumption scenario B'!N21,IF(parameters!$B$33="C",'consumption scenario C'!N21,'consumption scenario A'!N21))</f>
        <v>0</v>
      </c>
      <c r="O24" s="310">
        <f>IF(parameters!$B$33="B",'consumption scenario B'!O21,IF(parameters!$B$33="C",'consumption scenario C'!O21,'consumption scenario A'!O21))</f>
        <v>0</v>
      </c>
      <c r="P24" s="310">
        <f>IF(parameters!$B$33="B",'consumption scenario B'!P21,IF(parameters!$B$33="C",'consumption scenario C'!P21,'consumption scenario A'!P21))</f>
        <v>0</v>
      </c>
      <c r="Q24" s="310">
        <f>IF(parameters!$B$33="B",'consumption scenario B'!Q21,IF(parameters!$B$33="C",'consumption scenario C'!Q21,'consumption scenario A'!Q21))</f>
        <v>0</v>
      </c>
      <c r="R24" s="310">
        <f>IF(parameters!$B$33="B",'consumption scenario B'!R21,IF(parameters!$B$33="C",'consumption scenario C'!R21,'consumption scenario A'!R21))</f>
        <v>0</v>
      </c>
      <c r="S24" s="310">
        <f>IF(parameters!$B$33="B",'consumption scenario B'!S21,IF(parameters!$B$33="C",'consumption scenario C'!S21,'consumption scenario A'!S21))</f>
        <v>0</v>
      </c>
      <c r="T24" s="310">
        <f>IF(parameters!$B$33="B",'consumption scenario B'!T21,IF(parameters!$B$33="C",'consumption scenario C'!T21,'consumption scenario A'!T21))</f>
        <v>0</v>
      </c>
      <c r="U24" s="310">
        <f>IF(parameters!$B$33="B",'consumption scenario B'!U21,IF(parameters!$B$33="C",'consumption scenario C'!U21,'consumption scenario A'!U21))</f>
        <v>0</v>
      </c>
      <c r="V24" s="310">
        <f>IF(parameters!$B$33="B",'consumption scenario B'!V21,IF(parameters!$B$33="C",'consumption scenario C'!V21,'consumption scenario A'!V21))</f>
        <v>0</v>
      </c>
      <c r="W24" s="310">
        <f>IF(parameters!$B$33="B",'consumption scenario B'!W21,IF(parameters!$B$33="C",'consumption scenario C'!W21,'consumption scenario A'!W21))</f>
        <v>0</v>
      </c>
      <c r="X24" s="310">
        <f>IF(parameters!$B$33="B",'consumption scenario B'!X21,IF(parameters!$B$33="C",'consumption scenario C'!X21,'consumption scenario A'!X21))</f>
        <v>0</v>
      </c>
      <c r="Y24" s="310">
        <f>IF(parameters!$B$33="B",'consumption scenario B'!Y21,IF(parameters!$B$33="C",'consumption scenario C'!Y21,'consumption scenario A'!Y21))</f>
        <v>0</v>
      </c>
      <c r="Z24" s="310">
        <f>IF(parameters!$B$33="B",'consumption scenario B'!Z21,IF(parameters!$B$33="C",'consumption scenario C'!Z21,'consumption scenario A'!Z21))</f>
        <v>0</v>
      </c>
      <c r="AA24" s="310">
        <f>IF(parameters!$B$33="B",'consumption scenario B'!AA21,IF(parameters!$B$33="C",'consumption scenario C'!AA21,'consumption scenario A'!AA21))</f>
        <v>0</v>
      </c>
      <c r="AB24" s="310">
        <f>IF(parameters!$B$33="B",'consumption scenario B'!AB21,IF(parameters!$B$33="C",'consumption scenario C'!AB21,'consumption scenario A'!AB21))</f>
        <v>0</v>
      </c>
      <c r="AC24" s="310">
        <f>IF(parameters!$B$33="B",'consumption scenario B'!AC21,IF(parameters!$B$33="C",'consumption scenario C'!AC21,'consumption scenario A'!AC21))</f>
        <v>0</v>
      </c>
      <c r="AD24" s="310">
        <f>IF(parameters!$B$33="B",'consumption scenario B'!AD21,IF(parameters!$B$33="C",'consumption scenario C'!AD21,'consumption scenario A'!AD21))</f>
        <v>0</v>
      </c>
      <c r="AE24" s="310">
        <f>IF(parameters!$B$33="B",'consumption scenario B'!AE21,IF(parameters!$B$33="C",'consumption scenario C'!AE21,'consumption scenario A'!AE21))</f>
        <v>0</v>
      </c>
      <c r="AF24" s="310">
        <f>IF(parameters!$B$33="B",'consumption scenario B'!AF21,IF(parameters!$B$33="C",'consumption scenario C'!AF21,'consumption scenario A'!AF21))</f>
        <v>0</v>
      </c>
      <c r="AG24" s="310">
        <f>IF(parameters!$B$33="B",'consumption scenario B'!AG21,IF(parameters!$B$33="C",'consumption scenario C'!AG21,'consumption scenario A'!AG21))</f>
        <v>0</v>
      </c>
      <c r="AH24" s="310">
        <f>IF(parameters!$B$33="B",'consumption scenario B'!AH21,IF(parameters!$B$33="C",'consumption scenario C'!AH21,'consumption scenario A'!AH21))</f>
        <v>0</v>
      </c>
      <c r="AI24" s="310">
        <f>IF(parameters!$B$33="B",'consumption scenario B'!AI21,IF(parameters!$B$33="C",'consumption scenario C'!AI21,'consumption scenario A'!AI21))</f>
        <v>0</v>
      </c>
      <c r="AJ24" s="310">
        <f>IF(parameters!$B$33="B",'consumption scenario B'!AJ21,IF(parameters!$B$33="C",'consumption scenario C'!AJ21,'consumption scenario A'!AJ21))</f>
        <v>0</v>
      </c>
      <c r="AK24" s="310">
        <f>IF(parameters!$B$33="B",'consumption scenario B'!AK21,IF(parameters!$B$33="C",'consumption scenario C'!AK21,'consumption scenario A'!AK21))</f>
        <v>0</v>
      </c>
      <c r="AL24" s="310">
        <f>IF(parameters!$B$33="B",'consumption scenario B'!AL21,IF(parameters!$B$33="C",'consumption scenario C'!AL21,'consumption scenario A'!AL21))</f>
        <v>0</v>
      </c>
      <c r="AM24" s="310">
        <f>IF(parameters!$B$33="B",'consumption scenario B'!AM21,IF(parameters!$B$33="C",'consumption scenario C'!AM21,'consumption scenario A'!AM21))</f>
        <v>0</v>
      </c>
      <c r="AN24" s="310">
        <f>IF(parameters!$B$33="B",'consumption scenario B'!AN21,IF(parameters!$B$33="C",'consumption scenario C'!AN21,'consumption scenario A'!AN21))</f>
        <v>0</v>
      </c>
      <c r="AO24" s="310">
        <f>IF(parameters!$B$33="B",'consumption scenario B'!AO21,IF(parameters!$B$33="C",'consumption scenario C'!AO21,'consumption scenario A'!AO21))</f>
        <v>0</v>
      </c>
      <c r="AP24" s="310">
        <f>IF(parameters!$B$33="B",'consumption scenario B'!AP21,IF(parameters!$B$33="C",'consumption scenario C'!AP21,'consumption scenario A'!AP21))</f>
        <v>0</v>
      </c>
      <c r="AQ24" s="310">
        <f>IF(parameters!$B$33="B",'consumption scenario B'!AQ21,IF(parameters!$B$33="C",'consumption scenario C'!AQ21,'consumption scenario A'!AQ21))</f>
        <v>0</v>
      </c>
      <c r="AR24" s="310">
        <f>IF(parameters!$B$33="B",'consumption scenario B'!AR21,IF(parameters!$B$33="C",'consumption scenario C'!AR21,'consumption scenario A'!AR21))</f>
        <v>0</v>
      </c>
      <c r="AS24" s="310">
        <f>IF(parameters!$B$33="B",'consumption scenario B'!AS21,IF(parameters!$B$33="C",'consumption scenario C'!AS21,'consumption scenario A'!AS21))</f>
        <v>0</v>
      </c>
      <c r="AT24" s="310">
        <f>IF(parameters!$B$33="B",'consumption scenario B'!AT21,IF(parameters!$B$33="C",'consumption scenario C'!AT21,'consumption scenario A'!AT21))</f>
        <v>0</v>
      </c>
      <c r="AU24" s="310">
        <f>IF(parameters!$B$33="B",'consumption scenario B'!AU21,IF(parameters!$B$33="C",'consumption scenario C'!AU21,'consumption scenario A'!AU21))</f>
        <v>0</v>
      </c>
    </row>
    <row r="25" spans="1:47" s="230" customFormat="1">
      <c r="A25" s="130" t="s">
        <v>57</v>
      </c>
      <c r="B25" s="310">
        <f>IF(parameters!$B$33="B",'consumption scenario B'!B22,IF(parameters!$B$33="C",'consumption scenario C'!B22,'consumption scenario A'!B22))</f>
        <v>1.1232510506697361E-2</v>
      </c>
      <c r="C25" s="310">
        <f>IF(parameters!$B$33="B",'consumption scenario B'!C22,IF(parameters!$B$33="C",'consumption scenario C'!C22,'consumption scenario A'!C22))</f>
        <v>1.2004280513282546E-2</v>
      </c>
      <c r="D25" s="310">
        <f>IF(parameters!$B$33="B",'consumption scenario B'!D22,IF(parameters!$B$33="C",'consumption scenario C'!D22,'consumption scenario A'!D22))</f>
        <v>7.0902028842179067E-3</v>
      </c>
      <c r="E25" s="310">
        <f>IF(parameters!$B$33="B",'consumption scenario B'!E22,IF(parameters!$B$33="C",'consumption scenario C'!E22,'consumption scenario A'!E22))</f>
        <v>8.4327374043724132E-3</v>
      </c>
      <c r="F25" s="310">
        <f>IF(parameters!$B$33="B",'consumption scenario B'!F22,IF(parameters!$B$33="C",'consumption scenario C'!F22,'consumption scenario A'!F22))</f>
        <v>7.6196660866108016E-3</v>
      </c>
      <c r="G25" s="310">
        <f>IF(parameters!$B$33="B",'consumption scenario B'!G22,IF(parameters!$B$33="C",'consumption scenario C'!G22,'consumption scenario A'!G22))</f>
        <v>7.5091694182853287E-3</v>
      </c>
      <c r="H25" s="310">
        <f>IF(parameters!$B$33="B",'consumption scenario B'!H22,IF(parameters!$B$33="C",'consumption scenario C'!H22,'consumption scenario A'!H22))</f>
        <v>1.1597546146327862E-2</v>
      </c>
      <c r="I25" s="310">
        <f>IF(parameters!$B$33="B",'consumption scenario B'!I22,IF(parameters!$B$33="C",'consumption scenario C'!I22,'consumption scenario A'!I22))</f>
        <v>1.0589264047857911E-2</v>
      </c>
      <c r="J25" s="310">
        <f>IF(parameters!$B$33="B",'consumption scenario B'!J22,IF(parameters!$B$33="C",'consumption scenario C'!J22,'consumption scenario A'!J22))</f>
        <v>1.4272486325373708E-2</v>
      </c>
      <c r="K25" s="310">
        <f>IF(parameters!$B$33="B",'consumption scenario B'!K22,IF(parameters!$B$33="C",'consumption scenario C'!K22,'consumption scenario A'!K22))</f>
        <v>1.5841078612810748E-2</v>
      </c>
      <c r="L25" s="310">
        <f>IF(parameters!$B$33="B",'consumption scenario B'!L22,IF(parameters!$B$33="C",'consumption scenario C'!L22,'consumption scenario A'!L22))</f>
        <v>1.5290897285106825E-2</v>
      </c>
      <c r="M25" s="310">
        <f>IF(parameters!$B$33="B",'consumption scenario B'!M22,IF(parameters!$B$33="C",'consumption scenario C'!M22,'consumption scenario A'!M22))</f>
        <v>2.0754026326031674E-3</v>
      </c>
      <c r="N25" s="310">
        <f>IF(parameters!$B$33="B",'consumption scenario B'!N22,IF(parameters!$B$33="C",'consumption scenario C'!N22,'consumption scenario A'!N22))</f>
        <v>3.3825338184819507E-3</v>
      </c>
      <c r="O25" s="310">
        <f>IF(parameters!$B$33="B",'consumption scenario B'!O22,IF(parameters!$B$33="C",'consumption scenario C'!O22,'consumption scenario A'!O22))</f>
        <v>3.3825338184819507E-3</v>
      </c>
      <c r="P25" s="310">
        <f>IF(parameters!$B$33="B",'consumption scenario B'!P22,IF(parameters!$B$33="C",'consumption scenario C'!P22,'consumption scenario A'!P22))</f>
        <v>3.3977855063388059E-3</v>
      </c>
      <c r="Q25" s="310">
        <f>IF(parameters!$B$33="B",'consumption scenario B'!Q22,IF(parameters!$B$33="C",'consumption scenario C'!Q22,'consumption scenario A'!Q22))</f>
        <v>3.4035078928144969E-3</v>
      </c>
      <c r="R25" s="310">
        <f>IF(parameters!$B$33="B",'consumption scenario B'!R22,IF(parameters!$B$33="C",'consumption scenario C'!R22,'consumption scenario A'!R22))</f>
        <v>3.4080406398445616E-3</v>
      </c>
      <c r="S25" s="310">
        <f>IF(parameters!$B$33="B",'consumption scenario B'!S22,IF(parameters!$B$33="C",'consumption scenario C'!S22,'consumption scenario A'!S22))</f>
        <v>3.4125900814022357E-3</v>
      </c>
      <c r="T25" s="310">
        <f>IF(parameters!$B$33="B",'consumption scenario B'!T22,IF(parameters!$B$33="C",'consumption scenario C'!T22,'consumption scenario A'!T22))</f>
        <v>3.4169812017083435E-3</v>
      </c>
      <c r="U25" s="310">
        <f>IF(parameters!$B$33="B",'consumption scenario B'!U22,IF(parameters!$B$33="C",'consumption scenario C'!U22,'consumption scenario A'!U22))</f>
        <v>3.421203350669724E-3</v>
      </c>
      <c r="V25" s="310">
        <f>IF(parameters!$B$33="B",'consumption scenario B'!V22,IF(parameters!$B$33="C",'consumption scenario C'!V22,'consumption scenario A'!V22))</f>
        <v>3.4251607442380839E-3</v>
      </c>
      <c r="W25" s="310">
        <f>IF(parameters!$B$33="B",'consumption scenario B'!W22,IF(parameters!$B$33="C",'consumption scenario C'!W22,'consumption scenario A'!W22))</f>
        <v>3.4290582850517539E-3</v>
      </c>
      <c r="X25" s="310">
        <f>IF(parameters!$B$33="B",'consumption scenario B'!X22,IF(parameters!$B$33="C",'consumption scenario C'!X22,'consumption scenario A'!X22))</f>
        <v>3.4326913584163737E-3</v>
      </c>
      <c r="Y25" s="310">
        <f>IF(parameters!$B$33="B",'consumption scenario B'!Y22,IF(parameters!$B$33="C",'consumption scenario C'!Y22,'consumption scenario A'!Y22))</f>
        <v>3.4361970490957476E-3</v>
      </c>
      <c r="Z25" s="310">
        <f>IF(parameters!$B$33="B",'consumption scenario B'!Z22,IF(parameters!$B$33="C",'consumption scenario C'!Z22,'consumption scenario A'!Z22))</f>
        <v>3.4402633168222601E-3</v>
      </c>
      <c r="AA25" s="310">
        <f>IF(parameters!$B$33="B",'consumption scenario B'!AA22,IF(parameters!$B$33="C",'consumption scenario C'!AA22,'consumption scenario A'!AA22))</f>
        <v>3.4443741042352138E-3</v>
      </c>
      <c r="AB25" s="310">
        <f>IF(parameters!$B$33="B",'consumption scenario B'!AB22,IF(parameters!$B$33="C",'consumption scenario C'!AB22,'consumption scenario A'!AB22))</f>
        <v>3.4485587931539384E-3</v>
      </c>
      <c r="AC25" s="310">
        <f>IF(parameters!$B$33="B",'consumption scenario B'!AC22,IF(parameters!$B$33="C",'consumption scenario C'!AC22,'consumption scenario A'!AC22))</f>
        <v>3.4513522312543468E-3</v>
      </c>
      <c r="AD25" s="310">
        <f>IF(parameters!$B$33="B",'consumption scenario B'!AD22,IF(parameters!$B$33="C",'consumption scenario C'!AD22,'consumption scenario A'!AD22))</f>
        <v>3.453114873590974E-3</v>
      </c>
      <c r="AE25" s="310">
        <f>IF(parameters!$B$33="B",'consumption scenario B'!AE22,IF(parameters!$B$33="C",'consumption scenario C'!AE22,'consumption scenario A'!AE22))</f>
        <v>3.4556134283030772E-3</v>
      </c>
      <c r="AF25" s="310">
        <f>IF(parameters!$B$33="B",'consumption scenario B'!AF22,IF(parameters!$B$33="C",'consumption scenario C'!AF22,'consumption scenario A'!AF22))</f>
        <v>3.4580811876723586E-3</v>
      </c>
      <c r="AG25" s="310">
        <f>IF(parameters!$B$33="B",'consumption scenario B'!AG22,IF(parameters!$B$33="C",'consumption scenario C'!AG22,'consumption scenario A'!AG22))</f>
        <v>3.4612558680297686E-3</v>
      </c>
      <c r="AH25" s="310">
        <f>IF(parameters!$B$33="B",'consumption scenario B'!AH22,IF(parameters!$B$33="C",'consumption scenario C'!AH22,'consumption scenario A'!AH22))</f>
        <v>3.4641651410198754E-3</v>
      </c>
      <c r="AI25" s="310">
        <f>IF(parameters!$B$33="B",'consumption scenario B'!AI22,IF(parameters!$B$33="C",'consumption scenario C'!AI22,'consumption scenario A'!AI22))</f>
        <v>3.4668893150800414E-3</v>
      </c>
      <c r="AJ25" s="310">
        <f>IF(parameters!$B$33="B",'consumption scenario B'!AJ22,IF(parameters!$B$33="C",'consumption scenario C'!AJ22,'consumption scenario A'!AJ22))</f>
        <v>3.4699280825442802E-3</v>
      </c>
      <c r="AK25" s="310">
        <f>IF(parameters!$B$33="B",'consumption scenario B'!AK22,IF(parameters!$B$33="C",'consumption scenario C'!AK22,'consumption scenario A'!AK22))</f>
        <v>3.4731347254052017E-3</v>
      </c>
      <c r="AL25" s="310">
        <f>IF(parameters!$B$33="B",'consumption scenario B'!AL22,IF(parameters!$B$33="C",'consumption scenario C'!AL22,'consumption scenario A'!AL22))</f>
        <v>3.4764708101491545E-3</v>
      </c>
      <c r="AM25" s="310">
        <f>IF(parameters!$B$33="B",'consumption scenario B'!AM22,IF(parameters!$B$33="C",'consumption scenario C'!AM22,'consumption scenario A'!AM22))</f>
        <v>3.4771181578228927E-3</v>
      </c>
      <c r="AN25" s="310">
        <f>IF(parameters!$B$33="B",'consumption scenario B'!AN22,IF(parameters!$B$33="C",'consumption scenario C'!AN22,'consumption scenario A'!AN22))</f>
        <v>3.4766154951589539E-3</v>
      </c>
      <c r="AO25" s="310">
        <f>IF(parameters!$B$33="B",'consumption scenario B'!AO22,IF(parameters!$B$33="C",'consumption scenario C'!AO22,'consumption scenario A'!AO22))</f>
        <v>3.4750121752726371E-3</v>
      </c>
      <c r="AP25" s="310">
        <f>IF(parameters!$B$33="B",'consumption scenario B'!AP22,IF(parameters!$B$33="C",'consumption scenario C'!AP22,'consumption scenario A'!AP22))</f>
        <v>3.4724420172171548E-3</v>
      </c>
      <c r="AQ25" s="310">
        <f>IF(parameters!$B$33="B",'consumption scenario B'!AQ22,IF(parameters!$B$33="C",'consumption scenario C'!AQ22,'consumption scenario A'!AQ22))</f>
        <v>3.4690223823380622E-3</v>
      </c>
      <c r="AR25" s="310">
        <f>IF(parameters!$B$33="B",'consumption scenario B'!AR22,IF(parameters!$B$33="C",'consumption scenario C'!AR22,'consumption scenario A'!AR22))</f>
        <v>3.4647427609070082E-3</v>
      </c>
      <c r="AS25" s="310">
        <f>IF(parameters!$B$33="B",'consumption scenario B'!AS22,IF(parameters!$B$33="C",'consumption scenario C'!AS22,'consumption scenario A'!AS22))</f>
        <v>3.45968056372037E-3</v>
      </c>
      <c r="AT25" s="310">
        <f>IF(parameters!$B$33="B",'consumption scenario B'!AT22,IF(parameters!$B$33="C",'consumption scenario C'!AT22,'consumption scenario A'!AT22))</f>
        <v>3.4537901002250509E-3</v>
      </c>
      <c r="AU25" s="310">
        <f>IF(parameters!$B$33="B",'consumption scenario B'!AU22,IF(parameters!$B$33="C",'consumption scenario C'!AU22,'consumption scenario A'!AU22))</f>
        <v>3.4470934128259922E-3</v>
      </c>
    </row>
    <row r="26" spans="1:47" s="230" customFormat="1">
      <c r="A26" s="130" t="s">
        <v>25</v>
      </c>
      <c r="B26" s="310">
        <f>IF(parameters!$B$33="B",'consumption scenario B'!B23,IF(parameters!$B$33="C",'consumption scenario C'!B23,'consumption scenario A'!B23))</f>
        <v>9.5876000000000003E-2</v>
      </c>
      <c r="C26" s="310">
        <f>IF(parameters!$B$33="B",'consumption scenario B'!C23,IF(parameters!$B$33="C",'consumption scenario C'!C23,'consumption scenario A'!C23))</f>
        <v>9.7516000000000005E-2</v>
      </c>
      <c r="D26" s="310">
        <f>IF(parameters!$B$33="B",'consumption scenario B'!D23,IF(parameters!$B$33="C",'consumption scenario C'!D23,'consumption scenario A'!D23))</f>
        <v>0.100992</v>
      </c>
      <c r="E26" s="310">
        <f>IF(parameters!$B$33="B",'consumption scenario B'!E23,IF(parameters!$B$33="C",'consumption scenario C'!E23,'consumption scenario A'!E23))</f>
        <v>0.10194499999999999</v>
      </c>
      <c r="F26" s="310">
        <f>IF(parameters!$B$33="B",'consumption scenario B'!F23,IF(parameters!$B$33="C",'consumption scenario C'!F23,'consumption scenario A'!F23))</f>
        <v>0.102594</v>
      </c>
      <c r="G26" s="310">
        <f>IF(parameters!$B$33="B",'consumption scenario B'!G23,IF(parameters!$B$33="C",'consumption scenario C'!G23,'consumption scenario A'!G23))</f>
        <v>9.8378999999999994E-2</v>
      </c>
      <c r="H26" s="310">
        <f>IF(parameters!$B$33="B",'consumption scenario B'!H23,IF(parameters!$B$33="C",'consumption scenario C'!H23,'consumption scenario A'!H23))</f>
        <v>0.100343</v>
      </c>
      <c r="I26" s="310">
        <f>IF(parameters!$B$33="B",'consumption scenario B'!I23,IF(parameters!$B$33="C",'consumption scenario C'!I23,'consumption scenario A'!I23))</f>
        <v>9.9765999999999994E-2</v>
      </c>
      <c r="J26" s="310">
        <f>IF(parameters!$B$33="B",'consumption scenario B'!J23,IF(parameters!$B$33="C",'consumption scenario C'!J23,'consumption scenario A'!J23))</f>
        <v>0.10119499999999999</v>
      </c>
      <c r="K26" s="310">
        <f>IF(parameters!$B$33="B",'consumption scenario B'!K23,IF(parameters!$B$33="C",'consumption scenario C'!K23,'consumption scenario A'!K23))</f>
        <v>9.9085999999999994E-2</v>
      </c>
      <c r="L26" s="310">
        <f>IF(parameters!$B$33="B",'consumption scenario B'!L23,IF(parameters!$B$33="C",'consumption scenario C'!L23,'consumption scenario A'!L23))</f>
        <v>9.9857000000000001E-2</v>
      </c>
      <c r="M26" s="310">
        <f>IF(parameters!$B$33="B",'consumption scenario B'!M23,IF(parameters!$B$33="C",'consumption scenario C'!M23,'consumption scenario A'!M23))</f>
        <v>9.8910999999999999E-2</v>
      </c>
      <c r="N26" s="310">
        <f>IF(parameters!$B$33="B",'consumption scenario B'!N23,IF(parameters!$B$33="C",'consumption scenario C'!N23,'consumption scenario A'!N23))</f>
        <v>0.10480490635936836</v>
      </c>
      <c r="O26" s="310">
        <f>IF(parameters!$B$33="B",'consumption scenario B'!O23,IF(parameters!$B$33="C",'consumption scenario C'!O23,'consumption scenario A'!O23))</f>
        <v>0.10521333871105421</v>
      </c>
      <c r="P26" s="310">
        <f>IF(parameters!$B$33="B",'consumption scenario B'!P23,IF(parameters!$B$33="C",'consumption scenario C'!P23,'consumption scenario A'!P23))</f>
        <v>0.10555012548015365</v>
      </c>
      <c r="Q26" s="310">
        <f>IF(parameters!$B$33="B",'consumption scenario B'!Q23,IF(parameters!$B$33="C",'consumption scenario C'!Q23,'consumption scenario A'!Q23))</f>
        <v>0.10421451165172857</v>
      </c>
      <c r="R26" s="310">
        <f>IF(parameters!$B$33="B",'consumption scenario B'!R23,IF(parameters!$B$33="C",'consumption scenario C'!R23,'consumption scenario A'!R23))</f>
        <v>0.10267501630388394</v>
      </c>
      <c r="S26" s="310">
        <f>IF(parameters!$B$33="B",'consumption scenario B'!S23,IF(parameters!$B$33="C",'consumption scenario C'!S23,'consumption scenario A'!S23))</f>
        <v>0.10108634400341444</v>
      </c>
      <c r="T26" s="310">
        <f>IF(parameters!$B$33="B",'consumption scenario B'!T23,IF(parameters!$B$33="C",'consumption scenario C'!T23,'consumption scenario A'!T23))</f>
        <v>9.9449491762697392E-2</v>
      </c>
      <c r="U26" s="310">
        <f>IF(parameters!$B$33="B",'consumption scenario B'!U23,IF(parameters!$B$33="C",'consumption scenario C'!U23,'consumption scenario A'!U23))</f>
        <v>9.7830387366624014E-2</v>
      </c>
      <c r="V26" s="310">
        <f>IF(parameters!$B$33="B",'consumption scenario B'!V23,IF(parameters!$B$33="C",'consumption scenario C'!V23,'consumption scenario A'!V23))</f>
        <v>9.6386871190781057E-2</v>
      </c>
      <c r="W26" s="310">
        <f>IF(parameters!$B$33="B",'consumption scenario B'!W23,IF(parameters!$B$33="C",'consumption scenario C'!W23,'consumption scenario A'!W23))</f>
        <v>9.5001582927870254E-2</v>
      </c>
      <c r="X26" s="310">
        <f>IF(parameters!$B$33="B",'consumption scenario B'!X23,IF(parameters!$B$33="C",'consumption scenario C'!X23,'consumption scenario A'!X23))</f>
        <v>9.4089885104566798E-2</v>
      </c>
      <c r="Y26" s="310">
        <f>IF(parameters!$B$33="B",'consumption scenario B'!Y23,IF(parameters!$B$33="C",'consumption scenario C'!Y23,'consumption scenario A'!Y23))</f>
        <v>9.3723052838241575E-2</v>
      </c>
      <c r="Z26" s="310">
        <f>IF(parameters!$B$33="B",'consumption scenario B'!Z23,IF(parameters!$B$33="C",'consumption scenario C'!Z23,'consumption scenario A'!Z23))</f>
        <v>9.3927226291079816E-2</v>
      </c>
      <c r="AA26" s="310">
        <f>IF(parameters!$B$33="B",'consumption scenario B'!AA23,IF(parameters!$B$33="C",'consumption scenario C'!AA23,'consumption scenario A'!AA23))</f>
        <v>9.4841494152795539E-2</v>
      </c>
      <c r="AB26" s="310">
        <f>IF(parameters!$B$33="B",'consumption scenario B'!AB23,IF(parameters!$B$33="C",'consumption scenario C'!AB23,'consumption scenario A'!AB23))</f>
        <v>9.6066288348271439E-2</v>
      </c>
      <c r="AC26" s="310">
        <f>IF(parameters!$B$33="B",'consumption scenario B'!AC23,IF(parameters!$B$33="C",'consumption scenario C'!AC23,'consumption scenario A'!AC23))</f>
        <v>9.7326356636790456E-2</v>
      </c>
      <c r="AD26" s="310">
        <f>IF(parameters!$B$33="B",'consumption scenario B'!AD23,IF(parameters!$B$33="C",'consumption scenario C'!AD23,'consumption scenario A'!AD23))</f>
        <v>9.8648277592829722E-2</v>
      </c>
      <c r="AE26" s="310">
        <f>IF(parameters!$B$33="B",'consumption scenario B'!AE23,IF(parameters!$B$33="C",'consumption scenario C'!AE23,'consumption scenario A'!AE23))</f>
        <v>9.9976876483141297E-2</v>
      </c>
      <c r="AF26" s="310">
        <f>IF(parameters!$B$33="B",'consumption scenario B'!AF23,IF(parameters!$B$33="C",'consumption scenario C'!AF23,'consumption scenario A'!AF23))</f>
        <v>0.10144642048655569</v>
      </c>
      <c r="AG26" s="310">
        <f>IF(parameters!$B$33="B",'consumption scenario B'!AG23,IF(parameters!$B$33="C",'consumption scenario C'!AG23,'consumption scenario A'!AG23))</f>
        <v>0.10265878398634208</v>
      </c>
      <c r="AH26" s="310">
        <f>IF(parameters!$B$33="B",'consumption scenario B'!AH23,IF(parameters!$B$33="C",'consumption scenario C'!AH23,'consumption scenario A'!AH23))</f>
        <v>0.1039753073300408</v>
      </c>
      <c r="AI26" s="310">
        <f>IF(parameters!$B$33="B",'consumption scenario B'!AI23,IF(parameters!$B$33="C",'consumption scenario C'!AI23,'consumption scenario A'!AI23))</f>
        <v>0.1052918306737395</v>
      </c>
      <c r="AJ26" s="310">
        <f>IF(parameters!$B$33="B",'consumption scenario B'!AJ23,IF(parameters!$B$33="C",'consumption scenario C'!AJ23,'consumption scenario A'!AJ23))</f>
        <v>0.1066083540174378</v>
      </c>
      <c r="AK26" s="310">
        <f>IF(parameters!$B$33="B",'consumption scenario B'!AK23,IF(parameters!$B$33="C",'consumption scenario C'!AK23,'consumption scenario A'!AK23))</f>
        <v>0.1079248773611365</v>
      </c>
      <c r="AL26" s="310">
        <f>IF(parameters!$B$33="B",'consumption scenario B'!AL23,IF(parameters!$B$33="C",'consumption scenario C'!AL23,'consumption scenario A'!AL23))</f>
        <v>0.1092414007048348</v>
      </c>
      <c r="AM26" s="310">
        <f>IF(parameters!$B$33="B",'consumption scenario B'!AM23,IF(parameters!$B$33="C",'consumption scenario C'!AM23,'consumption scenario A'!AM23))</f>
        <v>0.1105579240485335</v>
      </c>
      <c r="AN26" s="310">
        <f>IF(parameters!$B$33="B",'consumption scenario B'!AN23,IF(parameters!$B$33="C",'consumption scenario C'!AN23,'consumption scenario A'!AN23))</f>
        <v>0.11187444739223221</v>
      </c>
      <c r="AO26" s="310">
        <f>IF(parameters!$B$33="B",'consumption scenario B'!AO23,IF(parameters!$B$33="C",'consumption scenario C'!AO23,'consumption scenario A'!AO23))</f>
        <v>0.1131909707359305</v>
      </c>
      <c r="AP26" s="310">
        <f>IF(parameters!$B$33="B",'consumption scenario B'!AP23,IF(parameters!$B$33="C",'consumption scenario C'!AP23,'consumption scenario A'!AP23))</f>
        <v>0.11450749407962921</v>
      </c>
      <c r="AQ26" s="310">
        <f>IF(parameters!$B$33="B",'consumption scenario B'!AQ23,IF(parameters!$B$33="C",'consumption scenario C'!AQ23,'consumption scenario A'!AQ23))</f>
        <v>0.1158240174233279</v>
      </c>
      <c r="AR26" s="310">
        <f>IF(parameters!$B$33="B",'consumption scenario B'!AR23,IF(parameters!$B$33="C",'consumption scenario C'!AR23,'consumption scenario A'!AR23))</f>
        <v>0.11714054076702622</v>
      </c>
      <c r="AS26" s="310">
        <f>IF(parameters!$B$33="B",'consumption scenario B'!AS23,IF(parameters!$B$33="C",'consumption scenario C'!AS23,'consumption scenario A'!AS23))</f>
        <v>0.11845706411072492</v>
      </c>
      <c r="AT26" s="310">
        <f>IF(parameters!$B$33="B",'consumption scenario B'!AT23,IF(parameters!$B$33="C",'consumption scenario C'!AT23,'consumption scenario A'!AT23))</f>
        <v>0.11977358745442361</v>
      </c>
      <c r="AU26" s="310">
        <f>IF(parameters!$B$33="B",'consumption scenario B'!AU23,IF(parameters!$B$33="C",'consumption scenario C'!AU23,'consumption scenario A'!AU23))</f>
        <v>0.12109011079812192</v>
      </c>
    </row>
    <row r="27" spans="1:47" s="230" customFormat="1">
      <c r="A27" s="130" t="s">
        <v>26</v>
      </c>
      <c r="B27" s="310">
        <f t="shared" ref="B27:AK27" si="1">SUM(B18:B26)</f>
        <v>0.16476467161788416</v>
      </c>
      <c r="C27" s="310">
        <f t="shared" si="1"/>
        <v>0.16852677836453389</v>
      </c>
      <c r="D27" s="310">
        <f t="shared" si="1"/>
        <v>0.16968201926295984</v>
      </c>
      <c r="E27" s="310">
        <f t="shared" si="1"/>
        <v>0.17455298239633044</v>
      </c>
      <c r="F27" s="310">
        <f t="shared" si="1"/>
        <v>0.17848024744029631</v>
      </c>
      <c r="G27" s="310">
        <f t="shared" si="1"/>
        <v>0.1721546284123876</v>
      </c>
      <c r="H27" s="310">
        <f t="shared" si="1"/>
        <v>0.18621400280808792</v>
      </c>
      <c r="I27" s="310">
        <f t="shared" si="1"/>
        <v>0.17649243891681465</v>
      </c>
      <c r="J27" s="310">
        <f t="shared" si="1"/>
        <v>0.18411047192613061</v>
      </c>
      <c r="K27" s="310">
        <f t="shared" si="1"/>
        <v>0.18208434625514369</v>
      </c>
      <c r="L27" s="310">
        <f t="shared" si="1"/>
        <v>0.17858190953619785</v>
      </c>
      <c r="M27" s="310">
        <f t="shared" si="1"/>
        <v>0.16758307820480708</v>
      </c>
      <c r="N27" s="310">
        <f t="shared" si="1"/>
        <v>0.17552474600201393</v>
      </c>
      <c r="O27" s="310">
        <f t="shared" si="1"/>
        <v>0.17832756251584525</v>
      </c>
      <c r="P27" s="310">
        <f t="shared" si="1"/>
        <v>0.1800798221828428</v>
      </c>
      <c r="Q27" s="310">
        <f t="shared" si="1"/>
        <v>0.17954767245543057</v>
      </c>
      <c r="R27" s="310">
        <f t="shared" si="1"/>
        <v>0.17868733881294768</v>
      </c>
      <c r="S27" s="310">
        <f t="shared" si="1"/>
        <v>0.17772147627671098</v>
      </c>
      <c r="T27" s="310">
        <f t="shared" si="1"/>
        <v>0.1765382825372695</v>
      </c>
      <c r="U27" s="310">
        <f t="shared" si="1"/>
        <v>0.17696333694922212</v>
      </c>
      <c r="V27" s="310">
        <f t="shared" si="1"/>
        <v>0.17706368538974024</v>
      </c>
      <c r="W27" s="310">
        <f t="shared" si="1"/>
        <v>0.17676668513415994</v>
      </c>
      <c r="X27" s="310">
        <f t="shared" si="1"/>
        <v>0.17676967760261347</v>
      </c>
      <c r="Y27" s="310">
        <f t="shared" si="1"/>
        <v>0.17743476753923942</v>
      </c>
      <c r="Z27" s="310">
        <f t="shared" si="1"/>
        <v>0.17708867989888333</v>
      </c>
      <c r="AA27" s="310">
        <f t="shared" si="1"/>
        <v>0.17798035338987547</v>
      </c>
      <c r="AB27" s="310">
        <f t="shared" si="1"/>
        <v>0.17946502153511978</v>
      </c>
      <c r="AC27" s="310">
        <f t="shared" si="1"/>
        <v>0.18134728927132965</v>
      </c>
      <c r="AD27" s="310">
        <f t="shared" si="1"/>
        <v>0.18334692130766647</v>
      </c>
      <c r="AE27" s="310">
        <f t="shared" si="1"/>
        <v>0.18544172671131148</v>
      </c>
      <c r="AF27" s="310">
        <f t="shared" si="1"/>
        <v>0.18774591046429878</v>
      </c>
      <c r="AG27" s="310">
        <f t="shared" si="1"/>
        <v>0.18990479920838974</v>
      </c>
      <c r="AH27" s="310">
        <f t="shared" si="1"/>
        <v>0.19223289554837628</v>
      </c>
      <c r="AI27" s="310">
        <f t="shared" si="1"/>
        <v>0.19457090061133081</v>
      </c>
      <c r="AJ27" s="310">
        <f t="shared" si="1"/>
        <v>0.19690914815309507</v>
      </c>
      <c r="AK27" s="310">
        <f t="shared" si="1"/>
        <v>0.1992606129436163</v>
      </c>
      <c r="AL27" s="310">
        <f t="shared" ref="AL27:AU27" si="2">SUM(AL18:AL26)</f>
        <v>0.20184348248562328</v>
      </c>
      <c r="AM27" s="310">
        <f t="shared" si="2"/>
        <v>0.20439348082393113</v>
      </c>
      <c r="AN27" s="310">
        <f t="shared" si="2"/>
        <v>0.20691478974811497</v>
      </c>
      <c r="AO27" s="310">
        <f t="shared" si="2"/>
        <v>0.20941065534641451</v>
      </c>
      <c r="AP27" s="310">
        <f t="shared" si="2"/>
        <v>0.21191495604685667</v>
      </c>
      <c r="AQ27" s="310">
        <f t="shared" si="2"/>
        <v>0.21446288995266619</v>
      </c>
      <c r="AR27" s="310">
        <f t="shared" si="2"/>
        <v>0.21694472446944618</v>
      </c>
      <c r="AS27" s="310">
        <f t="shared" si="2"/>
        <v>0.21933629431848703</v>
      </c>
      <c r="AT27" s="310">
        <f t="shared" si="2"/>
        <v>0.22164239945453224</v>
      </c>
      <c r="AU27" s="310">
        <f t="shared" si="2"/>
        <v>0.22387218258956518</v>
      </c>
    </row>
    <row r="28" spans="1:47" s="230" customFormat="1">
      <c r="A28" s="165"/>
      <c r="B28" s="310"/>
      <c r="C28" s="310"/>
      <c r="D28" s="310"/>
      <c r="E28" s="310"/>
      <c r="F28" s="310"/>
      <c r="G28" s="310"/>
      <c r="H28" s="310"/>
      <c r="I28" s="310"/>
      <c r="J28" s="310"/>
      <c r="K28" s="310"/>
      <c r="L28" s="310"/>
      <c r="M28" s="283"/>
      <c r="N28" s="310"/>
      <c r="O28" s="310"/>
      <c r="P28" s="310"/>
      <c r="Q28" s="310"/>
      <c r="R28" s="310"/>
      <c r="S28" s="310"/>
      <c r="T28" s="310"/>
      <c r="U28" s="310"/>
      <c r="V28" s="310"/>
      <c r="W28" s="310"/>
      <c r="X28" s="310"/>
      <c r="Y28" s="310"/>
      <c r="Z28" s="310"/>
      <c r="AA28" s="310"/>
      <c r="AB28" s="310"/>
      <c r="AC28" s="310"/>
      <c r="AD28" s="310"/>
      <c r="AE28" s="310"/>
      <c r="AF28" s="310"/>
      <c r="AG28" s="283"/>
      <c r="AH28" s="283"/>
      <c r="AI28" s="283"/>
      <c r="AJ28" s="283"/>
      <c r="AK28" s="283"/>
      <c r="AL28" s="283"/>
      <c r="AM28" s="283"/>
      <c r="AN28" s="283"/>
      <c r="AO28" s="283"/>
      <c r="AP28" s="283"/>
      <c r="AQ28" s="283"/>
      <c r="AR28" s="283"/>
      <c r="AS28" s="283"/>
      <c r="AT28" s="283"/>
      <c r="AU28" s="283"/>
    </row>
    <row r="29" spans="1:47" s="5" customFormat="1" ht="13">
      <c r="A29" s="250" t="s">
        <v>78</v>
      </c>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0"/>
      <c r="AO29" s="380"/>
      <c r="AP29" s="380"/>
      <c r="AQ29" s="380"/>
      <c r="AR29" s="380"/>
      <c r="AS29" s="380"/>
      <c r="AT29" s="380"/>
      <c r="AU29" s="381"/>
    </row>
    <row r="30" spans="1:47" s="377" customFormat="1" ht="12.9" customHeight="1">
      <c r="A30" s="253" t="s">
        <v>6</v>
      </c>
      <c r="B30" s="253">
        <v>2005</v>
      </c>
      <c r="C30" s="253">
        <v>2006</v>
      </c>
      <c r="D30" s="253">
        <v>2007</v>
      </c>
      <c r="E30" s="253">
        <v>2008</v>
      </c>
      <c r="F30" s="253">
        <v>2009</v>
      </c>
      <c r="G30" s="253">
        <v>2010</v>
      </c>
      <c r="H30" s="253">
        <v>2011</v>
      </c>
      <c r="I30" s="253">
        <v>2012</v>
      </c>
      <c r="J30" s="253">
        <v>2013</v>
      </c>
      <c r="K30" s="253">
        <v>2014</v>
      </c>
      <c r="L30" s="253">
        <v>2015</v>
      </c>
      <c r="M30" s="253">
        <v>2016</v>
      </c>
      <c r="N30" s="253">
        <v>2017</v>
      </c>
      <c r="O30" s="253">
        <v>2018</v>
      </c>
      <c r="P30" s="253">
        <v>2019</v>
      </c>
      <c r="Q30" s="253">
        <v>2020</v>
      </c>
      <c r="R30" s="253">
        <v>2021</v>
      </c>
      <c r="S30" s="253">
        <v>2022</v>
      </c>
      <c r="T30" s="253">
        <v>2023</v>
      </c>
      <c r="U30" s="253">
        <v>2024</v>
      </c>
      <c r="V30" s="253">
        <v>2025</v>
      </c>
      <c r="W30" s="253">
        <v>2026</v>
      </c>
      <c r="X30" s="253">
        <v>2027</v>
      </c>
      <c r="Y30" s="253">
        <v>2028</v>
      </c>
      <c r="Z30" s="253">
        <v>2029</v>
      </c>
      <c r="AA30" s="253">
        <v>2030</v>
      </c>
      <c r="AB30" s="253">
        <v>2031</v>
      </c>
      <c r="AC30" s="253">
        <v>2032</v>
      </c>
      <c r="AD30" s="253">
        <v>2033</v>
      </c>
      <c r="AE30" s="253">
        <v>2034</v>
      </c>
      <c r="AF30" s="253">
        <v>2035</v>
      </c>
      <c r="AG30" s="253">
        <v>2036</v>
      </c>
      <c r="AH30" s="253">
        <v>2037</v>
      </c>
      <c r="AI30" s="253">
        <v>2038</v>
      </c>
      <c r="AJ30" s="253">
        <v>2039</v>
      </c>
      <c r="AK30" s="253">
        <v>2040</v>
      </c>
      <c r="AL30" s="253">
        <v>2041</v>
      </c>
      <c r="AM30" s="253">
        <v>2042</v>
      </c>
      <c r="AN30" s="253">
        <v>2043</v>
      </c>
      <c r="AO30" s="253">
        <v>2044</v>
      </c>
      <c r="AP30" s="253">
        <v>2045</v>
      </c>
      <c r="AQ30" s="253">
        <v>2046</v>
      </c>
      <c r="AR30" s="253">
        <v>2047</v>
      </c>
      <c r="AS30" s="253">
        <v>2048</v>
      </c>
      <c r="AT30" s="253">
        <v>2049</v>
      </c>
      <c r="AU30" s="253">
        <v>2050</v>
      </c>
    </row>
    <row r="31" spans="1:47" s="230" customFormat="1">
      <c r="A31" s="130" t="s">
        <v>22</v>
      </c>
      <c r="B31" s="313">
        <f>IF(parameters!$B$33="B",'consumption scenario B'!B26,IF(parameters!$B$33="C",'consumption scenario C'!B26,'consumption scenario A'!B26))</f>
        <v>4.716850778559491E-3</v>
      </c>
      <c r="C31" s="310">
        <f>IF(parameters!$B$33="B",'consumption scenario B'!C26,IF(parameters!$B$33="C",'consumption scenario C'!C26,'consumption scenario A'!C26))</f>
        <v>4.2493773066018276E-3</v>
      </c>
      <c r="D31" s="310">
        <f>IF(parameters!$B$33="B",'consumption scenario B'!D26,IF(parameters!$B$33="C",'consumption scenario C'!D26,'consumption scenario A'!D26))</f>
        <v>1.8075217666993772E-3</v>
      </c>
      <c r="E31" s="310">
        <f>IF(parameters!$B$33="B",'consumption scenario B'!E26,IF(parameters!$B$33="C",'consumption scenario C'!E26,'consumption scenario A'!E26))</f>
        <v>1.8116883920671805E-3</v>
      </c>
      <c r="F31" s="310">
        <f>IF(parameters!$B$33="B",'consumption scenario B'!F26,IF(parameters!$B$33="C",'consumption scenario C'!F26,'consumption scenario A'!F26))</f>
        <v>5.4305017293701371E-3</v>
      </c>
      <c r="G31" s="310">
        <f>IF(parameters!$B$33="B",'consumption scenario B'!G26,IF(parameters!$B$33="C",'consumption scenario C'!G26,'consumption scenario A'!G26))</f>
        <v>5.2023293877999635E-3</v>
      </c>
      <c r="H31" s="310">
        <f>IF(parameters!$B$33="B",'consumption scenario B'!H26,IF(parameters!$B$33="C",'consumption scenario C'!H26,'consumption scenario A'!H26))</f>
        <v>5.9820835637745574E-3</v>
      </c>
      <c r="I31" s="310">
        <f>IF(parameters!$B$33="B",'consumption scenario B'!I26,IF(parameters!$B$33="C",'consumption scenario C'!I26,'consumption scenario A'!I26))</f>
        <v>5.3570897586040812E-3</v>
      </c>
      <c r="J31" s="310">
        <f>IF(parameters!$B$33="B",'consumption scenario B'!J26,IF(parameters!$B$33="C",'consumption scenario C'!J26,'consumption scenario A'!J26))</f>
        <v>5.5555004904042334E-3</v>
      </c>
      <c r="K31" s="310">
        <f>IF(parameters!$B$33="B",'consumption scenario B'!K26,IF(parameters!$B$33="C",'consumption scenario C'!K26,'consumption scenario A'!K26))</f>
        <v>4.643604767050738E-3</v>
      </c>
      <c r="L31" s="310">
        <f>IF(parameters!$B$33="B",'consumption scenario B'!L26,IF(parameters!$B$33="C",'consumption scenario C'!L26,'consumption scenario A'!L26))</f>
        <v>5.2687969829530142E-3</v>
      </c>
      <c r="M31" s="310">
        <f>IF(parameters!$B$33="B",'consumption scenario B'!M26,IF(parameters!$B$33="C",'consumption scenario C'!M26,'consumption scenario A'!M26))</f>
        <v>5.7235738203177877E-3</v>
      </c>
      <c r="N31" s="310">
        <f>IF(parameters!$B$33="B",'consumption scenario B'!N26,IF(parameters!$B$33="C",'consumption scenario C'!N26,'consumption scenario A'!N26))</f>
        <v>6.3225923002553129E-3</v>
      </c>
      <c r="O31" s="310">
        <f>IF(parameters!$B$33="B",'consumption scenario B'!O26,IF(parameters!$B$33="C",'consumption scenario C'!O26,'consumption scenario A'!O26))</f>
        <v>7.4365470820301352E-3</v>
      </c>
      <c r="P31" s="310">
        <f>IF(parameters!$B$33="B",'consumption scenario B'!P26,IF(parameters!$B$33="C",'consumption scenario C'!P26,'consumption scenario A'!P26))</f>
        <v>6.4271952567766062E-3</v>
      </c>
      <c r="Q31" s="310">
        <f>IF(parameters!$B$33="B",'consumption scenario B'!Q26,IF(parameters!$B$33="C",'consumption scenario C'!Q26,'consumption scenario A'!Q26))</f>
        <v>3.7356215050282338E-3</v>
      </c>
      <c r="R31" s="310">
        <f>IF(parameters!$B$33="B",'consumption scenario B'!R26,IF(parameters!$B$33="C",'consumption scenario C'!R26,'consumption scenario A'!R26))</f>
        <v>3.7539621108192405E-3</v>
      </c>
      <c r="S31" s="310">
        <f>IF(parameters!$B$33="B",'consumption scenario B'!S26,IF(parameters!$B$33="C",'consumption scenario C'!S26,'consumption scenario A'!S26))</f>
        <v>3.7774635461123264E-3</v>
      </c>
      <c r="T31" s="310">
        <f>IF(parameters!$B$33="B",'consumption scenario B'!T26,IF(parameters!$B$33="C",'consumption scenario C'!T26,'consumption scenario A'!T26))</f>
        <v>3.8031303853625809E-3</v>
      </c>
      <c r="U31" s="310">
        <f>IF(parameters!$B$33="B",'consumption scenario B'!U26,IF(parameters!$B$33="C",'consumption scenario C'!U26,'consumption scenario A'!U26))</f>
        <v>3.8182456396857107E-3</v>
      </c>
      <c r="V31" s="310">
        <f>IF(parameters!$B$33="B",'consumption scenario B'!V26,IF(parameters!$B$33="C",'consumption scenario C'!V26,'consumption scenario A'!V26))</f>
        <v>3.8422811072888097E-3</v>
      </c>
      <c r="W31" s="310">
        <f>IF(parameters!$B$33="B",'consumption scenario B'!W26,IF(parameters!$B$33="C",'consumption scenario C'!W26,'consumption scenario A'!W26))</f>
        <v>3.8592165405442898E-3</v>
      </c>
      <c r="X31" s="310">
        <f>IF(parameters!$B$33="B",'consumption scenario B'!X26,IF(parameters!$B$33="C",'consumption scenario C'!X26,'consumption scenario A'!X26))</f>
        <v>3.8675565949509894E-3</v>
      </c>
      <c r="Y31" s="310">
        <f>IF(parameters!$B$33="B",'consumption scenario B'!Y26,IF(parameters!$B$33="C",'consumption scenario C'!Y26,'consumption scenario A'!Y26))</f>
        <v>3.8949120432934673E-3</v>
      </c>
      <c r="Z31" s="310">
        <f>IF(parameters!$B$33="B",'consumption scenario B'!Z26,IF(parameters!$B$33="C",'consumption scenario C'!Z26,'consumption scenario A'!Z26))</f>
        <v>3.9307655932599864E-3</v>
      </c>
      <c r="AA31" s="310">
        <f>IF(parameters!$B$33="B",'consumption scenario B'!AA26,IF(parameters!$B$33="C",'consumption scenario C'!AA26,'consumption scenario A'!AA26))</f>
        <v>3.9502146920838335E-3</v>
      </c>
      <c r="AB31" s="310">
        <f>IF(parameters!$B$33="B",'consumption scenario B'!AB26,IF(parameters!$B$33="C",'consumption scenario C'!AB26,'consumption scenario A'!AB26))</f>
        <v>3.9820628584464847E-3</v>
      </c>
      <c r="AC31" s="310">
        <f>IF(parameters!$B$33="B",'consumption scenario B'!AC26,IF(parameters!$B$33="C",'consumption scenario C'!AC26,'consumption scenario A'!AC26))</f>
        <v>4.0055915696914374E-3</v>
      </c>
      <c r="AD31" s="310">
        <f>IF(parameters!$B$33="B",'consumption scenario B'!AD26,IF(parameters!$B$33="C",'consumption scenario C'!AD26,'consumption scenario A'!AD26))</f>
        <v>4.0290198864365969E-3</v>
      </c>
      <c r="AE31" s="310">
        <f>IF(parameters!$B$33="B",'consumption scenario B'!AE26,IF(parameters!$B$33="C",'consumption scenario C'!AE26,'consumption scenario A'!AE26))</f>
        <v>4.0611792027423817E-3</v>
      </c>
      <c r="AF31" s="310">
        <f>IF(parameters!$B$33="B",'consumption scenario B'!AF26,IF(parameters!$B$33="C",'consumption scenario C'!AF26,'consumption scenario A'!AF26))</f>
        <v>4.0947719139418706E-3</v>
      </c>
      <c r="AG31" s="310">
        <f>IF(parameters!$B$33="B",'consumption scenario B'!AG26,IF(parameters!$B$33="C",'consumption scenario C'!AG26,'consumption scenario A'!AG26))</f>
        <v>4.1224646560232541E-3</v>
      </c>
      <c r="AH31" s="310">
        <f>IF(parameters!$B$33="B",'consumption scenario B'!AH26,IF(parameters!$B$33="C",'consumption scenario C'!AH26,'consumption scenario A'!AH26))</f>
        <v>4.1532797737102922E-3</v>
      </c>
      <c r="AI31" s="310">
        <f>IF(parameters!$B$33="B",'consumption scenario B'!AI26,IF(parameters!$B$33="C",'consumption scenario C'!AI26,'consumption scenario A'!AI26))</f>
        <v>4.1853486424746726E-3</v>
      </c>
      <c r="AJ31" s="310">
        <f>IF(parameters!$B$33="B",'consumption scenario B'!AJ26,IF(parameters!$B$33="C",'consumption scenario C'!AJ26,'consumption scenario A'!AJ26))</f>
        <v>4.2110410462775534E-3</v>
      </c>
      <c r="AK31" s="310">
        <f>IF(parameters!$B$33="B",'consumption scenario B'!AK26,IF(parameters!$B$33="C",'consumption scenario C'!AK26,'consumption scenario A'!AK26))</f>
        <v>4.2457586769534504E-3</v>
      </c>
      <c r="AL31" s="310">
        <f>IF(parameters!$B$33="B",'consumption scenario B'!AL26,IF(parameters!$B$33="C",'consumption scenario C'!AL26,'consumption scenario A'!AL26))</f>
        <v>4.2833835209325722E-3</v>
      </c>
      <c r="AM31" s="310">
        <f>IF(parameters!$B$33="B",'consumption scenario B'!AM26,IF(parameters!$B$33="C",'consumption scenario C'!AM26,'consumption scenario A'!AM26))</f>
        <v>4.3084037823857453E-3</v>
      </c>
      <c r="AN31" s="310">
        <f>IF(parameters!$B$33="B",'consumption scenario B'!AN26,IF(parameters!$B$33="C",'consumption scenario C'!AN26,'consumption scenario A'!AN26))</f>
        <v>4.3389967505311428E-3</v>
      </c>
      <c r="AO31" s="310">
        <f>IF(parameters!$B$33="B",'consumption scenario B'!AO26,IF(parameters!$B$33="C",'consumption scenario C'!AO26,'consumption scenario A'!AO26))</f>
        <v>4.3773423724071218E-3</v>
      </c>
      <c r="AP31" s="310">
        <f>IF(parameters!$B$33="B",'consumption scenario B'!AP26,IF(parameters!$B$33="C",'consumption scenario C'!AP26,'consumption scenario A'!AP26))</f>
        <v>4.4154967632190683E-3</v>
      </c>
      <c r="AQ31" s="310">
        <f>IF(parameters!$B$33="B",'consumption scenario B'!AQ26,IF(parameters!$B$33="C",'consumption scenario C'!AQ26,'consumption scenario A'!AQ26))</f>
        <v>4.456795799470786E-3</v>
      </c>
      <c r="AR31" s="310">
        <f>IF(parameters!$B$33="B",'consumption scenario B'!AR26,IF(parameters!$B$33="C",'consumption scenario C'!AR26,'consumption scenario A'!AR26))</f>
        <v>4.4974250299228751E-3</v>
      </c>
      <c r="AS31" s="310">
        <f>IF(parameters!$B$33="B",'consumption scenario B'!AS26,IF(parameters!$B$33="C",'consumption scenario C'!AS26,'consumption scenario A'!AS26))</f>
        <v>4.5385208088177141E-3</v>
      </c>
      <c r="AT31" s="310">
        <f>IF(parameters!$B$33="B",'consumption scenario B'!AT26,IF(parameters!$B$33="C",'consumption scenario C'!AT26,'consumption scenario A'!AT26))</f>
        <v>4.5746364476832516E-3</v>
      </c>
      <c r="AU31" s="310">
        <f>IF(parameters!$B$33="B",'consumption scenario B'!AU26,IF(parameters!$B$33="C",'consumption scenario C'!AU26,'consumption scenario A'!AU26))</f>
        <v>4.610947460552922E-3</v>
      </c>
    </row>
    <row r="32" spans="1:47" s="230" customFormat="1">
      <c r="A32" s="130" t="s">
        <v>28</v>
      </c>
      <c r="B32" s="310">
        <f>IF(parameters!$B$33="B",'consumption scenario B'!B27,IF(parameters!$B$33="C",'consumption scenario C'!B27,'consumption scenario A'!B27))</f>
        <v>5.7916291168298292E-3</v>
      </c>
      <c r="C32" s="310">
        <f>IF(parameters!$B$33="B",'consumption scenario B'!C27,IF(parameters!$B$33="C",'consumption scenario C'!C27,'consumption scenario A'!C27))</f>
        <v>5.937280546527866E-3</v>
      </c>
      <c r="D32" s="310">
        <f>IF(parameters!$B$33="B",'consumption scenario B'!D27,IF(parameters!$B$33="C",'consumption scenario C'!D27,'consumption scenario A'!D27))</f>
        <v>4.6383811532224864E-3</v>
      </c>
      <c r="E32" s="310">
        <f>IF(parameters!$B$33="B",'consumption scenario B'!E27,IF(parameters!$B$33="C",'consumption scenario C'!E27,'consumption scenario A'!E27))</f>
        <v>4.5054708417700783E-3</v>
      </c>
      <c r="F32" s="310">
        <f>IF(parameters!$B$33="B",'consumption scenario B'!F27,IF(parameters!$B$33="C",'consumption scenario C'!F27,'consumption scenario A'!F27))</f>
        <v>3.9347383278862062E-3</v>
      </c>
      <c r="G32" s="310">
        <f>IF(parameters!$B$33="B",'consumption scenario B'!G27,IF(parameters!$B$33="C",'consumption scenario C'!G27,'consumption scenario A'!G27))</f>
        <v>4.7206076136545039E-3</v>
      </c>
      <c r="H32" s="310">
        <f>IF(parameters!$B$33="B",'consumption scenario B'!H27,IF(parameters!$B$33="C",'consumption scenario C'!H27,'consumption scenario A'!H27))</f>
        <v>5.7059771640775303E-3</v>
      </c>
      <c r="I32" s="310">
        <f>IF(parameters!$B$33="B",'consumption scenario B'!I27,IF(parameters!$B$33="C",'consumption scenario C'!I27,'consumption scenario A'!I27))</f>
        <v>4.8527091402502031E-3</v>
      </c>
      <c r="J32" s="310">
        <f>IF(parameters!$B$33="B",'consumption scenario B'!J27,IF(parameters!$B$33="C",'consumption scenario C'!J27,'consumption scenario A'!J27))</f>
        <v>5.1223040924863253E-3</v>
      </c>
      <c r="K32" s="310">
        <f>IF(parameters!$B$33="B",'consumption scenario B'!K27,IF(parameters!$B$33="C",'consumption scenario C'!K27,'consumption scenario A'!K27))</f>
        <v>5.9017030994009557E-3</v>
      </c>
      <c r="L32" s="310">
        <f>IF(parameters!$B$33="B",'consumption scenario B'!L27,IF(parameters!$B$33="C",'consumption scenario C'!L27,'consumption scenario A'!L27))</f>
        <v>4.5262296530922588E-3</v>
      </c>
      <c r="M32" s="310">
        <f>IF(parameters!$B$33="B",'consumption scenario B'!M27,IF(parameters!$B$33="C",'consumption scenario C'!M27,'consumption scenario A'!M27))</f>
        <v>5.7189246855607377E-3</v>
      </c>
      <c r="N32" s="310">
        <f>IF(parameters!$B$33="B",'consumption scenario B'!N27,IF(parameters!$B$33="C",'consumption scenario C'!N27,'consumption scenario A'!N27))</f>
        <v>5.3797127967070927E-3</v>
      </c>
      <c r="O32" s="310">
        <f>IF(parameters!$B$33="B",'consumption scenario B'!O27,IF(parameters!$B$33="C",'consumption scenario C'!O27,'consumption scenario A'!O27))</f>
        <v>5.3011956504467666E-3</v>
      </c>
      <c r="P32" s="310">
        <f>IF(parameters!$B$33="B",'consumption scenario B'!P27,IF(parameters!$B$33="C",'consumption scenario C'!P27,'consumption scenario A'!P27))</f>
        <v>5.2256581520410241E-3</v>
      </c>
      <c r="Q32" s="310">
        <f>IF(parameters!$B$33="B",'consumption scenario B'!Q27,IF(parameters!$B$33="C",'consumption scenario C'!Q27,'consumption scenario A'!Q27))</f>
        <v>5.3481210229188725E-3</v>
      </c>
      <c r="R32" s="310">
        <f>IF(parameters!$B$33="B",'consumption scenario B'!R27,IF(parameters!$B$33="C",'consumption scenario C'!R27,'consumption scenario A'!R27))</f>
        <v>5.4686471308758589E-3</v>
      </c>
      <c r="S32" s="310">
        <f>IF(parameters!$B$33="B",'consumption scenario B'!S27,IF(parameters!$B$33="C",'consumption scenario C'!S27,'consumption scenario A'!S27))</f>
        <v>5.5695275164113133E-3</v>
      </c>
      <c r="T32" s="310">
        <f>IF(parameters!$B$33="B",'consumption scenario B'!T27,IF(parameters!$B$33="C",'consumption scenario C'!T27,'consumption scenario A'!T27))</f>
        <v>5.6669699513739709E-3</v>
      </c>
      <c r="U32" s="310">
        <f>IF(parameters!$B$33="B",'consumption scenario B'!U27,IF(parameters!$B$33="C",'consumption scenario C'!U27,'consumption scenario A'!U27))</f>
        <v>5.7507810224999801E-3</v>
      </c>
      <c r="V32" s="310">
        <f>IF(parameters!$B$33="B",'consumption scenario B'!V27,IF(parameters!$B$33="C",'consumption scenario C'!V27,'consumption scenario A'!V27))</f>
        <v>5.8225214231976373E-3</v>
      </c>
      <c r="W32" s="310">
        <f>IF(parameters!$B$33="B",'consumption scenario B'!W27,IF(parameters!$B$33="C",'consumption scenario C'!W27,'consumption scenario A'!W27))</f>
        <v>5.8805620062760983E-3</v>
      </c>
      <c r="X32" s="310">
        <f>IF(parameters!$B$33="B",'consumption scenario B'!X27,IF(parameters!$B$33="C",'consumption scenario C'!X27,'consumption scenario A'!X27))</f>
        <v>5.9209219620439705E-3</v>
      </c>
      <c r="Y32" s="310">
        <f>IF(parameters!$B$33="B",'consumption scenario B'!Y27,IF(parameters!$B$33="C",'consumption scenario C'!Y27,'consumption scenario A'!Y27))</f>
        <v>5.9718784256640126E-3</v>
      </c>
      <c r="Z32" s="310">
        <f>IF(parameters!$B$33="B",'consumption scenario B'!Z27,IF(parameters!$B$33="C",'consumption scenario C'!Z27,'consumption scenario A'!Z27))</f>
        <v>6.0108054482523382E-3</v>
      </c>
      <c r="AA32" s="310">
        <f>IF(parameters!$B$33="B",'consumption scenario B'!AA27,IF(parameters!$B$33="C",'consumption scenario C'!AA27,'consumption scenario A'!AA27))</f>
        <v>6.0334535798734126E-3</v>
      </c>
      <c r="AB32" s="310">
        <f>IF(parameters!$B$33="B",'consumption scenario B'!AB27,IF(parameters!$B$33="C",'consumption scenario C'!AB27,'consumption scenario A'!AB27))</f>
        <v>6.0731355442261081E-3</v>
      </c>
      <c r="AC32" s="310">
        <f>IF(parameters!$B$33="B",'consumption scenario B'!AC27,IF(parameters!$B$33="C",'consumption scenario C'!AC27,'consumption scenario A'!AC27))</f>
        <v>6.108634115815457E-3</v>
      </c>
      <c r="AD32" s="310">
        <f>IF(parameters!$B$33="B",'consumption scenario B'!AD27,IF(parameters!$B$33="C",'consumption scenario C'!AD27,'consumption scenario A'!AD27))</f>
        <v>6.1471939479266959E-3</v>
      </c>
      <c r="AE32" s="310">
        <f>IF(parameters!$B$33="B",'consumption scenario B'!AE27,IF(parameters!$B$33="C",'consumption scenario C'!AE27,'consumption scenario A'!AE27))</f>
        <v>6.1869690380830346E-3</v>
      </c>
      <c r="AF32" s="310">
        <f>IF(parameters!$B$33="B",'consumption scenario B'!AF27,IF(parameters!$B$33="C",'consumption scenario C'!AF27,'consumption scenario A'!AF27))</f>
        <v>6.2270170370881837E-3</v>
      </c>
      <c r="AG32" s="310">
        <f>IF(parameters!$B$33="B",'consumption scenario B'!AG27,IF(parameters!$B$33="C",'consumption scenario C'!AG27,'consumption scenario A'!AG27))</f>
        <v>6.2696450127984506E-3</v>
      </c>
      <c r="AH32" s="310">
        <f>IF(parameters!$B$33="B",'consumption scenario B'!AH27,IF(parameters!$B$33="C",'consumption scenario C'!AH27,'consumption scenario A'!AH27))</f>
        <v>6.3133848047464526E-3</v>
      </c>
      <c r="AI32" s="310">
        <f>IF(parameters!$B$33="B",'consumption scenario B'!AI27,IF(parameters!$B$33="C",'consumption scenario C'!AI27,'consumption scenario A'!AI27))</f>
        <v>6.3579617376013624E-3</v>
      </c>
      <c r="AJ32" s="310">
        <f>IF(parameters!$B$33="B",'consumption scenario B'!AJ27,IF(parameters!$B$33="C",'consumption scenario C'!AJ27,'consumption scenario A'!AJ27))</f>
        <v>6.3981734246094275E-3</v>
      </c>
      <c r="AK32" s="310">
        <f>IF(parameters!$B$33="B",'consumption scenario B'!AK27,IF(parameters!$B$33="C",'consumption scenario C'!AK27,'consumption scenario A'!AK27))</f>
        <v>6.4429342146870702E-3</v>
      </c>
      <c r="AL32" s="310">
        <f>IF(parameters!$B$33="B",'consumption scenario B'!AL27,IF(parameters!$B$33="C",'consumption scenario C'!AL27,'consumption scenario A'!AL27))</f>
        <v>6.4891233055140293E-3</v>
      </c>
      <c r="AM32" s="310">
        <f>IF(parameters!$B$33="B",'consumption scenario B'!AM27,IF(parameters!$B$33="C",'consumption scenario C'!AM27,'consumption scenario A'!AM27))</f>
        <v>6.5295030765006737E-3</v>
      </c>
      <c r="AN32" s="310">
        <f>IF(parameters!$B$33="B",'consumption scenario B'!AN27,IF(parameters!$B$33="C",'consumption scenario C'!AN27,'consumption scenario A'!AN27))</f>
        <v>6.5685612115931238E-3</v>
      </c>
      <c r="AO32" s="310">
        <f>IF(parameters!$B$33="B",'consumption scenario B'!AO27,IF(parameters!$B$33="C",'consumption scenario C'!AO27,'consumption scenario A'!AO27))</f>
        <v>6.6102523173465905E-3</v>
      </c>
      <c r="AP32" s="310">
        <f>IF(parameters!$B$33="B",'consumption scenario B'!AP27,IF(parameters!$B$33="C",'consumption scenario C'!AP27,'consumption scenario A'!AP27))</f>
        <v>6.6525563993969083E-3</v>
      </c>
      <c r="AQ32" s="310">
        <f>IF(parameters!$B$33="B",'consumption scenario B'!AQ27,IF(parameters!$B$33="C",'consumption scenario C'!AQ27,'consumption scenario A'!AQ27))</f>
        <v>6.6953768446108416E-3</v>
      </c>
      <c r="AR32" s="310">
        <f>IF(parameters!$B$33="B",'consumption scenario B'!AR27,IF(parameters!$B$33="C",'consumption scenario C'!AR27,'consumption scenario A'!AR27))</f>
        <v>6.7371224178900671E-3</v>
      </c>
      <c r="AS32" s="310">
        <f>IF(parameters!$B$33="B",'consumption scenario B'!AS27,IF(parameters!$B$33="C",'consumption scenario C'!AS27,'consumption scenario A'!AS27))</f>
        <v>6.7801241835056657E-3</v>
      </c>
      <c r="AT32" s="310">
        <f>IF(parameters!$B$33="B",'consumption scenario B'!AT27,IF(parameters!$B$33="C",'consumption scenario C'!AT27,'consumption scenario A'!AT27))</f>
        <v>6.8185661552357165E-3</v>
      </c>
      <c r="AU32" s="310">
        <f>IF(parameters!$B$33="B",'consumption scenario B'!AU27,IF(parameters!$B$33="C",'consumption scenario C'!AU27,'consumption scenario A'!AU27))</f>
        <v>6.8538523228155041E-3</v>
      </c>
    </row>
    <row r="33" spans="1:47" s="230" customFormat="1">
      <c r="A33" s="130" t="s">
        <v>23</v>
      </c>
      <c r="B33" s="310">
        <f>IF(parameters!$B$33="B",'consumption scenario B'!B28,IF(parameters!$B$33="C",'consumption scenario C'!B28,'consumption scenario A'!B28))</f>
        <v>1.7955278939008688E-2</v>
      </c>
      <c r="C33" s="310">
        <f>IF(parameters!$B$33="B",'consumption scenario B'!C28,IF(parameters!$B$33="C",'consumption scenario C'!C28,'consumption scenario A'!C28))</f>
        <v>1.855505988597872E-2</v>
      </c>
      <c r="D33" s="310">
        <f>IF(parameters!$B$33="B",'consumption scenario B'!D28,IF(parameters!$B$33="C",'consumption scenario C'!D28,'consumption scenario A'!D28))</f>
        <v>1.6026866600000002E-2</v>
      </c>
      <c r="E33" s="310">
        <f>IF(parameters!$B$33="B",'consumption scenario B'!E28,IF(parameters!$B$33="C",'consumption scenario C'!E28,'consumption scenario A'!E28))</f>
        <v>1.4883080470000001E-2</v>
      </c>
      <c r="F33" s="310">
        <f>IF(parameters!$B$33="B",'consumption scenario B'!F28,IF(parameters!$B$33="C",'consumption scenario C'!F28,'consumption scenario A'!F28))</f>
        <v>1.5386824700000001E-2</v>
      </c>
      <c r="G33" s="310">
        <f>IF(parameters!$B$33="B",'consumption scenario B'!G28,IF(parameters!$B$33="C",'consumption scenario C'!G28,'consumption scenario A'!G28))</f>
        <v>1.6241572800000003E-2</v>
      </c>
      <c r="H33" s="310">
        <f>IF(parameters!$B$33="B",'consumption scenario B'!H28,IF(parameters!$B$33="C",'consumption scenario C'!H28,'consumption scenario A'!H28))</f>
        <v>1.7688801300000001E-2</v>
      </c>
      <c r="I33" s="310">
        <f>IF(parameters!$B$33="B",'consumption scenario B'!I28,IF(parameters!$B$33="C",'consumption scenario C'!I28,'consumption scenario A'!I28))</f>
        <v>1.7801590000000003E-2</v>
      </c>
      <c r="J33" s="310">
        <f>IF(parameters!$B$33="B",'consumption scenario B'!J28,IF(parameters!$B$33="C",'consumption scenario C'!J28,'consumption scenario A'!J28))</f>
        <v>1.8345150000000001E-2</v>
      </c>
      <c r="K33" s="310">
        <f>IF(parameters!$B$33="B",'consumption scenario B'!K28,IF(parameters!$B$33="C",'consumption scenario C'!K28,'consumption scenario A'!K28))</f>
        <v>1.870077413E-2</v>
      </c>
      <c r="L33" s="310">
        <f>IF(parameters!$B$33="B",'consumption scenario B'!L28,IF(parameters!$B$33="C",'consumption scenario C'!L28,'consumption scenario A'!L28))</f>
        <v>1.781205353E-2</v>
      </c>
      <c r="M33" s="310">
        <f>IF(parameters!$B$33="B",'consumption scenario B'!M28,IF(parameters!$B$33="C",'consumption scenario C'!M28,'consumption scenario A'!M28))</f>
        <v>1.5444662204402574E-2</v>
      </c>
      <c r="N33" s="310">
        <f>IF(parameters!$B$33="B",'consumption scenario B'!N28,IF(parameters!$B$33="C",'consumption scenario C'!N28,'consumption scenario A'!N28))</f>
        <v>1.6434783251468729E-2</v>
      </c>
      <c r="O33" s="310">
        <f>IF(parameters!$B$33="B",'consumption scenario B'!O28,IF(parameters!$B$33="C",'consumption scenario C'!O28,'consumption scenario A'!O28))</f>
        <v>1.7213502231445299E-2</v>
      </c>
      <c r="P33" s="310">
        <f>IF(parameters!$B$33="B",'consumption scenario B'!P28,IF(parameters!$B$33="C",'consumption scenario C'!P28,'consumption scenario A'!P28))</f>
        <v>1.7484846440481965E-2</v>
      </c>
      <c r="Q33" s="310">
        <f>IF(parameters!$B$33="B",'consumption scenario B'!Q28,IF(parameters!$B$33="C",'consumption scenario C'!Q28,'consumption scenario A'!Q28))</f>
        <v>1.7727345017618652E-2</v>
      </c>
      <c r="R33" s="310">
        <f>IF(parameters!$B$33="B",'consumption scenario B'!R28,IF(parameters!$B$33="C",'consumption scenario C'!R28,'consumption scenario A'!R28))</f>
        <v>1.7957202935158279E-2</v>
      </c>
      <c r="S33" s="310">
        <f>IF(parameters!$B$33="B",'consumption scenario B'!S28,IF(parameters!$B$33="C",'consumption scenario C'!S28,'consumption scenario A'!S28))</f>
        <v>1.8244838062165848E-2</v>
      </c>
      <c r="T33" s="310">
        <f>IF(parameters!$B$33="B",'consumption scenario B'!T28,IF(parameters!$B$33="C",'consumption scenario C'!T28,'consumption scenario A'!T28))</f>
        <v>1.8446186204323593E-2</v>
      </c>
      <c r="U33" s="310">
        <f>IF(parameters!$B$33="B",'consumption scenario B'!U28,IF(parameters!$B$33="C",'consumption scenario C'!U28,'consumption scenario A'!U28))</f>
        <v>1.8643700902810097E-2</v>
      </c>
      <c r="V33" s="310">
        <f>IF(parameters!$B$33="B",'consumption scenario B'!V28,IF(parameters!$B$33="C",'consumption scenario C'!V28,'consumption scenario A'!V28))</f>
        <v>1.8800832657505831E-2</v>
      </c>
      <c r="W33" s="310">
        <f>IF(parameters!$B$33="B",'consumption scenario B'!W28,IF(parameters!$B$33="C",'consumption scenario C'!W28,'consumption scenario A'!W28))</f>
        <v>1.8942060609294778E-2</v>
      </c>
      <c r="X33" s="310">
        <f>IF(parameters!$B$33="B",'consumption scenario B'!X28,IF(parameters!$B$33="C",'consumption scenario C'!X28,'consumption scenario A'!X28))</f>
        <v>1.9097868591416368E-2</v>
      </c>
      <c r="Y33" s="310">
        <f>IF(parameters!$B$33="B",'consumption scenario B'!Y28,IF(parameters!$B$33="C",'consumption scenario C'!Y28,'consumption scenario A'!Y28))</f>
        <v>1.9269420097196358E-2</v>
      </c>
      <c r="Z33" s="310">
        <f>IF(parameters!$B$33="B",'consumption scenario B'!Z28,IF(parameters!$B$33="C",'consumption scenario C'!Z28,'consumption scenario A'!Z28))</f>
        <v>1.9455117457688811E-2</v>
      </c>
      <c r="AA33" s="310">
        <f>IF(parameters!$B$33="B",'consumption scenario B'!AA28,IF(parameters!$B$33="C",'consumption scenario C'!AA28,'consumption scenario A'!AA28))</f>
        <v>1.9597980037495352E-2</v>
      </c>
      <c r="AB33" s="310">
        <f>IF(parameters!$B$33="B",'consumption scenario B'!AB28,IF(parameters!$B$33="C",'consumption scenario C'!AB28,'consumption scenario A'!AB28))</f>
        <v>1.9807721597473169E-2</v>
      </c>
      <c r="AC33" s="310">
        <f>IF(parameters!$B$33="B",'consumption scenario B'!AC28,IF(parameters!$B$33="C",'consumption scenario C'!AC28,'consumption scenario A'!AC28))</f>
        <v>2.0006197232298271E-2</v>
      </c>
      <c r="AD33" s="310">
        <f>IF(parameters!$B$33="B",'consumption scenario B'!AD28,IF(parameters!$B$33="C",'consumption scenario C'!AD28,'consumption scenario A'!AD28))</f>
        <v>2.0210149479558955E-2</v>
      </c>
      <c r="AE33" s="310">
        <f>IF(parameters!$B$33="B",'consumption scenario B'!AE28,IF(parameters!$B$33="C",'consumption scenario C'!AE28,'consumption scenario A'!AE28))</f>
        <v>2.0397596443153112E-2</v>
      </c>
      <c r="AF33" s="310">
        <f>IF(parameters!$B$33="B",'consumption scenario B'!AF28,IF(parameters!$B$33="C",'consumption scenario C'!AF28,'consumption scenario A'!AF28))</f>
        <v>2.0645408091431831E-2</v>
      </c>
      <c r="AG33" s="310">
        <f>IF(parameters!$B$33="B",'consumption scenario B'!AG28,IF(parameters!$B$33="C",'consumption scenario C'!AG28,'consumption scenario A'!AG28))</f>
        <v>2.0915497512108899E-2</v>
      </c>
      <c r="AH33" s="310">
        <f>IF(parameters!$B$33="B",'consumption scenario B'!AH28,IF(parameters!$B$33="C",'consumption scenario C'!AH28,'consumption scenario A'!AH28))</f>
        <v>2.1117196500842369E-2</v>
      </c>
      <c r="AI33" s="310">
        <f>IF(parameters!$B$33="B",'consumption scenario B'!AI28,IF(parameters!$B$33="C",'consumption scenario C'!AI28,'consumption scenario A'!AI28))</f>
        <v>2.1417976225291634E-2</v>
      </c>
      <c r="AJ33" s="310">
        <f>IF(parameters!$B$33="B",'consumption scenario B'!AJ28,IF(parameters!$B$33="C",'consumption scenario C'!AJ28,'consumption scenario A'!AJ28))</f>
        <v>2.1669401120287455E-2</v>
      </c>
      <c r="AK33" s="310">
        <f>IF(parameters!$B$33="B",'consumption scenario B'!AK28,IF(parameters!$B$33="C",'consumption scenario C'!AK28,'consumption scenario A'!AK28))</f>
        <v>2.1946238622643974E-2</v>
      </c>
      <c r="AL33" s="310">
        <f>IF(parameters!$B$33="B",'consumption scenario B'!AL28,IF(parameters!$B$33="C",'consumption scenario C'!AL28,'consumption scenario A'!AL28))</f>
        <v>2.2274977998277327E-2</v>
      </c>
      <c r="AM33" s="310">
        <f>IF(parameters!$B$33="B",'consumption scenario B'!AM28,IF(parameters!$B$33="C",'consumption scenario C'!AM28,'consumption scenario A'!AM28))</f>
        <v>2.256680132023239E-2</v>
      </c>
      <c r="AN33" s="310">
        <f>IF(parameters!$B$33="B",'consumption scenario B'!AN28,IF(parameters!$B$33="C",'consumption scenario C'!AN28,'consumption scenario A'!AN28))</f>
        <v>2.2788902984842822E-2</v>
      </c>
      <c r="AO33" s="310">
        <f>IF(parameters!$B$33="B",'consumption scenario B'!AO28,IF(parameters!$B$33="C",'consumption scenario C'!AO28,'consumption scenario A'!AO28))</f>
        <v>2.3086810766892941E-2</v>
      </c>
      <c r="AP33" s="310">
        <f>IF(parameters!$B$33="B",'consumption scenario B'!AP28,IF(parameters!$B$33="C",'consumption scenario C'!AP28,'consumption scenario A'!AP28))</f>
        <v>2.3358417538677494E-2</v>
      </c>
      <c r="AQ33" s="310">
        <f>IF(parameters!$B$33="B",'consumption scenario B'!AQ28,IF(parameters!$B$33="C",'consumption scenario C'!AQ28,'consumption scenario A'!AQ28))</f>
        <v>2.3655701615496683E-2</v>
      </c>
      <c r="AR33" s="310">
        <f>IF(parameters!$B$33="B",'consumption scenario B'!AR28,IF(parameters!$B$33="C",'consumption scenario C'!AR28,'consumption scenario A'!AR28))</f>
        <v>2.3947168817649193E-2</v>
      </c>
      <c r="AS33" s="310">
        <f>IF(parameters!$B$33="B",'consumption scenario B'!AS28,IF(parameters!$B$33="C",'consumption scenario C'!AS28,'consumption scenario A'!AS28))</f>
        <v>2.4279310803989519E-2</v>
      </c>
      <c r="AT33" s="310">
        <f>IF(parameters!$B$33="B",'consumption scenario B'!AT28,IF(parameters!$B$33="C",'consumption scenario C'!AT28,'consumption scenario A'!AT28))</f>
        <v>2.4502929920770567E-2</v>
      </c>
      <c r="AU33" s="310">
        <f>IF(parameters!$B$33="B",'consumption scenario B'!AU28,IF(parameters!$B$33="C",'consumption scenario C'!AU28,'consumption scenario A'!AU28))</f>
        <v>2.4772048162951719E-2</v>
      </c>
    </row>
    <row r="34" spans="1:47" s="230" customFormat="1">
      <c r="A34" s="130" t="s">
        <v>29</v>
      </c>
      <c r="B34" s="310">
        <f>IF(parameters!$B$33="B",'consumption scenario B'!B29,IF(parameters!$B$33="C",'consumption scenario C'!B29,'consumption scenario A'!B29))</f>
        <v>8.2412061777782316E-4</v>
      </c>
      <c r="C34" s="310">
        <f>IF(parameters!$B$33="B",'consumption scenario B'!C29,IF(parameters!$B$33="C",'consumption scenario C'!C29,'consumption scenario A'!C29))</f>
        <v>8.7316280655768319E-4</v>
      </c>
      <c r="D34" s="310">
        <f>IF(parameters!$B$33="B",'consumption scenario B'!D29,IF(parameters!$B$33="C",'consumption scenario C'!D29,'consumption scenario A'!D29))</f>
        <v>8.6287806388219627E-4</v>
      </c>
      <c r="E34" s="310">
        <f>IF(parameters!$B$33="B",'consumption scenario B'!E29,IF(parameters!$B$33="C",'consumption scenario C'!E29,'consumption scenario A'!E29))</f>
        <v>8.9692965689903504E-4</v>
      </c>
      <c r="F34" s="310">
        <f>IF(parameters!$B$33="B",'consumption scenario B'!F29,IF(parameters!$B$33="C",'consumption scenario C'!F29,'consumption scenario A'!F29))</f>
        <v>1.0299269783155885E-3</v>
      </c>
      <c r="G34" s="310">
        <f>IF(parameters!$B$33="B",'consumption scenario B'!G29,IF(parameters!$B$33="C",'consumption scenario C'!G29,'consumption scenario A'!G29))</f>
        <v>9.6984641890891495E-4</v>
      </c>
      <c r="H34" s="310">
        <f>IF(parameters!$B$33="B",'consumption scenario B'!H29,IF(parameters!$B$33="C",'consumption scenario C'!H29,'consumption scenario A'!H29))</f>
        <v>9.9302289583137054E-4</v>
      </c>
      <c r="I34" s="310">
        <f>IF(parameters!$B$33="B",'consumption scenario B'!I29,IF(parameters!$B$33="C",'consumption scenario C'!I29,'consumption scenario A'!I29))</f>
        <v>7.1312236684479039E-4</v>
      </c>
      <c r="J34" s="310">
        <f>IF(parameters!$B$33="B",'consumption scenario B'!J29,IF(parameters!$B$33="C",'consumption scenario C'!J29,'consumption scenario A'!J29))</f>
        <v>7.1312236684479039E-4</v>
      </c>
      <c r="K34" s="310">
        <f>IF(parameters!$B$33="B",'consumption scenario B'!K29,IF(parameters!$B$33="C",'consumption scenario C'!K29,'consumption scenario A'!K29))</f>
        <v>4.5372410590499785E-4</v>
      </c>
      <c r="L34" s="310">
        <f>IF(parameters!$B$33="B",'consumption scenario B'!L29,IF(parameters!$B$33="C",'consumption scenario C'!L29,'consumption scenario A'!L29))</f>
        <v>3.7331955904324772E-4</v>
      </c>
      <c r="M34" s="310">
        <f>IF(parameters!$B$33="B",'consumption scenario B'!M29,IF(parameters!$B$33="C",'consumption scenario C'!M29,'consumption scenario A'!M29))</f>
        <v>4.0743217948383914E-4</v>
      </c>
      <c r="N34" s="310">
        <f>IF(parameters!$B$33="B",'consumption scenario B'!N29,IF(parameters!$B$33="C",'consumption scenario C'!N29,'consumption scenario A'!N29))</f>
        <v>4.8337337819376574E-4</v>
      </c>
      <c r="O34" s="310">
        <f>IF(parameters!$B$33="B",'consumption scenario B'!O29,IF(parameters!$B$33="C",'consumption scenario C'!O29,'consumption scenario A'!O29))</f>
        <v>4.6940387330936907E-4</v>
      </c>
      <c r="P34" s="310">
        <f>IF(parameters!$B$33="B",'consumption scenario B'!P29,IF(parameters!$B$33="C",'consumption scenario C'!P29,'consumption scenario A'!P29))</f>
        <v>4.940010196816994E-4</v>
      </c>
      <c r="Q34" s="310">
        <f>IF(parameters!$B$33="B",'consumption scenario B'!Q29,IF(parameters!$B$33="C",'consumption scenario C'!Q29,'consumption scenario A'!Q29))</f>
        <v>3.5082942010019642E-4</v>
      </c>
      <c r="R34" s="310">
        <f>IF(parameters!$B$33="B",'consumption scenario B'!R29,IF(parameters!$B$33="C",'consumption scenario C'!R29,'consumption scenario A'!R29))</f>
        <v>3.6666408328710036E-4</v>
      </c>
      <c r="S34" s="310">
        <f>IF(parameters!$B$33="B",'consumption scenario B'!S29,IF(parameters!$B$33="C",'consumption scenario C'!S29,'consumption scenario A'!S29))</f>
        <v>3.773642424066948E-4</v>
      </c>
      <c r="T34" s="310">
        <f>IF(parameters!$B$33="B",'consumption scenario B'!T29,IF(parameters!$B$33="C",'consumption scenario C'!T29,'consumption scenario A'!T29))</f>
        <v>3.8663366869049094E-4</v>
      </c>
      <c r="U34" s="310">
        <f>IF(parameters!$B$33="B",'consumption scenario B'!U29,IF(parameters!$B$33="C",'consumption scenario C'!U29,'consumption scenario A'!U29))</f>
        <v>3.954735907272459E-4</v>
      </c>
      <c r="V34" s="310">
        <f>IF(parameters!$B$33="B",'consumption scenario B'!V29,IF(parameters!$B$33="C",'consumption scenario C'!V29,'consumption scenario A'!V29))</f>
        <v>4.0430290102016185E-4</v>
      </c>
      <c r="W34" s="310">
        <f>IF(parameters!$B$33="B",'consumption scenario B'!W29,IF(parameters!$B$33="C",'consumption scenario C'!W29,'consumption scenario A'!W29))</f>
        <v>4.1227730600707413E-4</v>
      </c>
      <c r="X34" s="310">
        <f>IF(parameters!$B$33="B",'consumption scenario B'!X29,IF(parameters!$B$33="C",'consumption scenario C'!X29,'consumption scenario A'!X29))</f>
        <v>4.1661992392982269E-4</v>
      </c>
      <c r="Y34" s="310">
        <f>IF(parameters!$B$33="B",'consumption scenario B'!Y29,IF(parameters!$B$33="C",'consumption scenario C'!Y29,'consumption scenario A'!Y29))</f>
        <v>4.1979674486212126E-4</v>
      </c>
      <c r="Z34" s="310">
        <f>IF(parameters!$B$33="B",'consumption scenario B'!Z29,IF(parameters!$B$33="C",'consumption scenario C'!Z29,'consumption scenario A'!Z29))</f>
        <v>4.2246819858257395E-4</v>
      </c>
      <c r="AA34" s="310">
        <f>IF(parameters!$B$33="B",'consumption scenario B'!AA29,IF(parameters!$B$33="C",'consumption scenario C'!AA29,'consumption scenario A'!AA29))</f>
        <v>4.2253755181088194E-4</v>
      </c>
      <c r="AB34" s="310">
        <f>IF(parameters!$B$33="B",'consumption scenario B'!AB29,IF(parameters!$B$33="C",'consumption scenario C'!AB29,'consumption scenario A'!AB29))</f>
        <v>4.2421353427970088E-4</v>
      </c>
      <c r="AC34" s="310">
        <f>IF(parameters!$B$33="B",'consumption scenario B'!AC29,IF(parameters!$B$33="C",'consumption scenario C'!AC29,'consumption scenario A'!AC29))</f>
        <v>4.2484805241361026E-4</v>
      </c>
      <c r="AD34" s="310">
        <f>IF(parameters!$B$33="B",'consumption scenario B'!AD29,IF(parameters!$B$33="C",'consumption scenario C'!AD29,'consumption scenario A'!AD29))</f>
        <v>4.2550158797479483E-4</v>
      </c>
      <c r="AE34" s="310">
        <f>IF(parameters!$B$33="B",'consumption scenario B'!AE29,IF(parameters!$B$33="C",'consumption scenario C'!AE29,'consumption scenario A'!AE29))</f>
        <v>4.2639196892422886E-4</v>
      </c>
      <c r="AF34" s="310">
        <f>IF(parameters!$B$33="B",'consumption scenario B'!AF29,IF(parameters!$B$33="C",'consumption scenario C'!AF29,'consumption scenario A'!AF29))</f>
        <v>4.2684219815469971E-4</v>
      </c>
      <c r="AG34" s="310">
        <f>IF(parameters!$B$33="B",'consumption scenario B'!AG29,IF(parameters!$B$33="C",'consumption scenario C'!AG29,'consumption scenario A'!AG29))</f>
        <v>4.2752578617716189E-4</v>
      </c>
      <c r="AH34" s="310">
        <f>IF(parameters!$B$33="B",'consumption scenario B'!AH29,IF(parameters!$B$33="C",'consumption scenario C'!AH29,'consumption scenario A'!AH29))</f>
        <v>4.2846907662704543E-4</v>
      </c>
      <c r="AI34" s="310">
        <f>IF(parameters!$B$33="B",'consumption scenario B'!AI29,IF(parameters!$B$33="C",'consumption scenario C'!AI29,'consumption scenario A'!AI29))</f>
        <v>4.2953652338419292E-4</v>
      </c>
      <c r="AJ34" s="310">
        <f>IF(parameters!$B$33="B",'consumption scenario B'!AJ29,IF(parameters!$B$33="C",'consumption scenario C'!AJ29,'consumption scenario A'!AJ29))</f>
        <v>4.2991301697638365E-4</v>
      </c>
      <c r="AK34" s="310">
        <f>IF(parameters!$B$33="B",'consumption scenario B'!AK29,IF(parameters!$B$33="C",'consumption scenario C'!AK29,'consumption scenario A'!AK29))</f>
        <v>4.3045667384548789E-4</v>
      </c>
      <c r="AL34" s="310">
        <f>IF(parameters!$B$33="B",'consumption scenario B'!AL29,IF(parameters!$B$33="C",'consumption scenario C'!AL29,'consumption scenario A'!AL29))</f>
        <v>4.3028412613053561E-4</v>
      </c>
      <c r="AM34" s="310">
        <f>IF(parameters!$B$33="B",'consumption scenario B'!AM29,IF(parameters!$B$33="C",'consumption scenario C'!AM29,'consumption scenario A'!AM29))</f>
        <v>4.297781209211068E-4</v>
      </c>
      <c r="AN34" s="310">
        <f>IF(parameters!$B$33="B",'consumption scenario B'!AN29,IF(parameters!$B$33="C",'consumption scenario C'!AN29,'consumption scenario A'!AN29))</f>
        <v>4.2810437279838922E-4</v>
      </c>
      <c r="AO34" s="310">
        <f>IF(parameters!$B$33="B",'consumption scenario B'!AO29,IF(parameters!$B$33="C",'consumption scenario C'!AO29,'consumption scenario A'!AO29))</f>
        <v>4.2717472693188827E-4</v>
      </c>
      <c r="AP34" s="310">
        <f>IF(parameters!$B$33="B",'consumption scenario B'!AP29,IF(parameters!$B$33="C",'consumption scenario C'!AP29,'consumption scenario A'!AP29))</f>
        <v>4.2568810483144758E-4</v>
      </c>
      <c r="AQ34" s="310">
        <f>IF(parameters!$B$33="B",'consumption scenario B'!AQ29,IF(parameters!$B$33="C",'consumption scenario C'!AQ29,'consumption scenario A'!AQ29))</f>
        <v>4.2453793662790865E-4</v>
      </c>
      <c r="AR34" s="310">
        <f>IF(parameters!$B$33="B",'consumption scenario B'!AR29,IF(parameters!$B$33="C",'consumption scenario C'!AR29,'consumption scenario A'!AR29))</f>
        <v>4.2270010423034861E-4</v>
      </c>
      <c r="AS34" s="310">
        <f>IF(parameters!$B$33="B",'consumption scenario B'!AS29,IF(parameters!$B$33="C",'consumption scenario C'!AS29,'consumption scenario A'!AS29))</f>
        <v>4.2106193451922315E-4</v>
      </c>
      <c r="AT34" s="310">
        <f>IF(parameters!$B$33="B",'consumption scenario B'!AT29,IF(parameters!$B$33="C",'consumption scenario C'!AT29,'consumption scenario A'!AT29))</f>
        <v>4.1888954474431008E-4</v>
      </c>
      <c r="AU34" s="310">
        <f>IF(parameters!$B$33="B",'consumption scenario B'!AU29,IF(parameters!$B$33="C",'consumption scenario C'!AU29,'consumption scenario A'!AU29))</f>
        <v>4.1778681033359137E-4</v>
      </c>
    </row>
    <row r="35" spans="1:47" s="230" customFormat="1">
      <c r="A35" s="130" t="s">
        <v>58</v>
      </c>
      <c r="B35" s="310">
        <f>IF(parameters!$B$33="B",'consumption scenario B'!B30,IF(parameters!$B$33="C",'consumption scenario C'!B30,'consumption scenario A'!B30))</f>
        <v>6.7804572629369363E-3</v>
      </c>
      <c r="C35" s="310">
        <f>IF(parameters!$B$33="B",'consumption scenario B'!C30,IF(parameters!$B$33="C",'consumption scenario C'!C30,'consumption scenario A'!C30))</f>
        <v>7.084609643170898E-3</v>
      </c>
      <c r="D35" s="310">
        <f>IF(parameters!$B$33="B",'consumption scenario B'!D30,IF(parameters!$B$33="C",'consumption scenario C'!D30,'consumption scenario A'!D30))</f>
        <v>6.6965625211192169E-3</v>
      </c>
      <c r="E35" s="310">
        <f>IF(parameters!$B$33="B",'consumption scenario B'!E30,IF(parameters!$B$33="C",'consumption scenario C'!E30,'consumption scenario A'!E30))</f>
        <v>5.7652291992522772E-3</v>
      </c>
      <c r="F35" s="310">
        <f>IF(parameters!$B$33="B",'consumption scenario B'!F30,IF(parameters!$B$33="C",'consumption scenario C'!F30,'consumption scenario A'!F30))</f>
        <v>2.1334181483211668E-3</v>
      </c>
      <c r="G35" s="310">
        <f>IF(parameters!$B$33="B",'consumption scenario B'!G30,IF(parameters!$B$33="C",'consumption scenario C'!G30,'consumption scenario A'!G30))</f>
        <v>0</v>
      </c>
      <c r="H35" s="310">
        <f>IF(parameters!$B$33="B",'consumption scenario B'!H30,IF(parameters!$B$33="C",'consumption scenario C'!H30,'consumption scenario A'!H30))</f>
        <v>0</v>
      </c>
      <c r="I35" s="310">
        <f>IF(parameters!$B$33="B",'consumption scenario B'!I30,IF(parameters!$B$33="C",'consumption scenario C'!I30,'consumption scenario A'!I30))</f>
        <v>0</v>
      </c>
      <c r="J35" s="310">
        <f>IF(parameters!$B$33="B",'consumption scenario B'!J30,IF(parameters!$B$33="C",'consumption scenario C'!J30,'consumption scenario A'!J30))</f>
        <v>0</v>
      </c>
      <c r="K35" s="310">
        <f>IF(parameters!$B$33="B",'consumption scenario B'!K30,IF(parameters!$B$33="C",'consumption scenario C'!K30,'consumption scenario A'!K30))</f>
        <v>0</v>
      </c>
      <c r="L35" s="310">
        <f>IF(parameters!$B$33="B",'consumption scenario B'!L30,IF(parameters!$B$33="C",'consumption scenario C'!L30,'consumption scenario A'!L30))</f>
        <v>0</v>
      </c>
      <c r="M35" s="310">
        <f>IF(parameters!$B$33="B",'consumption scenario B'!M30,IF(parameters!$B$33="C",'consumption scenario C'!M30,'consumption scenario A'!M30))</f>
        <v>0</v>
      </c>
      <c r="N35" s="310">
        <f>IF(parameters!$B$33="B",'consumption scenario B'!N30,IF(parameters!$B$33="C",'consumption scenario C'!N30,'consumption scenario A'!N30))</f>
        <v>0</v>
      </c>
      <c r="O35" s="310">
        <f>IF(parameters!$B$33="B",'consumption scenario B'!O30,IF(parameters!$B$33="C",'consumption scenario C'!O30,'consumption scenario A'!O30))</f>
        <v>0</v>
      </c>
      <c r="P35" s="310">
        <f>IF(parameters!$B$33="B",'consumption scenario B'!P30,IF(parameters!$B$33="C",'consumption scenario C'!P30,'consumption scenario A'!P30))</f>
        <v>0</v>
      </c>
      <c r="Q35" s="310">
        <f>IF(parameters!$B$33="B",'consumption scenario B'!Q30,IF(parameters!$B$33="C",'consumption scenario C'!Q30,'consumption scenario A'!Q30))</f>
        <v>0</v>
      </c>
      <c r="R35" s="310">
        <f>IF(parameters!$B$33="B",'consumption scenario B'!R30,IF(parameters!$B$33="C",'consumption scenario C'!R30,'consumption scenario A'!R30))</f>
        <v>0</v>
      </c>
      <c r="S35" s="310">
        <f>IF(parameters!$B$33="B",'consumption scenario B'!S30,IF(parameters!$B$33="C",'consumption scenario C'!S30,'consumption scenario A'!S30))</f>
        <v>0</v>
      </c>
      <c r="T35" s="310">
        <f>IF(parameters!$B$33="B",'consumption scenario B'!T30,IF(parameters!$B$33="C",'consumption scenario C'!T30,'consumption scenario A'!T30))</f>
        <v>0</v>
      </c>
      <c r="U35" s="310">
        <f>IF(parameters!$B$33="B",'consumption scenario B'!U30,IF(parameters!$B$33="C",'consumption scenario C'!U30,'consumption scenario A'!U30))</f>
        <v>0</v>
      </c>
      <c r="V35" s="310">
        <f>IF(parameters!$B$33="B",'consumption scenario B'!V30,IF(parameters!$B$33="C",'consumption scenario C'!V30,'consumption scenario A'!V30))</f>
        <v>0</v>
      </c>
      <c r="W35" s="310">
        <f>IF(parameters!$B$33="B",'consumption scenario B'!W30,IF(parameters!$B$33="C",'consumption scenario C'!W30,'consumption scenario A'!W30))</f>
        <v>0</v>
      </c>
      <c r="X35" s="310">
        <f>IF(parameters!$B$33="B",'consumption scenario B'!X30,IF(parameters!$B$33="C",'consumption scenario C'!X30,'consumption scenario A'!X30))</f>
        <v>0</v>
      </c>
      <c r="Y35" s="310">
        <f>IF(parameters!$B$33="B",'consumption scenario B'!Y30,IF(parameters!$B$33="C",'consumption scenario C'!Y30,'consumption scenario A'!Y30))</f>
        <v>0</v>
      </c>
      <c r="Z35" s="310">
        <f>IF(parameters!$B$33="B",'consumption scenario B'!Z30,IF(parameters!$B$33="C",'consumption scenario C'!Z30,'consumption scenario A'!Z30))</f>
        <v>0</v>
      </c>
      <c r="AA35" s="310">
        <f>IF(parameters!$B$33="B",'consumption scenario B'!AA30,IF(parameters!$B$33="C",'consumption scenario C'!AA30,'consumption scenario A'!AA30))</f>
        <v>0</v>
      </c>
      <c r="AB35" s="310">
        <f>IF(parameters!$B$33="B",'consumption scenario B'!AB30,IF(parameters!$B$33="C",'consumption scenario C'!AB30,'consumption scenario A'!AB30))</f>
        <v>0</v>
      </c>
      <c r="AC35" s="310">
        <f>IF(parameters!$B$33="B",'consumption scenario B'!AC30,IF(parameters!$B$33="C",'consumption scenario C'!AC30,'consumption scenario A'!AC30))</f>
        <v>0</v>
      </c>
      <c r="AD35" s="310">
        <f>IF(parameters!$B$33="B",'consumption scenario B'!AD30,IF(parameters!$B$33="C",'consumption scenario C'!AD30,'consumption scenario A'!AD30))</f>
        <v>0</v>
      </c>
      <c r="AE35" s="310">
        <f>IF(parameters!$B$33="B",'consumption scenario B'!AE30,IF(parameters!$B$33="C",'consumption scenario C'!AE30,'consumption scenario A'!AE30))</f>
        <v>0</v>
      </c>
      <c r="AF35" s="310">
        <f>IF(parameters!$B$33="B",'consumption scenario B'!AF30,IF(parameters!$B$33="C",'consumption scenario C'!AF30,'consumption scenario A'!AF30))</f>
        <v>0</v>
      </c>
      <c r="AG35" s="310">
        <f>IF(parameters!$B$33="B",'consumption scenario B'!AG30,IF(parameters!$B$33="C",'consumption scenario C'!AG30,'consumption scenario A'!AG30))</f>
        <v>0</v>
      </c>
      <c r="AH35" s="310">
        <f>IF(parameters!$B$33="B",'consumption scenario B'!AH30,IF(parameters!$B$33="C",'consumption scenario C'!AH30,'consumption scenario A'!AH30))</f>
        <v>0</v>
      </c>
      <c r="AI35" s="310">
        <f>IF(parameters!$B$33="B",'consumption scenario B'!AI30,IF(parameters!$B$33="C",'consumption scenario C'!AI30,'consumption scenario A'!AI30))</f>
        <v>0</v>
      </c>
      <c r="AJ35" s="310">
        <f>IF(parameters!$B$33="B",'consumption scenario B'!AJ30,IF(parameters!$B$33="C",'consumption scenario C'!AJ30,'consumption scenario A'!AJ30))</f>
        <v>0</v>
      </c>
      <c r="AK35" s="310">
        <f>IF(parameters!$B$33="B",'consumption scenario B'!AK30,IF(parameters!$B$33="C",'consumption scenario C'!AK30,'consumption scenario A'!AK30))</f>
        <v>0</v>
      </c>
      <c r="AL35" s="310">
        <f>IF(parameters!$B$33="B",'consumption scenario B'!AL30,IF(parameters!$B$33="C",'consumption scenario C'!AL30,'consumption scenario A'!AL30))</f>
        <v>0</v>
      </c>
      <c r="AM35" s="310">
        <f>IF(parameters!$B$33="B",'consumption scenario B'!AM30,IF(parameters!$B$33="C",'consumption scenario C'!AM30,'consumption scenario A'!AM30))</f>
        <v>0</v>
      </c>
      <c r="AN35" s="310">
        <f>IF(parameters!$B$33="B",'consumption scenario B'!AN30,IF(parameters!$B$33="C",'consumption scenario C'!AN30,'consumption scenario A'!AN30))</f>
        <v>0</v>
      </c>
      <c r="AO35" s="310">
        <f>IF(parameters!$B$33="B",'consumption scenario B'!AO30,IF(parameters!$B$33="C",'consumption scenario C'!AO30,'consumption scenario A'!AO30))</f>
        <v>0</v>
      </c>
      <c r="AP35" s="310">
        <f>IF(parameters!$B$33="B",'consumption scenario B'!AP30,IF(parameters!$B$33="C",'consumption scenario C'!AP30,'consumption scenario A'!AP30))</f>
        <v>0</v>
      </c>
      <c r="AQ35" s="310">
        <f>IF(parameters!$B$33="B",'consumption scenario B'!AQ30,IF(parameters!$B$33="C",'consumption scenario C'!AQ30,'consumption scenario A'!AQ30))</f>
        <v>0</v>
      </c>
      <c r="AR35" s="310">
        <f>IF(parameters!$B$33="B",'consumption scenario B'!AR30,IF(parameters!$B$33="C",'consumption scenario C'!AR30,'consumption scenario A'!AR30))</f>
        <v>0</v>
      </c>
      <c r="AS35" s="310">
        <f>IF(parameters!$B$33="B",'consumption scenario B'!AS30,IF(parameters!$B$33="C",'consumption scenario C'!AS30,'consumption scenario A'!AS30))</f>
        <v>0</v>
      </c>
      <c r="AT35" s="310">
        <f>IF(parameters!$B$33="B",'consumption scenario B'!AT30,IF(parameters!$B$33="C",'consumption scenario C'!AT30,'consumption scenario A'!AT30))</f>
        <v>0</v>
      </c>
      <c r="AU35" s="310">
        <f>IF(parameters!$B$33="B",'consumption scenario B'!AU30,IF(parameters!$B$33="C",'consumption scenario C'!AU30,'consumption scenario A'!AU30))</f>
        <v>0</v>
      </c>
    </row>
    <row r="36" spans="1:47" s="230" customFormat="1">
      <c r="A36" s="130" t="s">
        <v>31</v>
      </c>
      <c r="B36" s="310">
        <f>IF(parameters!$B$33="B",'consumption scenario B'!B31,IF(parameters!$B$33="C",'consumption scenario C'!B31,'consumption scenario A'!B31))</f>
        <v>0.1068870445352794</v>
      </c>
      <c r="C36" s="310">
        <f>IF(parameters!$B$33="B",'consumption scenario B'!C31,IF(parameters!$B$33="C",'consumption scenario C'!C31,'consumption scenario A'!C31))</f>
        <v>0.10739627155380832</v>
      </c>
      <c r="D36" s="310">
        <f>IF(parameters!$B$33="B",'consumption scenario B'!D31,IF(parameters!$B$33="C",'consumption scenario C'!D31,'consumption scenario A'!D31))</f>
        <v>9.611717890950533E-2</v>
      </c>
      <c r="E36" s="310">
        <f>IF(parameters!$B$33="B",'consumption scenario B'!E31,IF(parameters!$B$33="C",'consumption scenario C'!E31,'consumption scenario A'!E31))</f>
        <v>9.0873015177546229E-2</v>
      </c>
      <c r="F36" s="310">
        <f>IF(parameters!$B$33="B",'consumption scenario B'!F31,IF(parameters!$B$33="C",'consumption scenario C'!F31,'consumption scenario A'!F31))</f>
        <v>7.5575866736152603E-2</v>
      </c>
      <c r="G36" s="310">
        <f>IF(parameters!$B$33="B",'consumption scenario B'!G31,IF(parameters!$B$33="C",'consumption scenario C'!G31,'consumption scenario A'!G31))</f>
        <v>7.8573746918458962E-2</v>
      </c>
      <c r="H36" s="310">
        <f>IF(parameters!$B$33="B",'consumption scenario B'!H31,IF(parameters!$B$33="C",'consumption scenario C'!H31,'consumption scenario A'!H31))</f>
        <v>7.3637634514515535E-2</v>
      </c>
      <c r="I36" s="310">
        <f>IF(parameters!$B$33="B",'consumption scenario B'!I31,IF(parameters!$B$33="C",'consumption scenario C'!I31,'consumption scenario A'!I31))</f>
        <v>7.3671052311440319E-2</v>
      </c>
      <c r="J36" s="310">
        <f>IF(parameters!$B$33="B",'consumption scenario B'!J31,IF(parameters!$B$33="C",'consumption scenario C'!J31,'consumption scenario A'!J31))</f>
        <v>7.9595116311741695E-2</v>
      </c>
      <c r="K36" s="310">
        <f>IF(parameters!$B$33="B",'consumption scenario B'!K31,IF(parameters!$B$33="C",'consumption scenario C'!K31,'consumption scenario A'!K31))</f>
        <v>7.5019764215508933E-2</v>
      </c>
      <c r="L36" s="310">
        <f>IF(parameters!$B$33="B",'consumption scenario B'!L31,IF(parameters!$B$33="C",'consumption scenario C'!L31,'consumption scenario A'!L31))</f>
        <v>7.2497480043072909E-2</v>
      </c>
      <c r="M36" s="310">
        <f>IF(parameters!$B$33="B",'consumption scenario B'!M31,IF(parameters!$B$33="C",'consumption scenario C'!M31,'consumption scenario A'!M31))</f>
        <v>9.1572079810057286E-2</v>
      </c>
      <c r="N36" s="310">
        <f>IF(parameters!$B$33="B",'consumption scenario B'!N31,IF(parameters!$B$33="C",'consumption scenario C'!N31,'consumption scenario A'!N31))</f>
        <v>8.8145152495871612E-2</v>
      </c>
      <c r="O36" s="310">
        <f>IF(parameters!$B$33="B",'consumption scenario B'!O31,IF(parameters!$B$33="C",'consumption scenario C'!O31,'consumption scenario A'!O31))</f>
        <v>8.6484463651335747E-2</v>
      </c>
      <c r="P36" s="310">
        <f>IF(parameters!$B$33="B",'consumption scenario B'!P31,IF(parameters!$B$33="C",'consumption scenario C'!P31,'consumption scenario A'!P31))</f>
        <v>8.7584814376678893E-2</v>
      </c>
      <c r="Q36" s="310">
        <f>IF(parameters!$B$33="B",'consumption scenario B'!Q31,IF(parameters!$B$33="C",'consumption scenario C'!Q31,'consumption scenario A'!Q31))</f>
        <v>7.8688253967929875E-2</v>
      </c>
      <c r="R36" s="310">
        <f>IF(parameters!$B$33="B",'consumption scenario B'!R31,IF(parameters!$B$33="C",'consumption scenario C'!R31,'consumption scenario A'!R31))</f>
        <v>7.6275466958920651E-2</v>
      </c>
      <c r="S36" s="310">
        <f>IF(parameters!$B$33="B",'consumption scenario B'!S31,IF(parameters!$B$33="C",'consumption scenario C'!S31,'consumption scenario A'!S31))</f>
        <v>7.357517522672806E-2</v>
      </c>
      <c r="T36" s="310">
        <f>IF(parameters!$B$33="B",'consumption scenario B'!T31,IF(parameters!$B$33="C",'consumption scenario C'!T31,'consumption scenario A'!T31))</f>
        <v>7.1466418642320992E-2</v>
      </c>
      <c r="U36" s="310">
        <f>IF(parameters!$B$33="B",'consumption scenario B'!U31,IF(parameters!$B$33="C",'consumption scenario C'!U31,'consumption scenario A'!U31))</f>
        <v>7.1276496388059413E-2</v>
      </c>
      <c r="V36" s="310">
        <f>IF(parameters!$B$33="B",'consumption scenario B'!V31,IF(parameters!$B$33="C",'consumption scenario C'!V31,'consumption scenario A'!V31))</f>
        <v>7.2014999621664716E-2</v>
      </c>
      <c r="W36" s="310">
        <f>IF(parameters!$B$33="B",'consumption scenario B'!W31,IF(parameters!$B$33="C",'consumption scenario C'!W31,'consumption scenario A'!W31))</f>
        <v>6.9946192621943931E-2</v>
      </c>
      <c r="X36" s="310">
        <f>IF(parameters!$B$33="B",'consumption scenario B'!X31,IF(parameters!$B$33="C",'consumption scenario C'!X31,'consumption scenario A'!X31))</f>
        <v>6.7811227633505861E-2</v>
      </c>
      <c r="Y36" s="310">
        <f>IF(parameters!$B$33="B",'consumption scenario B'!Y31,IF(parameters!$B$33="C",'consumption scenario C'!Y31,'consumption scenario A'!Y31))</f>
        <v>6.8594579627139912E-2</v>
      </c>
      <c r="Z36" s="310">
        <f>IF(parameters!$B$33="B",'consumption scenario B'!Z31,IF(parameters!$B$33="C",'consumption scenario C'!Z31,'consumption scenario A'!Z31))</f>
        <v>6.844112264397835E-2</v>
      </c>
      <c r="AA36" s="310">
        <f>IF(parameters!$B$33="B",'consumption scenario B'!AA31,IF(parameters!$B$33="C",'consumption scenario C'!AA31,'consumption scenario A'!AA31))</f>
        <v>6.8415973460972654E-2</v>
      </c>
      <c r="AB36" s="310">
        <f>IF(parameters!$B$33="B",'consumption scenario B'!AB31,IF(parameters!$B$33="C",'consumption scenario C'!AB31,'consumption scenario A'!AB31))</f>
        <v>6.8722398489604666E-2</v>
      </c>
      <c r="AC36" s="310">
        <f>IF(parameters!$B$33="B",'consumption scenario B'!AC31,IF(parameters!$B$33="C",'consumption scenario C'!AC31,'consumption scenario A'!AC31))</f>
        <v>6.9595959197534613E-2</v>
      </c>
      <c r="AD36" s="310">
        <f>IF(parameters!$B$33="B",'consumption scenario B'!AD31,IF(parameters!$B$33="C",'consumption scenario C'!AD31,'consumption scenario A'!AD31))</f>
        <v>7.1306049261024462E-2</v>
      </c>
      <c r="AE36" s="310">
        <f>IF(parameters!$B$33="B",'consumption scenario B'!AE31,IF(parameters!$B$33="C",'consumption scenario C'!AE31,'consumption scenario A'!AE31))</f>
        <v>7.3618007468666147E-2</v>
      </c>
      <c r="AF36" s="310">
        <f>IF(parameters!$B$33="B",'consumption scenario B'!AF31,IF(parameters!$B$33="C",'consumption scenario C'!AF31,'consumption scenario A'!AF31))</f>
        <v>7.3969431440510353E-2</v>
      </c>
      <c r="AG36" s="310">
        <f>IF(parameters!$B$33="B",'consumption scenario B'!AG31,IF(parameters!$B$33="C",'consumption scenario C'!AG31,'consumption scenario A'!AG31))</f>
        <v>7.2926997474056413E-2</v>
      </c>
      <c r="AH36" s="310">
        <f>IF(parameters!$B$33="B",'consumption scenario B'!AH31,IF(parameters!$B$33="C",'consumption scenario C'!AH31,'consumption scenario A'!AH31))</f>
        <v>7.2933272495751142E-2</v>
      </c>
      <c r="AI36" s="310">
        <f>IF(parameters!$B$33="B",'consumption scenario B'!AI31,IF(parameters!$B$33="C",'consumption scenario C'!AI31,'consumption scenario A'!AI31))</f>
        <v>7.3285435761587414E-2</v>
      </c>
      <c r="AJ36" s="310">
        <f>IF(parameters!$B$33="B",'consumption scenario B'!AJ31,IF(parameters!$B$33="C",'consumption scenario C'!AJ31,'consumption scenario A'!AJ31))</f>
        <v>7.5705262185060518E-2</v>
      </c>
      <c r="AK36" s="310">
        <f>IF(parameters!$B$33="B",'consumption scenario B'!AK31,IF(parameters!$B$33="C",'consumption scenario C'!AK31,'consumption scenario A'!AK31))</f>
        <v>7.5475120823800507E-2</v>
      </c>
      <c r="AL36" s="310">
        <f>IF(parameters!$B$33="B",'consumption scenario B'!AL31,IF(parameters!$B$33="C",'consumption scenario C'!AL31,'consumption scenario A'!AL31))</f>
        <v>7.6430478740394131E-2</v>
      </c>
      <c r="AM36" s="310">
        <f>IF(parameters!$B$33="B",'consumption scenario B'!AM31,IF(parameters!$B$33="C",'consumption scenario C'!AM31,'consumption scenario A'!AM31))</f>
        <v>7.6949624245245207E-2</v>
      </c>
      <c r="AN36" s="310">
        <f>IF(parameters!$B$33="B",'consumption scenario B'!AN31,IF(parameters!$B$33="C",'consumption scenario C'!AN31,'consumption scenario A'!AN31))</f>
        <v>7.8225722548622756E-2</v>
      </c>
      <c r="AO36" s="310">
        <f>IF(parameters!$B$33="B",'consumption scenario B'!AO31,IF(parameters!$B$33="C",'consumption scenario C'!AO31,'consumption scenario A'!AO31))</f>
        <v>7.8009545746405132E-2</v>
      </c>
      <c r="AP36" s="310">
        <f>IF(parameters!$B$33="B",'consumption scenario B'!AP31,IF(parameters!$B$33="C",'consumption scenario C'!AP31,'consumption scenario A'!AP31))</f>
        <v>8.0135368689597586E-2</v>
      </c>
      <c r="AQ36" s="310">
        <f>IF(parameters!$B$33="B",'consumption scenario B'!AQ31,IF(parameters!$B$33="C",'consumption scenario C'!AQ31,'consumption scenario A'!AQ31))</f>
        <v>8.0806155684230635E-2</v>
      </c>
      <c r="AR36" s="310">
        <f>IF(parameters!$B$33="B",'consumption scenario B'!AR31,IF(parameters!$B$33="C",'consumption scenario C'!AR31,'consumption scenario A'!AR31))</f>
        <v>8.1346339419793093E-2</v>
      </c>
      <c r="AS36" s="310">
        <f>IF(parameters!$B$33="B",'consumption scenario B'!AS31,IF(parameters!$B$33="C",'consumption scenario C'!AS31,'consumption scenario A'!AS31))</f>
        <v>8.2023710451915505E-2</v>
      </c>
      <c r="AT36" s="310">
        <f>IF(parameters!$B$33="B",'consumption scenario B'!AT31,IF(parameters!$B$33="C",'consumption scenario C'!AT31,'consumption scenario A'!AT31))</f>
        <v>8.2769642004594093E-2</v>
      </c>
      <c r="AU36" s="310">
        <f>IF(parameters!$B$33="B",'consumption scenario B'!AU31,IF(parameters!$B$33="C",'consumption scenario C'!AU31,'consumption scenario A'!AU31))</f>
        <v>8.4806781420945929E-2</v>
      </c>
    </row>
    <row r="37" spans="1:47" s="230" customFormat="1">
      <c r="A37" s="130" t="s">
        <v>24</v>
      </c>
      <c r="B37" s="310">
        <f>IF(parameters!$B$33="B",'consumption scenario B'!B32,IF(parameters!$B$33="C",'consumption scenario C'!B32,'consumption scenario A'!B32))</f>
        <v>6.8849999999999995E-2</v>
      </c>
      <c r="C37" s="310">
        <f>IF(parameters!$B$33="B",'consumption scenario B'!C32,IF(parameters!$B$33="C",'consumption scenario C'!C32,'consumption scenario A'!C32))</f>
        <v>7.2876999999999997E-2</v>
      </c>
      <c r="D37" s="310">
        <f>IF(parameters!$B$33="B",'consumption scenario B'!D32,IF(parameters!$B$33="C",'consumption scenario C'!D32,'consumption scenario A'!D32))</f>
        <v>7.5440999999999994E-2</v>
      </c>
      <c r="E37" s="310">
        <f>IF(parameters!$B$33="B",'consumption scenario B'!E32,IF(parameters!$B$33="C",'consumption scenario C'!E32,'consumption scenario A'!E32))</f>
        <v>7.8029000000000001E-2</v>
      </c>
      <c r="F37" s="310">
        <f>IF(parameters!$B$33="B",'consumption scenario B'!F32,IF(parameters!$B$33="C",'consumption scenario C'!F32,'consumption scenario A'!F32))</f>
        <v>7.3422000000000001E-2</v>
      </c>
      <c r="G37" s="310">
        <f>IF(parameters!$B$33="B",'consumption scenario B'!G32,IF(parameters!$B$33="C",'consumption scenario C'!G32,'consumption scenario A'!G32))</f>
        <v>7.3613999999999999E-2</v>
      </c>
      <c r="H37" s="310">
        <f>IF(parameters!$B$33="B",'consumption scenario B'!H32,IF(parameters!$B$33="C",'consumption scenario C'!H32,'consumption scenario A'!H32))</f>
        <v>7.8514E-2</v>
      </c>
      <c r="I37" s="310">
        <f>IF(parameters!$B$33="B",'consumption scenario B'!I32,IF(parameters!$B$33="C",'consumption scenario C'!I32,'consumption scenario A'!I32))</f>
        <v>8.0490999999999993E-2</v>
      </c>
      <c r="J37" s="310">
        <f>IF(parameters!$B$33="B",'consumption scenario B'!J32,IF(parameters!$B$33="C",'consumption scenario C'!J32,'consumption scenario A'!J32))</f>
        <v>8.3570000000000005E-2</v>
      </c>
      <c r="K37" s="310">
        <f>IF(parameters!$B$33="B",'consumption scenario B'!K32,IF(parameters!$B$33="C",'consumption scenario C'!K32,'consumption scenario A'!K32))</f>
        <v>8.2968E-2</v>
      </c>
      <c r="L37" s="310">
        <f>IF(parameters!$B$33="B",'consumption scenario B'!L32,IF(parameters!$B$33="C",'consumption scenario C'!L32,'consumption scenario A'!L32))</f>
        <v>8.1389000000000003E-2</v>
      </c>
      <c r="M37" s="310">
        <f>IF(parameters!$B$33="B",'consumption scenario B'!M32,IF(parameters!$B$33="C",'consumption scenario C'!M32,'consumption scenario A'!M32))</f>
        <v>8.5515999999999995E-2</v>
      </c>
      <c r="N37" s="310">
        <f>IF(parameters!$B$33="B",'consumption scenario B'!N32,IF(parameters!$B$33="C",'consumption scenario C'!N32,'consumption scenario A'!N32))</f>
        <v>8.0656000000000005E-2</v>
      </c>
      <c r="O37" s="310">
        <f>IF(parameters!$B$33="B",'consumption scenario B'!O32,IF(parameters!$B$33="C",'consumption scenario C'!O32,'consumption scenario A'!O32))</f>
        <v>7.8219999999999998E-2</v>
      </c>
      <c r="P37" s="310">
        <f>IF(parameters!$B$33="B",'consumption scenario B'!P32,IF(parameters!$B$33="C",'consumption scenario C'!P32,'consumption scenario A'!P32))</f>
        <v>7.2841335256597389E-2</v>
      </c>
      <c r="Q37" s="310">
        <f>IF(parameters!$B$33="B",'consumption scenario B'!Q32,IF(parameters!$B$33="C",'consumption scenario C'!Q32,'consumption scenario A'!Q32))</f>
        <v>7.9283537897784237E-2</v>
      </c>
      <c r="R37" s="310">
        <f>IF(parameters!$B$33="B",'consumption scenario B'!R32,IF(parameters!$B$33="C",'consumption scenario C'!R32,'consumption scenario A'!R32))</f>
        <v>7.9882417059258373E-2</v>
      </c>
      <c r="S37" s="310">
        <f>IF(parameters!$B$33="B",'consumption scenario B'!S32,IF(parameters!$B$33="C",'consumption scenario C'!S32,'consumption scenario A'!S32))</f>
        <v>8.1641653017412608E-2</v>
      </c>
      <c r="T37" s="310">
        <f>IF(parameters!$B$33="B",'consumption scenario B'!T32,IF(parameters!$B$33="C",'consumption scenario C'!T32,'consumption scenario A'!T32))</f>
        <v>8.2627917459559358E-2</v>
      </c>
      <c r="U37" s="310">
        <f>IF(parameters!$B$33="B",'consumption scenario B'!U32,IF(parameters!$B$33="C",'consumption scenario C'!U32,'consumption scenario A'!U32))</f>
        <v>9.054201549634755E-2</v>
      </c>
      <c r="V37" s="310">
        <f>IF(parameters!$B$33="B",'consumption scenario B'!V32,IF(parameters!$B$33="C",'consumption scenario C'!V32,'consumption scenario A'!V32))</f>
        <v>9.1161377297812443E-2</v>
      </c>
      <c r="W37" s="310">
        <f>IF(parameters!$B$33="B",'consumption scenario B'!W32,IF(parameters!$B$33="C",'consumption scenario C'!W32,'consumption scenario A'!W32))</f>
        <v>9.4939492476648984E-2</v>
      </c>
      <c r="X37" s="310">
        <f>IF(parameters!$B$33="B",'consumption scenario B'!X32,IF(parameters!$B$33="C",'consumption scenario C'!X32,'consumption scenario A'!X32))</f>
        <v>9.3913528417643916E-2</v>
      </c>
      <c r="Y37" s="310">
        <f>IF(parameters!$B$33="B",'consumption scenario B'!Y32,IF(parameters!$B$33="C",'consumption scenario C'!Y32,'consumption scenario A'!Y32))</f>
        <v>9.5341929889442734E-2</v>
      </c>
      <c r="Z37" s="310">
        <f>IF(parameters!$B$33="B",'consumption scenario B'!Z32,IF(parameters!$B$33="C",'consumption scenario C'!Z32,'consumption scenario A'!Z32))</f>
        <v>9.1074016907184904E-2</v>
      </c>
      <c r="AA37" s="310">
        <f>IF(parameters!$B$33="B",'consumption scenario B'!AA32,IF(parameters!$B$33="C",'consumption scenario C'!AA32,'consumption scenario A'!AA32))</f>
        <v>9.223635235245406E-2</v>
      </c>
      <c r="AB37" s="310">
        <f>IF(parameters!$B$33="B",'consumption scenario B'!AB32,IF(parameters!$B$33="C",'consumption scenario C'!AB32,'consumption scenario A'!AB32))</f>
        <v>9.1872937142121691E-2</v>
      </c>
      <c r="AC37" s="310">
        <f>IF(parameters!$B$33="B",'consumption scenario B'!AC32,IF(parameters!$B$33="C",'consumption scenario C'!AC32,'consumption scenario A'!AC32))</f>
        <v>9.1398835150428043E-2</v>
      </c>
      <c r="AD37" s="310">
        <f>IF(parameters!$B$33="B",'consumption scenario B'!AD32,IF(parameters!$B$33="C",'consumption scenario C'!AD32,'consumption scenario A'!AD32))</f>
        <v>9.1250397442970935E-2</v>
      </c>
      <c r="AE37" s="310">
        <f>IF(parameters!$B$33="B",'consumption scenario B'!AE32,IF(parameters!$B$33="C",'consumption scenario C'!AE32,'consumption scenario A'!AE32))</f>
        <v>9.1997183953064804E-2</v>
      </c>
      <c r="AF37" s="310">
        <f>IF(parameters!$B$33="B",'consumption scenario B'!AF32,IF(parameters!$B$33="C",'consumption scenario C'!AF32,'consumption scenario A'!AF32))</f>
        <v>9.1847259177747498E-2</v>
      </c>
      <c r="AG37" s="310">
        <f>IF(parameters!$B$33="B",'consumption scenario B'!AG32,IF(parameters!$B$33="C",'consumption scenario C'!AG32,'consumption scenario A'!AG32))</f>
        <v>9.2619957493931038E-2</v>
      </c>
      <c r="AH37" s="310">
        <f>IF(parameters!$B$33="B",'consumption scenario B'!AH32,IF(parameters!$B$33="C",'consumption scenario C'!AH32,'consumption scenario A'!AH32))</f>
        <v>9.2970056465774525E-2</v>
      </c>
      <c r="AI37" s="310">
        <f>IF(parameters!$B$33="B",'consumption scenario B'!AI32,IF(parameters!$B$33="C",'consumption scenario C'!AI32,'consumption scenario A'!AI32))</f>
        <v>9.4054224126485314E-2</v>
      </c>
      <c r="AJ37" s="310">
        <f>IF(parameters!$B$33="B",'consumption scenario B'!AJ32,IF(parameters!$B$33="C",'consumption scenario C'!AJ32,'consumption scenario A'!AJ32))</f>
        <v>9.4627723594938956E-2</v>
      </c>
      <c r="AK37" s="310">
        <f>IF(parameters!$B$33="B",'consumption scenario B'!AK32,IF(parameters!$B$33="C",'consumption scenario C'!AK32,'consumption scenario A'!AK32))</f>
        <v>9.5272163685851632E-2</v>
      </c>
      <c r="AL37" s="310">
        <f>IF(parameters!$B$33="B",'consumption scenario B'!AL32,IF(parameters!$B$33="C",'consumption scenario C'!AL32,'consumption scenario A'!AL32))</f>
        <v>9.6428071731777198E-2</v>
      </c>
      <c r="AM37" s="310">
        <f>IF(parameters!$B$33="B",'consumption scenario B'!AM32,IF(parameters!$B$33="C",'consumption scenario C'!AM32,'consumption scenario A'!AM32))</f>
        <v>9.6670151153250825E-2</v>
      </c>
      <c r="AN37" s="310">
        <f>IF(parameters!$B$33="B",'consumption scenario B'!AN32,IF(parameters!$B$33="C",'consumption scenario C'!AN32,'consumption scenario A'!AN32))</f>
        <v>9.7732997135563729E-2</v>
      </c>
      <c r="AO37" s="310">
        <f>IF(parameters!$B$33="B",'consumption scenario B'!AO32,IF(parameters!$B$33="C",'consumption scenario C'!AO32,'consumption scenario A'!AO32))</f>
        <v>9.9403181869932841E-2</v>
      </c>
      <c r="AP37" s="310">
        <f>IF(parameters!$B$33="B",'consumption scenario B'!AP32,IF(parameters!$B$33="C",'consumption scenario C'!AP32,'consumption scenario A'!AP32))</f>
        <v>0.102089075921454</v>
      </c>
      <c r="AQ37" s="310">
        <f>IF(parameters!$B$33="B",'consumption scenario B'!AQ32,IF(parameters!$B$33="C",'consumption scenario C'!AQ32,'consumption scenario A'!AQ32))</f>
        <v>0.10256784628680075</v>
      </c>
      <c r="AR37" s="310">
        <f>IF(parameters!$B$33="B",'consumption scenario B'!AR32,IF(parameters!$B$33="C",'consumption scenario C'!AR32,'consumption scenario A'!AR32))</f>
        <v>0.10375329513905447</v>
      </c>
      <c r="AS37" s="310">
        <f>IF(parameters!$B$33="B",'consumption scenario B'!AS32,IF(parameters!$B$33="C",'consumption scenario C'!AS32,'consumption scenario A'!AS32))</f>
        <v>0.1051299358134917</v>
      </c>
      <c r="AT37" s="310">
        <f>IF(parameters!$B$33="B",'consumption scenario B'!AT32,IF(parameters!$B$33="C",'consumption scenario C'!AT32,'consumption scenario A'!AT32))</f>
        <v>0.1061431547026508</v>
      </c>
      <c r="AU37" s="310">
        <f>IF(parameters!$B$33="B",'consumption scenario B'!AU32,IF(parameters!$B$33="C",'consumption scenario C'!AU32,'consumption scenario A'!AU32))</f>
        <v>0.10700246554793967</v>
      </c>
    </row>
    <row r="38" spans="1:47" s="230" customFormat="1">
      <c r="A38" s="130" t="s">
        <v>59</v>
      </c>
      <c r="B38" s="310">
        <f>IF(parameters!$B$33="B",'consumption scenario B'!B33,IF(parameters!$B$33="C",'consumption scenario C'!B33,'consumption scenario A'!B33))</f>
        <v>0</v>
      </c>
      <c r="C38" s="310">
        <f>IF(parameters!$B$33="B",'consumption scenario B'!C33,IF(parameters!$B$33="C",'consumption scenario C'!C33,'consumption scenario A'!C33))</f>
        <v>0</v>
      </c>
      <c r="D38" s="310">
        <f>IF(parameters!$B$33="B",'consumption scenario B'!D33,IF(parameters!$B$33="C",'consumption scenario C'!D33,'consumption scenario A'!D33))</f>
        <v>0</v>
      </c>
      <c r="E38" s="310">
        <f>IF(parameters!$B$33="B",'consumption scenario B'!E33,IF(parameters!$B$33="C",'consumption scenario C'!E33,'consumption scenario A'!E33))</f>
        <v>0</v>
      </c>
      <c r="F38" s="310">
        <f>IF(parameters!$B$33="B",'consumption scenario B'!F33,IF(parameters!$B$33="C",'consumption scenario C'!F33,'consumption scenario A'!F33))</f>
        <v>0</v>
      </c>
      <c r="G38" s="310">
        <f>IF(parameters!$B$33="B",'consumption scenario B'!G33,IF(parameters!$B$33="C",'consumption scenario C'!G33,'consumption scenario A'!G33))</f>
        <v>0</v>
      </c>
      <c r="H38" s="310">
        <f>IF(parameters!$B$33="B",'consumption scenario B'!H33,IF(parameters!$B$33="C",'consumption scenario C'!H33,'consumption scenario A'!H33))</f>
        <v>0</v>
      </c>
      <c r="I38" s="310">
        <f>IF(parameters!$B$33="B",'consumption scenario B'!I33,IF(parameters!$B$33="C",'consumption scenario C'!I33,'consumption scenario A'!I33))</f>
        <v>0</v>
      </c>
      <c r="J38" s="310">
        <f>IF(parameters!$B$33="B",'consumption scenario B'!J33,IF(parameters!$B$33="C",'consumption scenario C'!J33,'consumption scenario A'!J33))</f>
        <v>0</v>
      </c>
      <c r="K38" s="310">
        <f>IF(parameters!$B$33="B",'consumption scenario B'!K33,IF(parameters!$B$33="C",'consumption scenario C'!K33,'consumption scenario A'!K33))</f>
        <v>0</v>
      </c>
      <c r="L38" s="310">
        <f>IF(parameters!$B$33="B",'consumption scenario B'!L33,IF(parameters!$B$33="C",'consumption scenario C'!L33,'consumption scenario A'!L33))</f>
        <v>0</v>
      </c>
      <c r="M38" s="310">
        <f>IF(parameters!$B$33="B",'consumption scenario B'!M33,IF(parameters!$B$33="C",'consumption scenario C'!M33,'consumption scenario A'!M33))</f>
        <v>0</v>
      </c>
      <c r="N38" s="310">
        <f>IF(parameters!$B$33="B",'consumption scenario B'!N33,IF(parameters!$B$33="C",'consumption scenario C'!N33,'consumption scenario A'!N33))</f>
        <v>0</v>
      </c>
      <c r="O38" s="310">
        <f>IF(parameters!$B$33="B",'consumption scenario B'!O33,IF(parameters!$B$33="C",'consumption scenario C'!O33,'consumption scenario A'!O33))</f>
        <v>0</v>
      </c>
      <c r="P38" s="310">
        <f>IF(parameters!$B$33="B",'consumption scenario B'!P33,IF(parameters!$B$33="C",'consumption scenario C'!P33,'consumption scenario A'!P33))</f>
        <v>0</v>
      </c>
      <c r="Q38" s="310">
        <f>IF(parameters!$B$33="B",'consumption scenario B'!Q33,IF(parameters!$B$33="C",'consumption scenario C'!Q33,'consumption scenario A'!Q33))</f>
        <v>0</v>
      </c>
      <c r="R38" s="310">
        <f>IF(parameters!$B$33="B",'consumption scenario B'!R33,IF(parameters!$B$33="C",'consumption scenario C'!R33,'consumption scenario A'!R33))</f>
        <v>0</v>
      </c>
      <c r="S38" s="310">
        <f>IF(parameters!$B$33="B",'consumption scenario B'!S33,IF(parameters!$B$33="C",'consumption scenario C'!S33,'consumption scenario A'!S33))</f>
        <v>0</v>
      </c>
      <c r="T38" s="310">
        <f>IF(parameters!$B$33="B",'consumption scenario B'!T33,IF(parameters!$B$33="C",'consumption scenario C'!T33,'consumption scenario A'!T33))</f>
        <v>0</v>
      </c>
      <c r="U38" s="310">
        <f>IF(parameters!$B$33="B",'consumption scenario B'!U33,IF(parameters!$B$33="C",'consumption scenario C'!U33,'consumption scenario A'!U33))</f>
        <v>0</v>
      </c>
      <c r="V38" s="310">
        <f>IF(parameters!$B$33="B",'consumption scenario B'!V33,IF(parameters!$B$33="C",'consumption scenario C'!V33,'consumption scenario A'!V33))</f>
        <v>0</v>
      </c>
      <c r="W38" s="310">
        <f>IF(parameters!$B$33="B",'consumption scenario B'!W33,IF(parameters!$B$33="C",'consumption scenario C'!W33,'consumption scenario A'!W33))</f>
        <v>0</v>
      </c>
      <c r="X38" s="310">
        <f>IF(parameters!$B$33="B",'consumption scenario B'!X33,IF(parameters!$B$33="C",'consumption scenario C'!X33,'consumption scenario A'!X33))</f>
        <v>0</v>
      </c>
      <c r="Y38" s="310">
        <f>IF(parameters!$B$33="B",'consumption scenario B'!Y33,IF(parameters!$B$33="C",'consumption scenario C'!Y33,'consumption scenario A'!Y33))</f>
        <v>0</v>
      </c>
      <c r="Z38" s="310">
        <f>IF(parameters!$B$33="B",'consumption scenario B'!Z33,IF(parameters!$B$33="C",'consumption scenario C'!Z33,'consumption scenario A'!Z33))</f>
        <v>0</v>
      </c>
      <c r="AA38" s="310">
        <f>IF(parameters!$B$33="B",'consumption scenario B'!AA33,IF(parameters!$B$33="C",'consumption scenario C'!AA33,'consumption scenario A'!AA33))</f>
        <v>0</v>
      </c>
      <c r="AB38" s="310">
        <f>IF(parameters!$B$33="B",'consumption scenario B'!AB33,IF(parameters!$B$33="C",'consumption scenario C'!AB33,'consumption scenario A'!AB33))</f>
        <v>0</v>
      </c>
      <c r="AC38" s="310">
        <f>IF(parameters!$B$33="B",'consumption scenario B'!AC33,IF(parameters!$B$33="C",'consumption scenario C'!AC33,'consumption scenario A'!AC33))</f>
        <v>0</v>
      </c>
      <c r="AD38" s="310">
        <f>IF(parameters!$B$33="B",'consumption scenario B'!AD33,IF(parameters!$B$33="C",'consumption scenario C'!AD33,'consumption scenario A'!AD33))</f>
        <v>0</v>
      </c>
      <c r="AE38" s="310">
        <f>IF(parameters!$B$33="B",'consumption scenario B'!AE33,IF(parameters!$B$33="C",'consumption scenario C'!AE33,'consumption scenario A'!AE33))</f>
        <v>0</v>
      </c>
      <c r="AF38" s="310">
        <f>IF(parameters!$B$33="B",'consumption scenario B'!AF33,IF(parameters!$B$33="C",'consumption scenario C'!AF33,'consumption scenario A'!AF33))</f>
        <v>0</v>
      </c>
      <c r="AG38" s="310">
        <f>IF(parameters!$B$33="B",'consumption scenario B'!AG33,IF(parameters!$B$33="C",'consumption scenario C'!AG33,'consumption scenario A'!AG33))</f>
        <v>0</v>
      </c>
      <c r="AH38" s="310">
        <f>IF(parameters!$B$33="B",'consumption scenario B'!AH33,IF(parameters!$B$33="C",'consumption scenario C'!AH33,'consumption scenario A'!AH33))</f>
        <v>0</v>
      </c>
      <c r="AI38" s="310">
        <f>IF(parameters!$B$33="B",'consumption scenario B'!AI33,IF(parameters!$B$33="C",'consumption scenario C'!AI33,'consumption scenario A'!AI33))</f>
        <v>0</v>
      </c>
      <c r="AJ38" s="310">
        <f>IF(parameters!$B$33="B",'consumption scenario B'!AJ33,IF(parameters!$B$33="C",'consumption scenario C'!AJ33,'consumption scenario A'!AJ33))</f>
        <v>0</v>
      </c>
      <c r="AK38" s="310">
        <f>IF(parameters!$B$33="B",'consumption scenario B'!AK33,IF(parameters!$B$33="C",'consumption scenario C'!AK33,'consumption scenario A'!AK33))</f>
        <v>0</v>
      </c>
      <c r="AL38" s="310">
        <f>IF(parameters!$B$33="B",'consumption scenario B'!AL33,IF(parameters!$B$33="C",'consumption scenario C'!AL33,'consumption scenario A'!AL33))</f>
        <v>0</v>
      </c>
      <c r="AM38" s="310">
        <f>IF(parameters!$B$33="B",'consumption scenario B'!AM33,IF(parameters!$B$33="C",'consumption scenario C'!AM33,'consumption scenario A'!AM33))</f>
        <v>0</v>
      </c>
      <c r="AN38" s="310">
        <f>IF(parameters!$B$33="B",'consumption scenario B'!AN33,IF(parameters!$B$33="C",'consumption scenario C'!AN33,'consumption scenario A'!AN33))</f>
        <v>0</v>
      </c>
      <c r="AO38" s="310">
        <f>IF(parameters!$B$33="B",'consumption scenario B'!AO33,IF(parameters!$B$33="C",'consumption scenario C'!AO33,'consumption scenario A'!AO33))</f>
        <v>0</v>
      </c>
      <c r="AP38" s="310">
        <f>IF(parameters!$B$33="B",'consumption scenario B'!AP33,IF(parameters!$B$33="C",'consumption scenario C'!AP33,'consumption scenario A'!AP33))</f>
        <v>0</v>
      </c>
      <c r="AQ38" s="310">
        <f>IF(parameters!$B$33="B",'consumption scenario B'!AQ33,IF(parameters!$B$33="C",'consumption scenario C'!AQ33,'consumption scenario A'!AQ33))</f>
        <v>0</v>
      </c>
      <c r="AR38" s="310">
        <f>IF(parameters!$B$33="B",'consumption scenario B'!AR33,IF(parameters!$B$33="C",'consumption scenario C'!AR33,'consumption scenario A'!AR33))</f>
        <v>0</v>
      </c>
      <c r="AS38" s="310">
        <f>IF(parameters!$B$33="B",'consumption scenario B'!AS33,IF(parameters!$B$33="C",'consumption scenario C'!AS33,'consumption scenario A'!AS33))</f>
        <v>0</v>
      </c>
      <c r="AT38" s="310">
        <f>IF(parameters!$B$33="B",'consumption scenario B'!AT33,IF(parameters!$B$33="C",'consumption scenario C'!AT33,'consumption scenario A'!AT33))</f>
        <v>0</v>
      </c>
      <c r="AU38" s="310">
        <f>IF(parameters!$B$33="B",'consumption scenario B'!AU33,IF(parameters!$B$33="C",'consumption scenario C'!AU33,'consumption scenario A'!AU33))</f>
        <v>0</v>
      </c>
    </row>
    <row r="39" spans="1:47" s="230" customFormat="1">
      <c r="A39" s="130" t="s">
        <v>33</v>
      </c>
      <c r="B39" s="310">
        <f>IF(parameters!$B$33="B",'consumption scenario B'!B34,IF(parameters!$B$33="C",'consumption scenario C'!B34,'consumption scenario A'!B34))</f>
        <v>0</v>
      </c>
      <c r="C39" s="310">
        <f>IF(parameters!$B$33="B",'consumption scenario B'!C34,IF(parameters!$B$33="C",'consumption scenario C'!C34,'consumption scenario A'!C34))</f>
        <v>0</v>
      </c>
      <c r="D39" s="310">
        <f>IF(parameters!$B$33="B",'consumption scenario B'!D34,IF(parameters!$B$33="C",'consumption scenario C'!D34,'consumption scenario A'!D34))</f>
        <v>0</v>
      </c>
      <c r="E39" s="310">
        <f>IF(parameters!$B$33="B",'consumption scenario B'!E34,IF(parameters!$B$33="C",'consumption scenario C'!E34,'consumption scenario A'!E34))</f>
        <v>0</v>
      </c>
      <c r="F39" s="310">
        <f>IF(parameters!$B$33="B",'consumption scenario B'!F34,IF(parameters!$B$33="C",'consumption scenario C'!F34,'consumption scenario A'!F34))</f>
        <v>0</v>
      </c>
      <c r="G39" s="310">
        <f>IF(parameters!$B$33="B",'consumption scenario B'!G34,IF(parameters!$B$33="C",'consumption scenario C'!G34,'consumption scenario A'!G34))</f>
        <v>0</v>
      </c>
      <c r="H39" s="310">
        <f>IF(parameters!$B$33="B",'consumption scenario B'!H34,IF(parameters!$B$33="C",'consumption scenario C'!H34,'consumption scenario A'!H34))</f>
        <v>0</v>
      </c>
      <c r="I39" s="310">
        <f>IF(parameters!$B$33="B",'consumption scenario B'!I34,IF(parameters!$B$33="C",'consumption scenario C'!I34,'consumption scenario A'!I34))</f>
        <v>0</v>
      </c>
      <c r="J39" s="310">
        <f>IF(parameters!$B$33="B",'consumption scenario B'!J34,IF(parameters!$B$33="C",'consumption scenario C'!J34,'consumption scenario A'!J34))</f>
        <v>0</v>
      </c>
      <c r="K39" s="310">
        <f>IF(parameters!$B$33="B",'consumption scenario B'!K34,IF(parameters!$B$33="C",'consumption scenario C'!K34,'consumption scenario A'!K34))</f>
        <v>0</v>
      </c>
      <c r="L39" s="310">
        <f>IF(parameters!$B$33="B",'consumption scenario B'!L34,IF(parameters!$B$33="C",'consumption scenario C'!L34,'consumption scenario A'!L34))</f>
        <v>0</v>
      </c>
      <c r="M39" s="310">
        <f>IF(parameters!$B$33="B",'consumption scenario B'!M34,IF(parameters!$B$33="C",'consumption scenario C'!M34,'consumption scenario A'!M34))</f>
        <v>0</v>
      </c>
      <c r="N39" s="310">
        <f>IF(parameters!$B$33="B",'consumption scenario B'!N34,IF(parameters!$B$33="C",'consumption scenario C'!N34,'consumption scenario A'!N34))</f>
        <v>0</v>
      </c>
      <c r="O39" s="310">
        <f>IF(parameters!$B$33="B",'consumption scenario B'!O34,IF(parameters!$B$33="C",'consumption scenario C'!O34,'consumption scenario A'!O34))</f>
        <v>0</v>
      </c>
      <c r="P39" s="310">
        <f>IF(parameters!$B$33="B",'consumption scenario B'!P34,IF(parameters!$B$33="C",'consumption scenario C'!P34,'consumption scenario A'!P34))</f>
        <v>0</v>
      </c>
      <c r="Q39" s="310">
        <f>IF(parameters!$B$33="B",'consumption scenario B'!Q34,IF(parameters!$B$33="C",'consumption scenario C'!Q34,'consumption scenario A'!Q34))</f>
        <v>0</v>
      </c>
      <c r="R39" s="310">
        <f>IF(parameters!$B$33="B",'consumption scenario B'!R34,IF(parameters!$B$33="C",'consumption scenario C'!R34,'consumption scenario A'!R34))</f>
        <v>0</v>
      </c>
      <c r="S39" s="310">
        <f>IF(parameters!$B$33="B",'consumption scenario B'!S34,IF(parameters!$B$33="C",'consumption scenario C'!S34,'consumption scenario A'!S34))</f>
        <v>0</v>
      </c>
      <c r="T39" s="310">
        <f>IF(parameters!$B$33="B",'consumption scenario B'!T34,IF(parameters!$B$33="C",'consumption scenario C'!T34,'consumption scenario A'!T34))</f>
        <v>0</v>
      </c>
      <c r="U39" s="310">
        <f>IF(parameters!$B$33="B",'consumption scenario B'!U34,IF(parameters!$B$33="C",'consumption scenario C'!U34,'consumption scenario A'!U34))</f>
        <v>0</v>
      </c>
      <c r="V39" s="310">
        <f>IF(parameters!$B$33="B",'consumption scenario B'!V34,IF(parameters!$B$33="C",'consumption scenario C'!V34,'consumption scenario A'!V34))</f>
        <v>0</v>
      </c>
      <c r="W39" s="310">
        <f>IF(parameters!$B$33="B",'consumption scenario B'!W34,IF(parameters!$B$33="C",'consumption scenario C'!W34,'consumption scenario A'!W34))</f>
        <v>0</v>
      </c>
      <c r="X39" s="310">
        <f>IF(parameters!$B$33="B",'consumption scenario B'!X34,IF(parameters!$B$33="C",'consumption scenario C'!X34,'consumption scenario A'!X34))</f>
        <v>0</v>
      </c>
      <c r="Y39" s="310">
        <f>IF(parameters!$B$33="B",'consumption scenario B'!Y34,IF(parameters!$B$33="C",'consumption scenario C'!Y34,'consumption scenario A'!Y34))</f>
        <v>0</v>
      </c>
      <c r="Z39" s="310">
        <f>IF(parameters!$B$33="B",'consumption scenario B'!Z34,IF(parameters!$B$33="C",'consumption scenario C'!Z34,'consumption scenario A'!Z34))</f>
        <v>0</v>
      </c>
      <c r="AA39" s="310">
        <f>IF(parameters!$B$33="B",'consumption scenario B'!AA34,IF(parameters!$B$33="C",'consumption scenario C'!AA34,'consumption scenario A'!AA34))</f>
        <v>0</v>
      </c>
      <c r="AB39" s="310">
        <f>IF(parameters!$B$33="B",'consumption scenario B'!AB34,IF(parameters!$B$33="C",'consumption scenario C'!AB34,'consumption scenario A'!AB34))</f>
        <v>0</v>
      </c>
      <c r="AC39" s="310">
        <f>IF(parameters!$B$33="B",'consumption scenario B'!AC34,IF(parameters!$B$33="C",'consumption scenario C'!AC34,'consumption scenario A'!AC34))</f>
        <v>0</v>
      </c>
      <c r="AD39" s="310">
        <f>IF(parameters!$B$33="B",'consumption scenario B'!AD34,IF(parameters!$B$33="C",'consumption scenario C'!AD34,'consumption scenario A'!AD34))</f>
        <v>0</v>
      </c>
      <c r="AE39" s="310">
        <f>IF(parameters!$B$33="B",'consumption scenario B'!AE34,IF(parameters!$B$33="C",'consumption scenario C'!AE34,'consumption scenario A'!AE34))</f>
        <v>0</v>
      </c>
      <c r="AF39" s="310">
        <f>IF(parameters!$B$33="B",'consumption scenario B'!AF34,IF(parameters!$B$33="C",'consumption scenario C'!AF34,'consumption scenario A'!AF34))</f>
        <v>0</v>
      </c>
      <c r="AG39" s="310">
        <f>IF(parameters!$B$33="B",'consumption scenario B'!AG34,IF(parameters!$B$33="C",'consumption scenario C'!AG34,'consumption scenario A'!AG34))</f>
        <v>0</v>
      </c>
      <c r="AH39" s="310">
        <f>IF(parameters!$B$33="B",'consumption scenario B'!AH34,IF(parameters!$B$33="C",'consumption scenario C'!AH34,'consumption scenario A'!AH34))</f>
        <v>0</v>
      </c>
      <c r="AI39" s="310">
        <f>IF(parameters!$B$33="B",'consumption scenario B'!AI34,IF(parameters!$B$33="C",'consumption scenario C'!AI34,'consumption scenario A'!AI34))</f>
        <v>0</v>
      </c>
      <c r="AJ39" s="310">
        <f>IF(parameters!$B$33="B",'consumption scenario B'!AJ34,IF(parameters!$B$33="C",'consumption scenario C'!AJ34,'consumption scenario A'!AJ34))</f>
        <v>0</v>
      </c>
      <c r="AK39" s="310">
        <f>IF(parameters!$B$33="B",'consumption scenario B'!AK34,IF(parameters!$B$33="C",'consumption scenario C'!AK34,'consumption scenario A'!AK34))</f>
        <v>0</v>
      </c>
      <c r="AL39" s="310">
        <f>IF(parameters!$B$33="B",'consumption scenario B'!AL34,IF(parameters!$B$33="C",'consumption scenario C'!AL34,'consumption scenario A'!AL34))</f>
        <v>0</v>
      </c>
      <c r="AM39" s="310">
        <f>IF(parameters!$B$33="B",'consumption scenario B'!AM34,IF(parameters!$B$33="C",'consumption scenario C'!AM34,'consumption scenario A'!AM34))</f>
        <v>0</v>
      </c>
      <c r="AN39" s="310">
        <f>IF(parameters!$B$33="B",'consumption scenario B'!AN34,IF(parameters!$B$33="C",'consumption scenario C'!AN34,'consumption scenario A'!AN34))</f>
        <v>0</v>
      </c>
      <c r="AO39" s="310">
        <f>IF(parameters!$B$33="B",'consumption scenario B'!AO34,IF(parameters!$B$33="C",'consumption scenario C'!AO34,'consumption scenario A'!AO34))</f>
        <v>0</v>
      </c>
      <c r="AP39" s="310">
        <f>IF(parameters!$B$33="B",'consumption scenario B'!AP34,IF(parameters!$B$33="C",'consumption scenario C'!AP34,'consumption scenario A'!AP34))</f>
        <v>0</v>
      </c>
      <c r="AQ39" s="310">
        <f>IF(parameters!$B$33="B",'consumption scenario B'!AQ34,IF(parameters!$B$33="C",'consumption scenario C'!AQ34,'consumption scenario A'!AQ34))</f>
        <v>0</v>
      </c>
      <c r="AR39" s="310">
        <f>IF(parameters!$B$33="B",'consumption scenario B'!AR34,IF(parameters!$B$33="C",'consumption scenario C'!AR34,'consumption scenario A'!AR34))</f>
        <v>0</v>
      </c>
      <c r="AS39" s="310">
        <f>IF(parameters!$B$33="B",'consumption scenario B'!AS34,IF(parameters!$B$33="C",'consumption scenario C'!AS34,'consumption scenario A'!AS34))</f>
        <v>0</v>
      </c>
      <c r="AT39" s="310">
        <f>IF(parameters!$B$33="B",'consumption scenario B'!AT34,IF(parameters!$B$33="C",'consumption scenario C'!AT34,'consumption scenario A'!AT34))</f>
        <v>0</v>
      </c>
      <c r="AU39" s="310">
        <f>IF(parameters!$B$33="B",'consumption scenario B'!AU34,IF(parameters!$B$33="C",'consumption scenario C'!AU34,'consumption scenario A'!AU34))</f>
        <v>0</v>
      </c>
    </row>
    <row r="40" spans="1:47" s="230" customFormat="1">
      <c r="A40" s="130" t="s">
        <v>60</v>
      </c>
      <c r="B40" s="310">
        <f>B37+B38+B39</f>
        <v>6.8849999999999995E-2</v>
      </c>
      <c r="C40" s="310">
        <f t="shared" ref="C40:AK40" si="3">C37+C38+C39</f>
        <v>7.2876999999999997E-2</v>
      </c>
      <c r="D40" s="310">
        <f t="shared" si="3"/>
        <v>7.5440999999999994E-2</v>
      </c>
      <c r="E40" s="310">
        <f t="shared" si="3"/>
        <v>7.8029000000000001E-2</v>
      </c>
      <c r="F40" s="310">
        <f t="shared" si="3"/>
        <v>7.3422000000000001E-2</v>
      </c>
      <c r="G40" s="310">
        <f t="shared" si="3"/>
        <v>7.3613999999999999E-2</v>
      </c>
      <c r="H40" s="310">
        <f t="shared" si="3"/>
        <v>7.8514E-2</v>
      </c>
      <c r="I40" s="310">
        <f t="shared" si="3"/>
        <v>8.0490999999999993E-2</v>
      </c>
      <c r="J40" s="310">
        <f t="shared" si="3"/>
        <v>8.3570000000000005E-2</v>
      </c>
      <c r="K40" s="310">
        <f t="shared" si="3"/>
        <v>8.2968E-2</v>
      </c>
      <c r="L40" s="310">
        <f t="shared" si="3"/>
        <v>8.1389000000000003E-2</v>
      </c>
      <c r="M40" s="310">
        <f t="shared" si="3"/>
        <v>8.5515999999999995E-2</v>
      </c>
      <c r="N40" s="310">
        <f t="shared" si="3"/>
        <v>8.0656000000000005E-2</v>
      </c>
      <c r="O40" s="310">
        <f t="shared" si="3"/>
        <v>7.8219999999999998E-2</v>
      </c>
      <c r="P40" s="310">
        <f t="shared" si="3"/>
        <v>7.2841335256597389E-2</v>
      </c>
      <c r="Q40" s="310">
        <f t="shared" si="3"/>
        <v>7.9283537897784237E-2</v>
      </c>
      <c r="R40" s="310">
        <f t="shared" si="3"/>
        <v>7.9882417059258373E-2</v>
      </c>
      <c r="S40" s="310">
        <f t="shared" si="3"/>
        <v>8.1641653017412608E-2</v>
      </c>
      <c r="T40" s="310">
        <f t="shared" si="3"/>
        <v>8.2627917459559358E-2</v>
      </c>
      <c r="U40" s="310">
        <f t="shared" si="3"/>
        <v>9.054201549634755E-2</v>
      </c>
      <c r="V40" s="310">
        <f t="shared" si="3"/>
        <v>9.1161377297812443E-2</v>
      </c>
      <c r="W40" s="310">
        <f t="shared" si="3"/>
        <v>9.4939492476648984E-2</v>
      </c>
      <c r="X40" s="310">
        <f t="shared" si="3"/>
        <v>9.3913528417643916E-2</v>
      </c>
      <c r="Y40" s="310">
        <f t="shared" si="3"/>
        <v>9.5341929889442734E-2</v>
      </c>
      <c r="Z40" s="310">
        <f t="shared" si="3"/>
        <v>9.1074016907184904E-2</v>
      </c>
      <c r="AA40" s="310">
        <f t="shared" si="3"/>
        <v>9.223635235245406E-2</v>
      </c>
      <c r="AB40" s="310">
        <f t="shared" si="3"/>
        <v>9.1872937142121691E-2</v>
      </c>
      <c r="AC40" s="310">
        <f t="shared" si="3"/>
        <v>9.1398835150428043E-2</v>
      </c>
      <c r="AD40" s="310">
        <f t="shared" si="3"/>
        <v>9.1250397442970935E-2</v>
      </c>
      <c r="AE40" s="310">
        <f t="shared" si="3"/>
        <v>9.1997183953064804E-2</v>
      </c>
      <c r="AF40" s="310">
        <f t="shared" si="3"/>
        <v>9.1847259177747498E-2</v>
      </c>
      <c r="AG40" s="310">
        <f t="shared" si="3"/>
        <v>9.2619957493931038E-2</v>
      </c>
      <c r="AH40" s="310">
        <f t="shared" si="3"/>
        <v>9.2970056465774525E-2</v>
      </c>
      <c r="AI40" s="310">
        <f t="shared" si="3"/>
        <v>9.4054224126485314E-2</v>
      </c>
      <c r="AJ40" s="310">
        <f t="shared" si="3"/>
        <v>9.4627723594938956E-2</v>
      </c>
      <c r="AK40" s="310">
        <f t="shared" si="3"/>
        <v>9.5272163685851632E-2</v>
      </c>
      <c r="AL40" s="310">
        <f t="shared" ref="AL40:AU40" si="4">AL37+AL38+AL39</f>
        <v>9.6428071731777198E-2</v>
      </c>
      <c r="AM40" s="310">
        <f t="shared" si="4"/>
        <v>9.6670151153250825E-2</v>
      </c>
      <c r="AN40" s="310">
        <f t="shared" si="4"/>
        <v>9.7732997135563729E-2</v>
      </c>
      <c r="AO40" s="310">
        <f t="shared" si="4"/>
        <v>9.9403181869932841E-2</v>
      </c>
      <c r="AP40" s="310">
        <f t="shared" si="4"/>
        <v>0.102089075921454</v>
      </c>
      <c r="AQ40" s="310">
        <f t="shared" si="4"/>
        <v>0.10256784628680075</v>
      </c>
      <c r="AR40" s="310">
        <f t="shared" si="4"/>
        <v>0.10375329513905447</v>
      </c>
      <c r="AS40" s="310">
        <f t="shared" si="4"/>
        <v>0.1051299358134917</v>
      </c>
      <c r="AT40" s="310">
        <f t="shared" si="4"/>
        <v>0.1061431547026508</v>
      </c>
      <c r="AU40" s="310">
        <f t="shared" si="4"/>
        <v>0.10700246554793967</v>
      </c>
    </row>
    <row r="41" spans="1:47" s="230" customFormat="1">
      <c r="A41" s="130" t="s">
        <v>34</v>
      </c>
      <c r="B41" s="310">
        <f>IF(parameters!$B$33="B",'consumption scenario B'!B36,IF(parameters!$B$33="C",'consumption scenario C'!B36,'consumption scenario A'!B36))</f>
        <v>0</v>
      </c>
      <c r="C41" s="310">
        <f>IF(parameters!$B$33="B",'consumption scenario B'!C36,IF(parameters!$B$33="C",'consumption scenario C'!C36,'consumption scenario A'!C36))</f>
        <v>0</v>
      </c>
      <c r="D41" s="310">
        <f>IF(parameters!$B$33="B",'consumption scenario B'!D36,IF(parameters!$B$33="C",'consumption scenario C'!D36,'consumption scenario A'!D36))</f>
        <v>0</v>
      </c>
      <c r="E41" s="310">
        <f>IF(parameters!$B$33="B",'consumption scenario B'!E36,IF(parameters!$B$33="C",'consumption scenario C'!E36,'consumption scenario A'!E36))</f>
        <v>0</v>
      </c>
      <c r="F41" s="310">
        <f>IF(parameters!$B$33="B",'consumption scenario B'!F36,IF(parameters!$B$33="C",'consumption scenario C'!F36,'consumption scenario A'!F36))</f>
        <v>9.0112102968652682E-6</v>
      </c>
      <c r="G41" s="310">
        <f>IF(parameters!$B$33="B",'consumption scenario B'!G36,IF(parameters!$B$33="C",'consumption scenario C'!G36,'consumption scenario A'!G36))</f>
        <v>0</v>
      </c>
      <c r="H41" s="310">
        <f>IF(parameters!$B$33="B",'consumption scenario B'!H36,IF(parameters!$B$33="C",'consumption scenario C'!H36,'consumption scenario A'!H36))</f>
        <v>0</v>
      </c>
      <c r="I41" s="310">
        <f>IF(parameters!$B$33="B",'consumption scenario B'!I36,IF(parameters!$B$33="C",'consumption scenario C'!I36,'consumption scenario A'!I36))</f>
        <v>0</v>
      </c>
      <c r="J41" s="310">
        <f>IF(parameters!$B$33="B",'consumption scenario B'!J36,IF(parameters!$B$33="C",'consumption scenario C'!J36,'consumption scenario A'!J36))</f>
        <v>0</v>
      </c>
      <c r="K41" s="310">
        <f>IF(parameters!$B$33="B",'consumption scenario B'!K36,IF(parameters!$B$33="C",'consumption scenario C'!K36,'consumption scenario A'!K36))</f>
        <v>0</v>
      </c>
      <c r="L41" s="310">
        <f>IF(parameters!$B$33="B",'consumption scenario B'!L36,IF(parameters!$B$33="C",'consumption scenario C'!L36,'consumption scenario A'!L36))</f>
        <v>0</v>
      </c>
      <c r="M41" s="310">
        <f>IF(parameters!$B$33="B",'consumption scenario B'!M36,IF(parameters!$B$33="C",'consumption scenario C'!M36,'consumption scenario A'!M36))</f>
        <v>0</v>
      </c>
      <c r="N41" s="310">
        <f>IF(parameters!$B$33="B",'consumption scenario B'!N36,IF(parameters!$B$33="C",'consumption scenario C'!N36,'consumption scenario A'!N36))</f>
        <v>0</v>
      </c>
      <c r="O41" s="310">
        <f>IF(parameters!$B$33="B",'consumption scenario B'!O36,IF(parameters!$B$33="C",'consumption scenario C'!O36,'consumption scenario A'!O36))</f>
        <v>0</v>
      </c>
      <c r="P41" s="310">
        <f>IF(parameters!$B$33="B",'consumption scenario B'!P36,IF(parameters!$B$33="C",'consumption scenario C'!P36,'consumption scenario A'!P36))</f>
        <v>0</v>
      </c>
      <c r="Q41" s="310">
        <f>IF(parameters!$B$33="B",'consumption scenario B'!Q36,IF(parameters!$B$33="C",'consumption scenario C'!Q36,'consumption scenario A'!Q36))</f>
        <v>0</v>
      </c>
      <c r="R41" s="310">
        <f>IF(parameters!$B$33="B",'consumption scenario B'!R36,IF(parameters!$B$33="C",'consumption scenario C'!R36,'consumption scenario A'!R36))</f>
        <v>0</v>
      </c>
      <c r="S41" s="310">
        <f>IF(parameters!$B$33="B",'consumption scenario B'!S36,IF(parameters!$B$33="C",'consumption scenario C'!S36,'consumption scenario A'!S36))</f>
        <v>0</v>
      </c>
      <c r="T41" s="310">
        <f>IF(parameters!$B$33="B",'consumption scenario B'!T36,IF(parameters!$B$33="C",'consumption scenario C'!T36,'consumption scenario A'!T36))</f>
        <v>0</v>
      </c>
      <c r="U41" s="310">
        <f>IF(parameters!$B$33="B",'consumption scenario B'!U36,IF(parameters!$B$33="C",'consumption scenario C'!U36,'consumption scenario A'!U36))</f>
        <v>0</v>
      </c>
      <c r="V41" s="310">
        <f>IF(parameters!$B$33="B",'consumption scenario B'!V36,IF(parameters!$B$33="C",'consumption scenario C'!V36,'consumption scenario A'!V36))</f>
        <v>0</v>
      </c>
      <c r="W41" s="310">
        <f>IF(parameters!$B$33="B",'consumption scenario B'!W36,IF(parameters!$B$33="C",'consumption scenario C'!W36,'consumption scenario A'!W36))</f>
        <v>0</v>
      </c>
      <c r="X41" s="310">
        <f>IF(parameters!$B$33="B",'consumption scenario B'!X36,IF(parameters!$B$33="C",'consumption scenario C'!X36,'consumption scenario A'!X36))</f>
        <v>0</v>
      </c>
      <c r="Y41" s="310">
        <f>IF(parameters!$B$33="B",'consumption scenario B'!Y36,IF(parameters!$B$33="C",'consumption scenario C'!Y36,'consumption scenario A'!Y36))</f>
        <v>0</v>
      </c>
      <c r="Z41" s="310">
        <f>IF(parameters!$B$33="B",'consumption scenario B'!Z36,IF(parameters!$B$33="C",'consumption scenario C'!Z36,'consumption scenario A'!Z36))</f>
        <v>0</v>
      </c>
      <c r="AA41" s="310">
        <f>IF(parameters!$B$33="B",'consumption scenario B'!AA36,IF(parameters!$B$33="C",'consumption scenario C'!AA36,'consumption scenario A'!AA36))</f>
        <v>0</v>
      </c>
      <c r="AB41" s="310">
        <f>IF(parameters!$B$33="B",'consumption scenario B'!AB36,IF(parameters!$B$33="C",'consumption scenario C'!AB36,'consumption scenario A'!AB36))</f>
        <v>0</v>
      </c>
      <c r="AC41" s="310">
        <f>IF(parameters!$B$33="B",'consumption scenario B'!AC36,IF(parameters!$B$33="C",'consumption scenario C'!AC36,'consumption scenario A'!AC36))</f>
        <v>0</v>
      </c>
      <c r="AD41" s="310">
        <f>IF(parameters!$B$33="B",'consumption scenario B'!AD36,IF(parameters!$B$33="C",'consumption scenario C'!AD36,'consumption scenario A'!AD36))</f>
        <v>0</v>
      </c>
      <c r="AE41" s="310">
        <f>IF(parameters!$B$33="B",'consumption scenario B'!AE36,IF(parameters!$B$33="C",'consumption scenario C'!AE36,'consumption scenario A'!AE36))</f>
        <v>0</v>
      </c>
      <c r="AF41" s="310">
        <f>IF(parameters!$B$33="B",'consumption scenario B'!AF36,IF(parameters!$B$33="C",'consumption scenario C'!AF36,'consumption scenario A'!AF36))</f>
        <v>0</v>
      </c>
      <c r="AG41" s="310">
        <f>IF(parameters!$B$33="B",'consumption scenario B'!AG36,IF(parameters!$B$33="C",'consumption scenario C'!AG36,'consumption scenario A'!AG36))</f>
        <v>0</v>
      </c>
      <c r="AH41" s="310">
        <f>IF(parameters!$B$33="B",'consumption scenario B'!AH36,IF(parameters!$B$33="C",'consumption scenario C'!AH36,'consumption scenario A'!AH36))</f>
        <v>0</v>
      </c>
      <c r="AI41" s="310">
        <f>IF(parameters!$B$33="B",'consumption scenario B'!AI36,IF(parameters!$B$33="C",'consumption scenario C'!AI36,'consumption scenario A'!AI36))</f>
        <v>0</v>
      </c>
      <c r="AJ41" s="310">
        <f>IF(parameters!$B$33="B",'consumption scenario B'!AJ36,IF(parameters!$B$33="C",'consumption scenario C'!AJ36,'consumption scenario A'!AJ36))</f>
        <v>0</v>
      </c>
      <c r="AK41" s="310">
        <f>IF(parameters!$B$33="B",'consumption scenario B'!AK36,IF(parameters!$B$33="C",'consumption scenario C'!AK36,'consumption scenario A'!AK36))</f>
        <v>0</v>
      </c>
      <c r="AL41" s="310">
        <f>IF(parameters!$B$33="B",'consumption scenario B'!AL36,IF(parameters!$B$33="C",'consumption scenario C'!AL36,'consumption scenario A'!AL36))</f>
        <v>0</v>
      </c>
      <c r="AM41" s="310">
        <f>IF(parameters!$B$33="B",'consumption scenario B'!AM36,IF(parameters!$B$33="C",'consumption scenario C'!AM36,'consumption scenario A'!AM36))</f>
        <v>0</v>
      </c>
      <c r="AN41" s="310">
        <f>IF(parameters!$B$33="B",'consumption scenario B'!AN36,IF(parameters!$B$33="C",'consumption scenario C'!AN36,'consumption scenario A'!AN36))</f>
        <v>0</v>
      </c>
      <c r="AO41" s="310">
        <f>IF(parameters!$B$33="B",'consumption scenario B'!AO36,IF(parameters!$B$33="C",'consumption scenario C'!AO36,'consumption scenario A'!AO36))</f>
        <v>0</v>
      </c>
      <c r="AP41" s="310">
        <f>IF(parameters!$B$33="B",'consumption scenario B'!AP36,IF(parameters!$B$33="C",'consumption scenario C'!AP36,'consumption scenario A'!AP36))</f>
        <v>0</v>
      </c>
      <c r="AQ41" s="310">
        <f>IF(parameters!$B$33="B",'consumption scenario B'!AQ36,IF(parameters!$B$33="C",'consumption scenario C'!AQ36,'consumption scenario A'!AQ36))</f>
        <v>0</v>
      </c>
      <c r="AR41" s="310">
        <f>IF(parameters!$B$33="B",'consumption scenario B'!AR36,IF(parameters!$B$33="C",'consumption scenario C'!AR36,'consumption scenario A'!AR36))</f>
        <v>0</v>
      </c>
      <c r="AS41" s="310">
        <f>IF(parameters!$B$33="B",'consumption scenario B'!AS36,IF(parameters!$B$33="C",'consumption scenario C'!AS36,'consumption scenario A'!AS36))</f>
        <v>0</v>
      </c>
      <c r="AT41" s="310">
        <f>IF(parameters!$B$33="B",'consumption scenario B'!AT36,IF(parameters!$B$33="C",'consumption scenario C'!AT36,'consumption scenario A'!AT36))</f>
        <v>0</v>
      </c>
      <c r="AU41" s="310">
        <f>IF(parameters!$B$33="B",'consumption scenario B'!AU36,IF(parameters!$B$33="C",'consumption scenario C'!AU36,'consumption scenario A'!AU36))</f>
        <v>0</v>
      </c>
    </row>
    <row r="42" spans="1:47" s="230" customFormat="1">
      <c r="A42" s="130" t="s">
        <v>35</v>
      </c>
      <c r="B42" s="310">
        <f>IF(parameters!$B$33="B",'consumption scenario B'!B37,IF(parameters!$B$33="C",'consumption scenario C'!B37,'consumption scenario A'!B37))</f>
        <v>3.578721760051585E-3</v>
      </c>
      <c r="C42" s="310">
        <f>IF(parameters!$B$33="B",'consumption scenario B'!C37,IF(parameters!$B$33="C",'consumption scenario C'!C37,'consumption scenario A'!C37))</f>
        <v>3.5378419884432365E-3</v>
      </c>
      <c r="D42" s="310">
        <f>IF(parameters!$B$33="B",'consumption scenario B'!D37,IF(parameters!$B$33="C",'consumption scenario C'!D37,'consumption scenario A'!D37))</f>
        <v>3.601623417064563E-3</v>
      </c>
      <c r="E42" s="310">
        <f>IF(parameters!$B$33="B",'consumption scenario B'!E37,IF(parameters!$B$33="C",'consumption scenario C'!E37,'consumption scenario A'!E37))</f>
        <v>3.4036628607016814E-3</v>
      </c>
      <c r="F42" s="310">
        <f>IF(parameters!$B$33="B",'consumption scenario B'!F37,IF(parameters!$B$33="C",'consumption scenario C'!F37,'consumption scenario A'!F37))</f>
        <v>2.7784565082001247E-3</v>
      </c>
      <c r="G42" s="310">
        <f>IF(parameters!$B$33="B",'consumption scenario B'!G37,IF(parameters!$B$33="C",'consumption scenario C'!G37,'consumption scenario A'!G37))</f>
        <v>2.8077787004359561E-3</v>
      </c>
      <c r="H42" s="310">
        <f>IF(parameters!$B$33="B",'consumption scenario B'!H37,IF(parameters!$B$33="C",'consumption scenario C'!H37,'consumption scenario A'!H37))</f>
        <v>2.9050425576084703E-3</v>
      </c>
      <c r="I42" s="310">
        <f>IF(parameters!$B$33="B",'consumption scenario B'!I37,IF(parameters!$B$33="C",'consumption scenario C'!I37,'consumption scenario A'!I37))</f>
        <v>2.5746315133900765E-3</v>
      </c>
      <c r="J42" s="310">
        <f>IF(parameters!$B$33="B",'consumption scenario B'!J37,IF(parameters!$B$33="C",'consumption scenario C'!J37,'consumption scenario A'!J37))</f>
        <v>2.360078887274237E-3</v>
      </c>
      <c r="K42" s="310">
        <f>IF(parameters!$B$33="B",'consumption scenario B'!K37,IF(parameters!$B$33="C",'consumption scenario C'!K37,'consumption scenario A'!K37))</f>
        <v>2.549671891218601E-3</v>
      </c>
      <c r="L42" s="310">
        <f>IF(parameters!$B$33="B",'consumption scenario B'!L37,IF(parameters!$B$33="C",'consumption scenario C'!L37,'consumption scenario A'!L37))</f>
        <v>2.522852812954121E-3</v>
      </c>
      <c r="M42" s="310">
        <f>IF(parameters!$B$33="B",'consumption scenario B'!M37,IF(parameters!$B$33="C",'consumption scenario C'!M37,'consumption scenario A'!M37))</f>
        <v>1.0173769018919877E-3</v>
      </c>
      <c r="N42" s="310">
        <f>IF(parameters!$B$33="B",'consumption scenario B'!N37,IF(parameters!$B$33="C",'consumption scenario C'!N37,'consumption scenario A'!N37))</f>
        <v>1.7967467372497011E-3</v>
      </c>
      <c r="O42" s="310">
        <f>IF(parameters!$B$33="B",'consumption scenario B'!O37,IF(parameters!$B$33="C",'consumption scenario C'!O37,'consumption scenario A'!O37))</f>
        <v>1.6403479487919937E-3</v>
      </c>
      <c r="P42" s="310">
        <f>IF(parameters!$B$33="B",'consumption scenario B'!P37,IF(parameters!$B$33="C",'consumption scenario C'!P37,'consumption scenario A'!P37))</f>
        <v>1.6152708193366155E-3</v>
      </c>
      <c r="Q42" s="310">
        <f>IF(parameters!$B$33="B",'consumption scenario B'!Q37,IF(parameters!$B$33="C",'consumption scenario C'!Q37,'consumption scenario A'!Q37))</f>
        <v>1.6944321503588621E-3</v>
      </c>
      <c r="R42" s="310">
        <f>IF(parameters!$B$33="B",'consumption scenario B'!R37,IF(parameters!$B$33="C",'consumption scenario C'!R37,'consumption scenario A'!R37))</f>
        <v>1.735774444065298E-3</v>
      </c>
      <c r="S42" s="310">
        <f>IF(parameters!$B$33="B",'consumption scenario B'!S37,IF(parameters!$B$33="C",'consumption scenario C'!S37,'consumption scenario A'!S37))</f>
        <v>1.7522059212097792E-3</v>
      </c>
      <c r="T42" s="310">
        <f>IF(parameters!$B$33="B",'consumption scenario B'!T37,IF(parameters!$B$33="C",'consumption scenario C'!T37,'consumption scenario A'!T37))</f>
        <v>1.7682552562847337E-3</v>
      </c>
      <c r="U42" s="310">
        <f>IF(parameters!$B$33="B",'consumption scenario B'!U37,IF(parameters!$B$33="C",'consumption scenario C'!U37,'consumption scenario A'!U37))</f>
        <v>1.7834626803811362E-3</v>
      </c>
      <c r="V42" s="310">
        <f>IF(parameters!$B$33="B",'consumption scenario B'!V37,IF(parameters!$B$33="C",'consumption scenario C'!V37,'consumption scenario A'!V37))</f>
        <v>1.7985632230048743E-3</v>
      </c>
      <c r="W42" s="310">
        <f>IF(parameters!$B$33="B",'consumption scenario B'!W37,IF(parameters!$B$33="C",'consumption scenario C'!W37,'consumption scenario A'!W37))</f>
        <v>1.8008923540713661E-3</v>
      </c>
      <c r="X42" s="310">
        <f>IF(parameters!$B$33="B",'consumption scenario B'!X37,IF(parameters!$B$33="C",'consumption scenario C'!X37,'consumption scenario A'!X37))</f>
        <v>1.793976444523604E-3</v>
      </c>
      <c r="Y42" s="310">
        <f>IF(parameters!$B$33="B",'consumption scenario B'!Y37,IF(parameters!$B$33="C",'consumption scenario C'!Y37,'consumption scenario A'!Y37))</f>
        <v>1.7907126334601692E-3</v>
      </c>
      <c r="Z42" s="310">
        <f>IF(parameters!$B$33="B",'consumption scenario B'!Z37,IF(parameters!$B$33="C",'consumption scenario C'!Z37,'consumption scenario A'!Z37))</f>
        <v>1.7835347759603114E-3</v>
      </c>
      <c r="AA42" s="310">
        <f>IF(parameters!$B$33="B",'consumption scenario B'!AA37,IF(parameters!$B$33="C",'consumption scenario C'!AA37,'consumption scenario A'!AA37))</f>
        <v>1.7627931514552797E-3</v>
      </c>
      <c r="AB42" s="310">
        <f>IF(parameters!$B$33="B",'consumption scenario B'!AB37,IF(parameters!$B$33="C",'consumption scenario C'!AB37,'consumption scenario A'!AB37))</f>
        <v>1.7455574261136843E-3</v>
      </c>
      <c r="AC42" s="310">
        <f>IF(parameters!$B$33="B",'consumption scenario B'!AC37,IF(parameters!$B$33="C",'consumption scenario C'!AC37,'consumption scenario A'!AC37))</f>
        <v>1.7263839847060805E-3</v>
      </c>
      <c r="AD42" s="310">
        <f>IF(parameters!$B$33="B",'consumption scenario B'!AD37,IF(parameters!$B$33="C",'consumption scenario C'!AD37,'consumption scenario A'!AD37))</f>
        <v>1.7075212614549556E-3</v>
      </c>
      <c r="AE42" s="310">
        <f>IF(parameters!$B$33="B",'consumption scenario B'!AE37,IF(parameters!$B$33="C",'consumption scenario C'!AE37,'consumption scenario A'!AE37))</f>
        <v>1.6946352787477802E-3</v>
      </c>
      <c r="AF42" s="310">
        <f>IF(parameters!$B$33="B",'consumption scenario B'!AF37,IF(parameters!$B$33="C",'consumption scenario C'!AF37,'consumption scenario A'!AF37))</f>
        <v>1.67886479196304E-3</v>
      </c>
      <c r="AG42" s="310">
        <f>IF(parameters!$B$33="B",'consumption scenario B'!AG37,IF(parameters!$B$33="C",'consumption scenario C'!AG37,'consumption scenario A'!AG37))</f>
        <v>1.6780106214105415E-3</v>
      </c>
      <c r="AH42" s="310">
        <f>IF(parameters!$B$33="B",'consumption scenario B'!AH37,IF(parameters!$B$33="C",'consumption scenario C'!AH37,'consumption scenario A'!AH37))</f>
        <v>1.6794781141164195E-3</v>
      </c>
      <c r="AI42" s="310">
        <f>IF(parameters!$B$33="B",'consumption scenario B'!AI37,IF(parameters!$B$33="C",'consumption scenario C'!AI37,'consumption scenario A'!AI37))</f>
        <v>1.6834838158539566E-3</v>
      </c>
      <c r="AJ42" s="310">
        <f>IF(parameters!$B$33="B",'consumption scenario B'!AJ37,IF(parameters!$B$33="C",'consumption scenario C'!AJ37,'consumption scenario A'!AJ37))</f>
        <v>1.6852452951103861E-3</v>
      </c>
      <c r="AK42" s="310">
        <f>IF(parameters!$B$33="B",'consumption scenario B'!AK37,IF(parameters!$B$33="C",'consumption scenario C'!AK37,'consumption scenario A'!AK37))</f>
        <v>1.6888629571693266E-3</v>
      </c>
      <c r="AL42" s="310">
        <f>IF(parameters!$B$33="B",'consumption scenario B'!AL37,IF(parameters!$B$33="C",'consumption scenario C'!AL37,'consumption scenario A'!AL37))</f>
        <v>1.6942087131861583E-3</v>
      </c>
      <c r="AM42" s="310">
        <f>IF(parameters!$B$33="B",'consumption scenario B'!AM37,IF(parameters!$B$33="C",'consumption scenario C'!AM37,'consumption scenario A'!AM37))</f>
        <v>1.6975035720774103E-3</v>
      </c>
      <c r="AN42" s="310">
        <f>IF(parameters!$B$33="B",'consumption scenario B'!AN37,IF(parameters!$B$33="C",'consumption scenario C'!AN37,'consumption scenario A'!AN37))</f>
        <v>1.7020703298602613E-3</v>
      </c>
      <c r="AO42" s="310">
        <f>IF(parameters!$B$33="B",'consumption scenario B'!AO37,IF(parameters!$B$33="C",'consumption scenario C'!AO37,'consumption scenario A'!AO37))</f>
        <v>1.7074695834737523E-3</v>
      </c>
      <c r="AP42" s="310">
        <f>IF(parameters!$B$33="B",'consumption scenario B'!AP37,IF(parameters!$B$33="C",'consumption scenario C'!AP37,'consumption scenario A'!AP37))</f>
        <v>1.7142745673788366E-3</v>
      </c>
      <c r="AQ42" s="310">
        <f>IF(parameters!$B$33="B",'consumption scenario B'!AQ37,IF(parameters!$B$33="C",'consumption scenario C'!AQ37,'consumption scenario A'!AQ37))</f>
        <v>1.7197888286412273E-3</v>
      </c>
      <c r="AR42" s="310">
        <f>IF(parameters!$B$33="B",'consumption scenario B'!AR37,IF(parameters!$B$33="C",'consumption scenario C'!AR37,'consumption scenario A'!AR37))</f>
        <v>1.726345150630839E-3</v>
      </c>
      <c r="AS42" s="310">
        <f>IF(parameters!$B$33="B",'consumption scenario B'!AS37,IF(parameters!$B$33="C",'consumption scenario C'!AS37,'consumption scenario A'!AS37))</f>
        <v>1.7330012243357482E-3</v>
      </c>
      <c r="AT42" s="310">
        <f>IF(parameters!$B$33="B",'consumption scenario B'!AT37,IF(parameters!$B$33="C",'consumption scenario C'!AT37,'consumption scenario A'!AT37))</f>
        <v>1.7390426169578931E-3</v>
      </c>
      <c r="AU42" s="310">
        <f>IF(parameters!$B$33="B",'consumption scenario B'!AU37,IF(parameters!$B$33="C",'consumption scenario C'!AU37,'consumption scenario A'!AU37))</f>
        <v>1.7460085171351692E-3</v>
      </c>
    </row>
    <row r="43" spans="1:47" s="230" customFormat="1">
      <c r="A43" s="130" t="s">
        <v>61</v>
      </c>
      <c r="B43" s="310">
        <f>IF(parameters!$B$33="B",'consumption scenario B'!B38,IF(parameters!$B$33="C",'consumption scenario C'!B38,'consumption scenario A'!B38))</f>
        <v>0</v>
      </c>
      <c r="C43" s="310">
        <f>IF(parameters!$B$33="B",'consumption scenario B'!C38,IF(parameters!$B$33="C",'consumption scenario C'!C38,'consumption scenario A'!C38))</f>
        <v>0</v>
      </c>
      <c r="D43" s="310">
        <f>IF(parameters!$B$33="B",'consumption scenario B'!D38,IF(parameters!$B$33="C",'consumption scenario C'!D38,'consumption scenario A'!D38))</f>
        <v>0</v>
      </c>
      <c r="E43" s="310">
        <f>IF(parameters!$B$33="B",'consumption scenario B'!E38,IF(parameters!$B$33="C",'consumption scenario C'!E38,'consumption scenario A'!E38))</f>
        <v>0</v>
      </c>
      <c r="F43" s="310">
        <f>IF(parameters!$B$33="B",'consumption scenario B'!F38,IF(parameters!$B$33="C",'consumption scenario C'!F38,'consumption scenario A'!F38))</f>
        <v>0</v>
      </c>
      <c r="G43" s="310">
        <f>IF(parameters!$B$33="B",'consumption scenario B'!G38,IF(parameters!$B$33="C",'consumption scenario C'!G38,'consumption scenario A'!G38))</f>
        <v>0</v>
      </c>
      <c r="H43" s="310">
        <f>IF(parameters!$B$33="B",'consumption scenario B'!H38,IF(parameters!$B$33="C",'consumption scenario C'!H38,'consumption scenario A'!H38))</f>
        <v>0</v>
      </c>
      <c r="I43" s="310">
        <f>IF(parameters!$B$33="B",'consumption scenario B'!I38,IF(parameters!$B$33="C",'consumption scenario C'!I38,'consumption scenario A'!I38))</f>
        <v>0</v>
      </c>
      <c r="J43" s="310">
        <f>IF(parameters!$B$33="B",'consumption scenario B'!J38,IF(parameters!$B$33="C",'consumption scenario C'!J38,'consumption scenario A'!J38))</f>
        <v>0</v>
      </c>
      <c r="K43" s="310">
        <f>IF(parameters!$B$33="B",'consumption scenario B'!K38,IF(parameters!$B$33="C",'consumption scenario C'!K38,'consumption scenario A'!K38))</f>
        <v>0</v>
      </c>
      <c r="L43" s="310">
        <f>IF(parameters!$B$33="B",'consumption scenario B'!L38,IF(parameters!$B$33="C",'consumption scenario C'!L38,'consumption scenario A'!L38))</f>
        <v>0</v>
      </c>
      <c r="M43" s="310">
        <f>IF(parameters!$B$33="B",'consumption scenario B'!M38,IF(parameters!$B$33="C",'consumption scenario C'!M38,'consumption scenario A'!M38))</f>
        <v>0</v>
      </c>
      <c r="N43" s="310">
        <f>IF(parameters!$B$33="B",'consumption scenario B'!N38,IF(parameters!$B$33="C",'consumption scenario C'!N38,'consumption scenario A'!N38))</f>
        <v>0</v>
      </c>
      <c r="O43" s="310">
        <f>IF(parameters!$B$33="B",'consumption scenario B'!O38,IF(parameters!$B$33="C",'consumption scenario C'!O38,'consumption scenario A'!O38))</f>
        <v>0</v>
      </c>
      <c r="P43" s="310">
        <f>IF(parameters!$B$33="B",'consumption scenario B'!P38,IF(parameters!$B$33="C",'consumption scenario C'!P38,'consumption scenario A'!P38))</f>
        <v>0</v>
      </c>
      <c r="Q43" s="310">
        <f>IF(parameters!$B$33="B",'consumption scenario B'!Q38,IF(parameters!$B$33="C",'consumption scenario C'!Q38,'consumption scenario A'!Q38))</f>
        <v>0</v>
      </c>
      <c r="R43" s="310">
        <f>IF(parameters!$B$33="B",'consumption scenario B'!R38,IF(parameters!$B$33="C",'consumption scenario C'!R38,'consumption scenario A'!R38))</f>
        <v>0</v>
      </c>
      <c r="S43" s="310">
        <f>IF(parameters!$B$33="B",'consumption scenario B'!S38,IF(parameters!$B$33="C",'consumption scenario C'!S38,'consumption scenario A'!S38))</f>
        <v>0</v>
      </c>
      <c r="T43" s="310">
        <f>IF(parameters!$B$33="B",'consumption scenario B'!T38,IF(parameters!$B$33="C",'consumption scenario C'!T38,'consumption scenario A'!T38))</f>
        <v>0</v>
      </c>
      <c r="U43" s="310">
        <f>IF(parameters!$B$33="B",'consumption scenario B'!U38,IF(parameters!$B$33="C",'consumption scenario C'!U38,'consumption scenario A'!U38))</f>
        <v>0</v>
      </c>
      <c r="V43" s="310">
        <f>IF(parameters!$B$33="B",'consumption scenario B'!V38,IF(parameters!$B$33="C",'consumption scenario C'!V38,'consumption scenario A'!V38))</f>
        <v>0</v>
      </c>
      <c r="W43" s="310">
        <f>IF(parameters!$B$33="B",'consumption scenario B'!W38,IF(parameters!$B$33="C",'consumption scenario C'!W38,'consumption scenario A'!W38))</f>
        <v>0</v>
      </c>
      <c r="X43" s="310">
        <f>IF(parameters!$B$33="B",'consumption scenario B'!X38,IF(parameters!$B$33="C",'consumption scenario C'!X38,'consumption scenario A'!X38))</f>
        <v>0</v>
      </c>
      <c r="Y43" s="310">
        <f>IF(parameters!$B$33="B",'consumption scenario B'!Y38,IF(parameters!$B$33="C",'consumption scenario C'!Y38,'consumption scenario A'!Y38))</f>
        <v>0</v>
      </c>
      <c r="Z43" s="310">
        <f>IF(parameters!$B$33="B",'consumption scenario B'!Z38,IF(parameters!$B$33="C",'consumption scenario C'!Z38,'consumption scenario A'!Z38))</f>
        <v>0</v>
      </c>
      <c r="AA43" s="310">
        <f>IF(parameters!$B$33="B",'consumption scenario B'!AA38,IF(parameters!$B$33="C",'consumption scenario C'!AA38,'consumption scenario A'!AA38))</f>
        <v>0</v>
      </c>
      <c r="AB43" s="310">
        <f>IF(parameters!$B$33="B",'consumption scenario B'!AB38,IF(parameters!$B$33="C",'consumption scenario C'!AB38,'consumption scenario A'!AB38))</f>
        <v>0</v>
      </c>
      <c r="AC43" s="310">
        <f>IF(parameters!$B$33="B",'consumption scenario B'!AC38,IF(parameters!$B$33="C",'consumption scenario C'!AC38,'consumption scenario A'!AC38))</f>
        <v>0</v>
      </c>
      <c r="AD43" s="310">
        <f>IF(parameters!$B$33="B",'consumption scenario B'!AD38,IF(parameters!$B$33="C",'consumption scenario C'!AD38,'consumption scenario A'!AD38))</f>
        <v>0</v>
      </c>
      <c r="AE43" s="310">
        <f>IF(parameters!$B$33="B",'consumption scenario B'!AE38,IF(parameters!$B$33="C",'consumption scenario C'!AE38,'consumption scenario A'!AE38))</f>
        <v>0</v>
      </c>
      <c r="AF43" s="310">
        <f>IF(parameters!$B$33="B",'consumption scenario B'!AF38,IF(parameters!$B$33="C",'consumption scenario C'!AF38,'consumption scenario A'!AF38))</f>
        <v>0</v>
      </c>
      <c r="AG43" s="310">
        <f>IF(parameters!$B$33="B",'consumption scenario B'!AG38,IF(parameters!$B$33="C",'consumption scenario C'!AG38,'consumption scenario A'!AG38))</f>
        <v>0</v>
      </c>
      <c r="AH43" s="310">
        <f>IF(parameters!$B$33="B",'consumption scenario B'!AH38,IF(parameters!$B$33="C",'consumption scenario C'!AH38,'consumption scenario A'!AH38))</f>
        <v>0</v>
      </c>
      <c r="AI43" s="310">
        <f>IF(parameters!$B$33="B",'consumption scenario B'!AI38,IF(parameters!$B$33="C",'consumption scenario C'!AI38,'consumption scenario A'!AI38))</f>
        <v>0</v>
      </c>
      <c r="AJ43" s="310">
        <f>IF(parameters!$B$33="B",'consumption scenario B'!AJ38,IF(parameters!$B$33="C",'consumption scenario C'!AJ38,'consumption scenario A'!AJ38))</f>
        <v>0</v>
      </c>
      <c r="AK43" s="310">
        <f>IF(parameters!$B$33="B",'consumption scenario B'!AK38,IF(parameters!$B$33="C",'consumption scenario C'!AK38,'consumption scenario A'!AK38))</f>
        <v>0</v>
      </c>
      <c r="AL43" s="310">
        <f>IF(parameters!$B$33="B",'consumption scenario B'!AL38,IF(parameters!$B$33="C",'consumption scenario C'!AL38,'consumption scenario A'!AL38))</f>
        <v>0</v>
      </c>
      <c r="AM43" s="310">
        <f>IF(parameters!$B$33="B",'consumption scenario B'!AM38,IF(parameters!$B$33="C",'consumption scenario C'!AM38,'consumption scenario A'!AM38))</f>
        <v>0</v>
      </c>
      <c r="AN43" s="310">
        <f>IF(parameters!$B$33="B",'consumption scenario B'!AN38,IF(parameters!$B$33="C",'consumption scenario C'!AN38,'consumption scenario A'!AN38))</f>
        <v>0</v>
      </c>
      <c r="AO43" s="310">
        <f>IF(parameters!$B$33="B",'consumption scenario B'!AO38,IF(parameters!$B$33="C",'consumption scenario C'!AO38,'consumption scenario A'!AO38))</f>
        <v>0</v>
      </c>
      <c r="AP43" s="310">
        <f>IF(parameters!$B$33="B",'consumption scenario B'!AP38,IF(parameters!$B$33="C",'consumption scenario C'!AP38,'consumption scenario A'!AP38))</f>
        <v>0</v>
      </c>
      <c r="AQ43" s="310">
        <f>IF(parameters!$B$33="B",'consumption scenario B'!AQ38,IF(parameters!$B$33="C",'consumption scenario C'!AQ38,'consumption scenario A'!AQ38))</f>
        <v>0</v>
      </c>
      <c r="AR43" s="310">
        <f>IF(parameters!$B$33="B",'consumption scenario B'!AR38,IF(parameters!$B$33="C",'consumption scenario C'!AR38,'consumption scenario A'!AR38))</f>
        <v>0</v>
      </c>
      <c r="AS43" s="310">
        <f>IF(parameters!$B$33="B",'consumption scenario B'!AS38,IF(parameters!$B$33="C",'consumption scenario C'!AS38,'consumption scenario A'!AS38))</f>
        <v>0</v>
      </c>
      <c r="AT43" s="310">
        <f>IF(parameters!$B$33="B",'consumption scenario B'!AT38,IF(parameters!$B$33="C",'consumption scenario C'!AT38,'consumption scenario A'!AT38))</f>
        <v>0</v>
      </c>
      <c r="AU43" s="310">
        <f>IF(parameters!$B$33="B",'consumption scenario B'!AU38,IF(parameters!$B$33="C",'consumption scenario C'!AU38,'consumption scenario A'!AU38))</f>
        <v>0</v>
      </c>
    </row>
    <row r="44" spans="1:47" s="230" customFormat="1">
      <c r="A44" s="130" t="s">
        <v>62</v>
      </c>
      <c r="B44" s="310">
        <f>IF(parameters!$B$33="B",'consumption scenario B'!B39,IF(parameters!$B$33="C",'consumption scenario C'!B39,'consumption scenario A'!B39))</f>
        <v>0</v>
      </c>
      <c r="C44" s="310">
        <f>IF(parameters!$B$33="B",'consumption scenario B'!C39,IF(parameters!$B$33="C",'consumption scenario C'!C39,'consumption scenario A'!C39))</f>
        <v>0</v>
      </c>
      <c r="D44" s="310">
        <f>IF(parameters!$B$33="B",'consumption scenario B'!D39,IF(parameters!$B$33="C",'consumption scenario C'!D39,'consumption scenario A'!D39))</f>
        <v>0</v>
      </c>
      <c r="E44" s="310">
        <f>IF(parameters!$B$33="B",'consumption scenario B'!E39,IF(parameters!$B$33="C",'consumption scenario C'!E39,'consumption scenario A'!E39))</f>
        <v>0</v>
      </c>
      <c r="F44" s="310">
        <f>IF(parameters!$B$33="B",'consumption scenario B'!F39,IF(parameters!$B$33="C",'consumption scenario C'!F39,'consumption scenario A'!F39))</f>
        <v>0</v>
      </c>
      <c r="G44" s="310">
        <f>IF(parameters!$B$33="B",'consumption scenario B'!G39,IF(parameters!$B$33="C",'consumption scenario C'!G39,'consumption scenario A'!G39))</f>
        <v>0</v>
      </c>
      <c r="H44" s="310">
        <f>IF(parameters!$B$33="B",'consumption scenario B'!H39,IF(parameters!$B$33="C",'consumption scenario C'!H39,'consumption scenario A'!H39))</f>
        <v>0</v>
      </c>
      <c r="I44" s="310">
        <f>IF(parameters!$B$33="B",'consumption scenario B'!I39,IF(parameters!$B$33="C",'consumption scenario C'!I39,'consumption scenario A'!I39))</f>
        <v>0</v>
      </c>
      <c r="J44" s="310">
        <f>IF(parameters!$B$33="B",'consumption scenario B'!J39,IF(parameters!$B$33="C",'consumption scenario C'!J39,'consumption scenario A'!J39))</f>
        <v>0</v>
      </c>
      <c r="K44" s="310">
        <f>IF(parameters!$B$33="B",'consumption scenario B'!K39,IF(parameters!$B$33="C",'consumption scenario C'!K39,'consumption scenario A'!K39))</f>
        <v>0</v>
      </c>
      <c r="L44" s="310">
        <f>IF(parameters!$B$33="B",'consumption scenario B'!L39,IF(parameters!$B$33="C",'consumption scenario C'!L39,'consumption scenario A'!L39))</f>
        <v>0</v>
      </c>
      <c r="M44" s="310">
        <f>IF(parameters!$B$33="B",'consumption scenario B'!M39,IF(parameters!$B$33="C",'consumption scenario C'!M39,'consumption scenario A'!M39))</f>
        <v>0</v>
      </c>
      <c r="N44" s="310">
        <f>IF(parameters!$B$33="B",'consumption scenario B'!N39,IF(parameters!$B$33="C",'consumption scenario C'!N39,'consumption scenario A'!N39))</f>
        <v>0</v>
      </c>
      <c r="O44" s="310">
        <f>IF(parameters!$B$33="B",'consumption scenario B'!O39,IF(parameters!$B$33="C",'consumption scenario C'!O39,'consumption scenario A'!O39))</f>
        <v>0</v>
      </c>
      <c r="P44" s="310">
        <f>IF(parameters!$B$33="B",'consumption scenario B'!P39,IF(parameters!$B$33="C",'consumption scenario C'!P39,'consumption scenario A'!P39))</f>
        <v>0</v>
      </c>
      <c r="Q44" s="310">
        <f>IF(parameters!$B$33="B",'consumption scenario B'!Q39,IF(parameters!$B$33="C",'consumption scenario C'!Q39,'consumption scenario A'!Q39))</f>
        <v>0</v>
      </c>
      <c r="R44" s="310">
        <f>IF(parameters!$B$33="B",'consumption scenario B'!R39,IF(parameters!$B$33="C",'consumption scenario C'!R39,'consumption scenario A'!R39))</f>
        <v>0</v>
      </c>
      <c r="S44" s="310">
        <f>IF(parameters!$B$33="B",'consumption scenario B'!S39,IF(parameters!$B$33="C",'consumption scenario C'!S39,'consumption scenario A'!S39))</f>
        <v>0</v>
      </c>
      <c r="T44" s="310">
        <f>IF(parameters!$B$33="B",'consumption scenario B'!T39,IF(parameters!$B$33="C",'consumption scenario C'!T39,'consumption scenario A'!T39))</f>
        <v>0</v>
      </c>
      <c r="U44" s="310">
        <f>IF(parameters!$B$33="B",'consumption scenario B'!U39,IF(parameters!$B$33="C",'consumption scenario C'!U39,'consumption scenario A'!U39))</f>
        <v>0</v>
      </c>
      <c r="V44" s="310">
        <f>IF(parameters!$B$33="B",'consumption scenario B'!V39,IF(parameters!$B$33="C",'consumption scenario C'!V39,'consumption scenario A'!V39))</f>
        <v>0</v>
      </c>
      <c r="W44" s="310">
        <f>IF(parameters!$B$33="B",'consumption scenario B'!W39,IF(parameters!$B$33="C",'consumption scenario C'!W39,'consumption scenario A'!W39))</f>
        <v>0</v>
      </c>
      <c r="X44" s="310">
        <f>IF(parameters!$B$33="B",'consumption scenario B'!X39,IF(parameters!$B$33="C",'consumption scenario C'!X39,'consumption scenario A'!X39))</f>
        <v>0</v>
      </c>
      <c r="Y44" s="310">
        <f>IF(parameters!$B$33="B",'consumption scenario B'!Y39,IF(parameters!$B$33="C",'consumption scenario C'!Y39,'consumption scenario A'!Y39))</f>
        <v>0</v>
      </c>
      <c r="Z44" s="310">
        <f>IF(parameters!$B$33="B",'consumption scenario B'!Z39,IF(parameters!$B$33="C",'consumption scenario C'!Z39,'consumption scenario A'!Z39))</f>
        <v>0</v>
      </c>
      <c r="AA44" s="310">
        <f>IF(parameters!$B$33="B",'consumption scenario B'!AA39,IF(parameters!$B$33="C",'consumption scenario C'!AA39,'consumption scenario A'!AA39))</f>
        <v>0</v>
      </c>
      <c r="AB44" s="310">
        <f>IF(parameters!$B$33="B",'consumption scenario B'!AB39,IF(parameters!$B$33="C",'consumption scenario C'!AB39,'consumption scenario A'!AB39))</f>
        <v>0</v>
      </c>
      <c r="AC44" s="310">
        <f>IF(parameters!$B$33="B",'consumption scenario B'!AC39,IF(parameters!$B$33="C",'consumption scenario C'!AC39,'consumption scenario A'!AC39))</f>
        <v>0</v>
      </c>
      <c r="AD44" s="310">
        <f>IF(parameters!$B$33="B",'consumption scenario B'!AD39,IF(parameters!$B$33="C",'consumption scenario C'!AD39,'consumption scenario A'!AD39))</f>
        <v>0</v>
      </c>
      <c r="AE44" s="310">
        <f>IF(parameters!$B$33="B",'consumption scenario B'!AE39,IF(parameters!$B$33="C",'consumption scenario C'!AE39,'consumption scenario A'!AE39))</f>
        <v>0</v>
      </c>
      <c r="AF44" s="310">
        <f>IF(parameters!$B$33="B",'consumption scenario B'!AF39,IF(parameters!$B$33="C",'consumption scenario C'!AF39,'consumption scenario A'!AF39))</f>
        <v>0</v>
      </c>
      <c r="AG44" s="310">
        <f>IF(parameters!$B$33="B",'consumption scenario B'!AG39,IF(parameters!$B$33="C",'consumption scenario C'!AG39,'consumption scenario A'!AG39))</f>
        <v>0</v>
      </c>
      <c r="AH44" s="310">
        <f>IF(parameters!$B$33="B",'consumption scenario B'!AH39,IF(parameters!$B$33="C",'consumption scenario C'!AH39,'consumption scenario A'!AH39))</f>
        <v>0</v>
      </c>
      <c r="AI44" s="310">
        <f>IF(parameters!$B$33="B",'consumption scenario B'!AI39,IF(parameters!$B$33="C",'consumption scenario C'!AI39,'consumption scenario A'!AI39))</f>
        <v>0</v>
      </c>
      <c r="AJ44" s="310">
        <f>IF(parameters!$B$33="B",'consumption scenario B'!AJ39,IF(parameters!$B$33="C",'consumption scenario C'!AJ39,'consumption scenario A'!AJ39))</f>
        <v>0</v>
      </c>
      <c r="AK44" s="310">
        <f>IF(parameters!$B$33="B",'consumption scenario B'!AK39,IF(parameters!$B$33="C",'consumption scenario C'!AK39,'consumption scenario A'!AK39))</f>
        <v>0</v>
      </c>
      <c r="AL44" s="310">
        <f>IF(parameters!$B$33="B",'consumption scenario B'!AL39,IF(parameters!$B$33="C",'consumption scenario C'!AL39,'consumption scenario A'!AL39))</f>
        <v>0</v>
      </c>
      <c r="AM44" s="310">
        <f>IF(parameters!$B$33="B",'consumption scenario B'!AM39,IF(parameters!$B$33="C",'consumption scenario C'!AM39,'consumption scenario A'!AM39))</f>
        <v>0</v>
      </c>
      <c r="AN44" s="310">
        <f>IF(parameters!$B$33="B",'consumption scenario B'!AN39,IF(parameters!$B$33="C",'consumption scenario C'!AN39,'consumption scenario A'!AN39))</f>
        <v>0</v>
      </c>
      <c r="AO44" s="310">
        <f>IF(parameters!$B$33="B",'consumption scenario B'!AO39,IF(parameters!$B$33="C",'consumption scenario C'!AO39,'consumption scenario A'!AO39))</f>
        <v>0</v>
      </c>
      <c r="AP44" s="310">
        <f>IF(parameters!$B$33="B",'consumption scenario B'!AP39,IF(parameters!$B$33="C",'consumption scenario C'!AP39,'consumption scenario A'!AP39))</f>
        <v>0</v>
      </c>
      <c r="AQ44" s="310">
        <f>IF(parameters!$B$33="B",'consumption scenario B'!AQ39,IF(parameters!$B$33="C",'consumption scenario C'!AQ39,'consumption scenario A'!AQ39))</f>
        <v>0</v>
      </c>
      <c r="AR44" s="310">
        <f>IF(parameters!$B$33="B",'consumption scenario B'!AR39,IF(parameters!$B$33="C",'consumption scenario C'!AR39,'consumption scenario A'!AR39))</f>
        <v>0</v>
      </c>
      <c r="AS44" s="310">
        <f>IF(parameters!$B$33="B",'consumption scenario B'!AS39,IF(parameters!$B$33="C",'consumption scenario C'!AS39,'consumption scenario A'!AS39))</f>
        <v>0</v>
      </c>
      <c r="AT44" s="310">
        <f>IF(parameters!$B$33="B",'consumption scenario B'!AT39,IF(parameters!$B$33="C",'consumption scenario C'!AT39,'consumption scenario A'!AT39))</f>
        <v>0</v>
      </c>
      <c r="AU44" s="310">
        <f>IF(parameters!$B$33="B",'consumption scenario B'!AU39,IF(parameters!$B$33="C",'consumption scenario C'!AU39,'consumption scenario A'!AU39))</f>
        <v>0</v>
      </c>
    </row>
    <row r="45" spans="1:47" s="230" customFormat="1">
      <c r="A45" s="130" t="s">
        <v>63</v>
      </c>
      <c r="B45" s="310">
        <f>IF(parameters!$B$33="B",'consumption scenario B'!B40,IF(parameters!$B$33="C",'consumption scenario C'!B40,'consumption scenario A'!B40))</f>
        <v>3.578721760051585E-3</v>
      </c>
      <c r="C45" s="310">
        <f>IF(parameters!$B$33="B",'consumption scenario B'!C40,IF(parameters!$B$33="C",'consumption scenario C'!C40,'consumption scenario A'!C40))</f>
        <v>3.5378419884432365E-3</v>
      </c>
      <c r="D45" s="310">
        <f>IF(parameters!$B$33="B",'consumption scenario B'!D40,IF(parameters!$B$33="C",'consumption scenario C'!D40,'consumption scenario A'!D40))</f>
        <v>3.601623417064563E-3</v>
      </c>
      <c r="E45" s="310">
        <f>IF(parameters!$B$33="B",'consumption scenario B'!E40,IF(parameters!$B$33="C",'consumption scenario C'!E40,'consumption scenario A'!E40))</f>
        <v>3.4036628607016814E-3</v>
      </c>
      <c r="F45" s="310">
        <f>IF(parameters!$B$33="B",'consumption scenario B'!F40,IF(parameters!$B$33="C",'consumption scenario C'!F40,'consumption scenario A'!F40))</f>
        <v>2.7874677184969894E-3</v>
      </c>
      <c r="G45" s="310">
        <f>IF(parameters!$B$33="B",'consumption scenario B'!G40,IF(parameters!$B$33="C",'consumption scenario C'!G40,'consumption scenario A'!G40))</f>
        <v>2.8077787004359561E-3</v>
      </c>
      <c r="H45" s="310">
        <f>IF(parameters!$B$33="B",'consumption scenario B'!H40,IF(parameters!$B$33="C",'consumption scenario C'!H40,'consumption scenario A'!H40))</f>
        <v>2.9050425576084703E-3</v>
      </c>
      <c r="I45" s="310">
        <f>IF(parameters!$B$33="B",'consumption scenario B'!I40,IF(parameters!$B$33="C",'consumption scenario C'!I40,'consumption scenario A'!I40))</f>
        <v>2.5746315133900765E-3</v>
      </c>
      <c r="J45" s="310">
        <f>IF(parameters!$B$33="B",'consumption scenario B'!J40,IF(parameters!$B$33="C",'consumption scenario C'!J40,'consumption scenario A'!J40))</f>
        <v>2.360078887274237E-3</v>
      </c>
      <c r="K45" s="310">
        <f>IF(parameters!$B$33="B",'consumption scenario B'!K40,IF(parameters!$B$33="C",'consumption scenario C'!K40,'consumption scenario A'!K40))</f>
        <v>2.549671891218601E-3</v>
      </c>
      <c r="L45" s="310">
        <f>IF(parameters!$B$33="B",'consumption scenario B'!L40,IF(parameters!$B$33="C",'consumption scenario C'!L40,'consumption scenario A'!L40))</f>
        <v>2.522852812954121E-3</v>
      </c>
      <c r="M45" s="310">
        <f>IF(parameters!$B$33="B",'consumption scenario B'!M40,IF(parameters!$B$33="C",'consumption scenario C'!M40,'consumption scenario A'!M40))</f>
        <v>1.6812374124580017E-3</v>
      </c>
      <c r="N45" s="310">
        <f>IF(parameters!$B$33="B",'consumption scenario B'!N40,IF(parameters!$B$33="C",'consumption scenario C'!N40,'consumption scenario A'!N40))</f>
        <v>1.7967467372497011E-3</v>
      </c>
      <c r="O45" s="310">
        <f>IF(parameters!$B$33="B",'consumption scenario B'!O40,IF(parameters!$B$33="C",'consumption scenario C'!O40,'consumption scenario A'!O40))</f>
        <v>1.6403479487919937E-3</v>
      </c>
      <c r="P45" s="310">
        <f>IF(parameters!$B$33="B",'consumption scenario B'!P40,IF(parameters!$B$33="C",'consumption scenario C'!P40,'consumption scenario A'!P40))</f>
        <v>1.6152708193366155E-3</v>
      </c>
      <c r="Q45" s="310">
        <f>IF(parameters!$B$33="B",'consumption scenario B'!Q40,IF(parameters!$B$33="C",'consumption scenario C'!Q40,'consumption scenario A'!Q40))</f>
        <v>1.6944321503588621E-3</v>
      </c>
      <c r="R45" s="310">
        <f>IF(parameters!$B$33="B",'consumption scenario B'!R40,IF(parameters!$B$33="C",'consumption scenario C'!R40,'consumption scenario A'!R40))</f>
        <v>1.735774444065298E-3</v>
      </c>
      <c r="S45" s="310">
        <f>IF(parameters!$B$33="B",'consumption scenario B'!S40,IF(parameters!$B$33="C",'consumption scenario C'!S40,'consumption scenario A'!S40))</f>
        <v>1.7522059212097792E-3</v>
      </c>
      <c r="T45" s="310">
        <f>IF(parameters!$B$33="B",'consumption scenario B'!T40,IF(parameters!$B$33="C",'consumption scenario C'!T40,'consumption scenario A'!T40))</f>
        <v>1.7682552562847337E-3</v>
      </c>
      <c r="U45" s="310">
        <f>IF(parameters!$B$33="B",'consumption scenario B'!U40,IF(parameters!$B$33="C",'consumption scenario C'!U40,'consumption scenario A'!U40))</f>
        <v>1.7834626803811362E-3</v>
      </c>
      <c r="V45" s="310">
        <f>IF(parameters!$B$33="B",'consumption scenario B'!V40,IF(parameters!$B$33="C",'consumption scenario C'!V40,'consumption scenario A'!V40))</f>
        <v>1.7985632230048743E-3</v>
      </c>
      <c r="W45" s="310">
        <f>IF(parameters!$B$33="B",'consumption scenario B'!W40,IF(parameters!$B$33="C",'consumption scenario C'!W40,'consumption scenario A'!W40))</f>
        <v>1.8008923540713661E-3</v>
      </c>
      <c r="X45" s="310">
        <f>IF(parameters!$B$33="B",'consumption scenario B'!X40,IF(parameters!$B$33="C",'consumption scenario C'!X40,'consumption scenario A'!X40))</f>
        <v>1.793976444523604E-3</v>
      </c>
      <c r="Y45" s="310">
        <f>IF(parameters!$B$33="B",'consumption scenario B'!Y40,IF(parameters!$B$33="C",'consumption scenario C'!Y40,'consumption scenario A'!Y40))</f>
        <v>1.7907126334601692E-3</v>
      </c>
      <c r="Z45" s="310">
        <f>IF(parameters!$B$33="B",'consumption scenario B'!Z40,IF(parameters!$B$33="C",'consumption scenario C'!Z40,'consumption scenario A'!Z40))</f>
        <v>1.7835347759603114E-3</v>
      </c>
      <c r="AA45" s="310">
        <f>IF(parameters!$B$33="B",'consumption scenario B'!AA40,IF(parameters!$B$33="C",'consumption scenario C'!AA40,'consumption scenario A'!AA40))</f>
        <v>1.7627931514552797E-3</v>
      </c>
      <c r="AB45" s="310">
        <f>IF(parameters!$B$33="B",'consumption scenario B'!AB40,IF(parameters!$B$33="C",'consumption scenario C'!AB40,'consumption scenario A'!AB40))</f>
        <v>1.7455574261136843E-3</v>
      </c>
      <c r="AC45" s="310">
        <f>IF(parameters!$B$33="B",'consumption scenario B'!AC40,IF(parameters!$B$33="C",'consumption scenario C'!AC40,'consumption scenario A'!AC40))</f>
        <v>1.7263839847060805E-3</v>
      </c>
      <c r="AD45" s="310">
        <f>IF(parameters!$B$33="B",'consumption scenario B'!AD40,IF(parameters!$B$33="C",'consumption scenario C'!AD40,'consumption scenario A'!AD40))</f>
        <v>1.7075212614549556E-3</v>
      </c>
      <c r="AE45" s="310">
        <f>IF(parameters!$B$33="B",'consumption scenario B'!AE40,IF(parameters!$B$33="C",'consumption scenario C'!AE40,'consumption scenario A'!AE40))</f>
        <v>1.6946352787477802E-3</v>
      </c>
      <c r="AF45" s="310">
        <f>IF(parameters!$B$33="B",'consumption scenario B'!AF40,IF(parameters!$B$33="C",'consumption scenario C'!AF40,'consumption scenario A'!AF40))</f>
        <v>1.67886479196304E-3</v>
      </c>
      <c r="AG45" s="310">
        <f>IF(parameters!$B$33="B",'consumption scenario B'!AG40,IF(parameters!$B$33="C",'consumption scenario C'!AG40,'consumption scenario A'!AG40))</f>
        <v>1.6780106214105415E-3</v>
      </c>
      <c r="AH45" s="310">
        <f>IF(parameters!$B$33="B",'consumption scenario B'!AH40,IF(parameters!$B$33="C",'consumption scenario C'!AH40,'consumption scenario A'!AH40))</f>
        <v>1.6794781141164195E-3</v>
      </c>
      <c r="AI45" s="310">
        <f>IF(parameters!$B$33="B",'consumption scenario B'!AI40,IF(parameters!$B$33="C",'consumption scenario C'!AI40,'consumption scenario A'!AI40))</f>
        <v>1.6834838158539566E-3</v>
      </c>
      <c r="AJ45" s="310">
        <f>IF(parameters!$B$33="B",'consumption scenario B'!AJ40,IF(parameters!$B$33="C",'consumption scenario C'!AJ40,'consumption scenario A'!AJ40))</f>
        <v>1.6852452951103861E-3</v>
      </c>
      <c r="AK45" s="310">
        <f>IF(parameters!$B$33="B",'consumption scenario B'!AK40,IF(parameters!$B$33="C",'consumption scenario C'!AK40,'consumption scenario A'!AK40))</f>
        <v>1.6888629571693266E-3</v>
      </c>
      <c r="AL45" s="310">
        <f>IF(parameters!$B$33="B",'consumption scenario B'!AL40,IF(parameters!$B$33="C",'consumption scenario C'!AL40,'consumption scenario A'!AL40))</f>
        <v>1.6942087131861583E-3</v>
      </c>
      <c r="AM45" s="310">
        <f>IF(parameters!$B$33="B",'consumption scenario B'!AM40,IF(parameters!$B$33="C",'consumption scenario C'!AM40,'consumption scenario A'!AM40))</f>
        <v>1.6975035720774103E-3</v>
      </c>
      <c r="AN45" s="310">
        <f>IF(parameters!$B$33="B",'consumption scenario B'!AN40,IF(parameters!$B$33="C",'consumption scenario C'!AN40,'consumption scenario A'!AN40))</f>
        <v>1.7020703298602613E-3</v>
      </c>
      <c r="AO45" s="310">
        <f>IF(parameters!$B$33="B",'consumption scenario B'!AO40,IF(parameters!$B$33="C",'consumption scenario C'!AO40,'consumption scenario A'!AO40))</f>
        <v>1.7074695834737523E-3</v>
      </c>
      <c r="AP45" s="310">
        <f>IF(parameters!$B$33="B",'consumption scenario B'!AP40,IF(parameters!$B$33="C",'consumption scenario C'!AP40,'consumption scenario A'!AP40))</f>
        <v>1.7142745673788366E-3</v>
      </c>
      <c r="AQ45" s="310">
        <f>IF(parameters!$B$33="B",'consumption scenario B'!AQ40,IF(parameters!$B$33="C",'consumption scenario C'!AQ40,'consumption scenario A'!AQ40))</f>
        <v>1.7197888286412273E-3</v>
      </c>
      <c r="AR45" s="310">
        <f>IF(parameters!$B$33="B",'consumption scenario B'!AR40,IF(parameters!$B$33="C",'consumption scenario C'!AR40,'consumption scenario A'!AR40))</f>
        <v>1.726345150630839E-3</v>
      </c>
      <c r="AS45" s="310">
        <f>IF(parameters!$B$33="B",'consumption scenario B'!AS40,IF(parameters!$B$33="C",'consumption scenario C'!AS40,'consumption scenario A'!AS40))</f>
        <v>1.7330012243357482E-3</v>
      </c>
      <c r="AT45" s="310">
        <f>IF(parameters!$B$33="B",'consumption scenario B'!AT40,IF(parameters!$B$33="C",'consumption scenario C'!AT40,'consumption scenario A'!AT40))</f>
        <v>1.7390426169578931E-3</v>
      </c>
      <c r="AU45" s="310">
        <f>IF(parameters!$B$33="B",'consumption scenario B'!AU40,IF(parameters!$B$33="C",'consumption scenario C'!AU40,'consumption scenario A'!AU40))</f>
        <v>1.7460085171351692E-3</v>
      </c>
    </row>
    <row r="46" spans="1:47" s="230" customFormat="1">
      <c r="A46" s="130" t="s">
        <v>64</v>
      </c>
      <c r="B46" s="310">
        <f>IF(parameters!$B$33="B",'consumption scenario B'!B41,IF(parameters!$B$33="C",'consumption scenario C'!B41,'consumption scenario A'!B41))</f>
        <v>1.5117250181316221E-4</v>
      </c>
      <c r="C46" s="310">
        <f>IF(parameters!$B$33="B",'consumption scenario B'!C41,IF(parameters!$B$33="C",'consumption scenario C'!C41,'consumption scenario A'!C41))</f>
        <v>3.3037776342387145E-4</v>
      </c>
      <c r="D46" s="310">
        <f>IF(parameters!$B$33="B",'consumption scenario B'!D41,IF(parameters!$B$33="C",'consumption scenario C'!D41,'consumption scenario A'!D41))</f>
        <v>4.8742678527615536E-4</v>
      </c>
      <c r="E46" s="310">
        <f>IF(parameters!$B$33="B",'consumption scenario B'!E41,IF(parameters!$B$33="C",'consumption scenario C'!E41,'consumption scenario A'!E41))</f>
        <v>6.5784096757521247E-3</v>
      </c>
      <c r="F46" s="310">
        <f>IF(parameters!$B$33="B",'consumption scenario B'!F41,IF(parameters!$B$33="C",'consumption scenario C'!F41,'consumption scenario A'!F41))</f>
        <v>4.1496094140132276E-3</v>
      </c>
      <c r="G46" s="310">
        <f>IF(parameters!$B$33="B",'consumption scenario B'!G41,IF(parameters!$B$33="C",'consumption scenario C'!G41,'consumption scenario A'!G41))</f>
        <v>2.2961283206401749E-2</v>
      </c>
      <c r="H46" s="310">
        <f>IF(parameters!$B$33="B",'consumption scenario B'!H41,IF(parameters!$B$33="C",'consumption scenario C'!H41,'consumption scenario A'!H41))</f>
        <v>1.2303822477270977E-2</v>
      </c>
      <c r="I46" s="310">
        <f>IF(parameters!$B$33="B",'consumption scenario B'!I41,IF(parameters!$B$33="C",'consumption scenario C'!I41,'consumption scenario A'!I41))</f>
        <v>1.9445217497718964E-2</v>
      </c>
      <c r="J46" s="310">
        <f>IF(parameters!$B$33="B",'consumption scenario B'!J41,IF(parameters!$B$33="C",'consumption scenario C'!J41,'consumption scenario A'!J41))</f>
        <v>1.9260024950121642E-2</v>
      </c>
      <c r="K46" s="310">
        <f>IF(parameters!$B$33="B",'consumption scenario B'!K41,IF(parameters!$B$33="C",'consumption scenario C'!K41,'consumption scenario A'!K41))</f>
        <v>1.993060716497155E-2</v>
      </c>
      <c r="L46" s="310">
        <f>IF(parameters!$B$33="B",'consumption scenario B'!L41,IF(parameters!$B$33="C",'consumption scenario C'!L41,'consumption scenario A'!L41))</f>
        <v>2.2542748048831798E-2</v>
      </c>
      <c r="M46" s="310">
        <f>IF(parameters!$B$33="B",'consumption scenario B'!M41,IF(parameters!$B$33="C",'consumption scenario C'!M41,'consumption scenario A'!M41))</f>
        <v>1.6021667371164956E-2</v>
      </c>
      <c r="N46" s="310">
        <f>IF(parameters!$B$33="B",'consumption scenario B'!N41,IF(parameters!$B$33="C",'consumption scenario C'!N41,'consumption scenario A'!N41))</f>
        <v>1.8509990455494323E-2</v>
      </c>
      <c r="O46" s="310">
        <f>IF(parameters!$B$33="B",'consumption scenario B'!O41,IF(parameters!$B$33="C",'consumption scenario C'!O41,'consumption scenario A'!O41))</f>
        <v>1.8464276103544501E-2</v>
      </c>
      <c r="P46" s="310">
        <f>IF(parameters!$B$33="B",'consumption scenario B'!P41,IF(parameters!$B$33="C",'consumption scenario C'!P41,'consumption scenario A'!P41))</f>
        <v>1.9033953743562551E-2</v>
      </c>
      <c r="Q46" s="310">
        <f>IF(parameters!$B$33="B",'consumption scenario B'!Q41,IF(parameters!$B$33="C",'consumption scenario C'!Q41,'consumption scenario A'!Q41))</f>
        <v>1.9889454293571491E-2</v>
      </c>
      <c r="R46" s="310">
        <f>IF(parameters!$B$33="B",'consumption scenario B'!R41,IF(parameters!$B$33="C",'consumption scenario C'!R41,'consumption scenario A'!R41))</f>
        <v>1.9853302468950874E-2</v>
      </c>
      <c r="S46" s="310">
        <f>IF(parameters!$B$33="B",'consumption scenario B'!S41,IF(parameters!$B$33="C",'consumption scenario C'!S41,'consumption scenario A'!S41))</f>
        <v>1.9695490405470667E-2</v>
      </c>
      <c r="T46" s="310">
        <f>IF(parameters!$B$33="B",'consumption scenario B'!T41,IF(parameters!$B$33="C",'consumption scenario C'!T41,'consumption scenario A'!T41))</f>
        <v>1.9418061172551675E-2</v>
      </c>
      <c r="U46" s="310">
        <f>IF(parameters!$B$33="B",'consumption scenario B'!U41,IF(parameters!$B$33="C",'consumption scenario C'!U41,'consumption scenario A'!U41))</f>
        <v>1.9139581039458488E-2</v>
      </c>
      <c r="V46" s="310">
        <f>IF(parameters!$B$33="B",'consumption scenario B'!V41,IF(parameters!$B$33="C",'consumption scenario C'!V41,'consumption scenario A'!V41))</f>
        <v>1.8656396926684242E-2</v>
      </c>
      <c r="W46" s="310">
        <f>IF(parameters!$B$33="B",'consumption scenario B'!W41,IF(parameters!$B$33="C",'consumption scenario C'!W41,'consumption scenario A'!W41))</f>
        <v>1.8423834527361963E-2</v>
      </c>
      <c r="X46" s="310">
        <f>IF(parameters!$B$33="B",'consumption scenario B'!X41,IF(parameters!$B$33="C",'consumption scenario C'!X41,'consumption scenario A'!X41))</f>
        <v>1.8214092577693995E-2</v>
      </c>
      <c r="Y46" s="310">
        <f>IF(parameters!$B$33="B",'consumption scenario B'!Y41,IF(parameters!$B$33="C",'consumption scenario C'!Y41,'consumption scenario A'!Y41))</f>
        <v>1.881766411231622E-2</v>
      </c>
      <c r="Z46" s="310">
        <f>IF(parameters!$B$33="B",'consumption scenario B'!Z41,IF(parameters!$B$33="C",'consumption scenario C'!Z41,'consumption scenario A'!Z41))</f>
        <v>1.870247742115401E-2</v>
      </c>
      <c r="AA46" s="310">
        <f>IF(parameters!$B$33="B",'consumption scenario B'!AA41,IF(parameters!$B$33="C",'consumption scenario C'!AA41,'consumption scenario A'!AA41))</f>
        <v>1.8862444162716083E-2</v>
      </c>
      <c r="AB46" s="310">
        <f>IF(parameters!$B$33="B",'consumption scenario B'!AB41,IF(parameters!$B$33="C",'consumption scenario C'!AB41,'consumption scenario A'!AB41))</f>
        <v>1.8399634577748639E-2</v>
      </c>
      <c r="AC46" s="310">
        <f>IF(parameters!$B$33="B",'consumption scenario B'!AC41,IF(parameters!$B$33="C",'consumption scenario C'!AC41,'consumption scenario A'!AC41))</f>
        <v>1.8050712362744203E-2</v>
      </c>
      <c r="AD46" s="310">
        <f>IF(parameters!$B$33="B",'consumption scenario B'!AD41,IF(parameters!$B$33="C",'consumption scenario C'!AD41,'consumption scenario A'!AD41))</f>
        <v>1.7685906302609591E-2</v>
      </c>
      <c r="AE46" s="310">
        <f>IF(parameters!$B$33="B",'consumption scenario B'!AE41,IF(parameters!$B$33="C",'consumption scenario C'!AE41,'consumption scenario A'!AE41))</f>
        <v>1.7426642776983775E-2</v>
      </c>
      <c r="AF46" s="310">
        <f>IF(parameters!$B$33="B",'consumption scenario B'!AF41,IF(parameters!$B$33="C",'consumption scenario C'!AF41,'consumption scenario A'!AF41))</f>
        <v>1.721356831409759E-2</v>
      </c>
      <c r="AG46" s="310">
        <f>IF(parameters!$B$33="B",'consumption scenario B'!AG41,IF(parameters!$B$33="C",'consumption scenario C'!AG41,'consumption scenario A'!AG41))</f>
        <v>1.7197561954022597E-2</v>
      </c>
      <c r="AH46" s="310">
        <f>IF(parameters!$B$33="B",'consumption scenario B'!AH41,IF(parameters!$B$33="C",'consumption scenario C'!AH41,'consumption scenario A'!AH41))</f>
        <v>1.7191757693403042E-2</v>
      </c>
      <c r="AI46" s="310">
        <f>IF(parameters!$B$33="B",'consumption scenario B'!AI41,IF(parameters!$B$33="C",'consumption scenario C'!AI41,'consumption scenario A'!AI41))</f>
        <v>1.7185853787057913E-2</v>
      </c>
      <c r="AJ46" s="310">
        <f>IF(parameters!$B$33="B",'consumption scenario B'!AJ41,IF(parameters!$B$33="C",'consumption scenario C'!AJ41,'consumption scenario A'!AJ41))</f>
        <v>1.7196483627591058E-2</v>
      </c>
      <c r="AK46" s="310">
        <f>IF(parameters!$B$33="B",'consumption scenario B'!AK41,IF(parameters!$B$33="C",'consumption scenario C'!AK41,'consumption scenario A'!AK41))</f>
        <v>1.7203328917754526E-2</v>
      </c>
      <c r="AL46" s="310">
        <f>IF(parameters!$B$33="B",'consumption scenario B'!AL41,IF(parameters!$B$33="C",'consumption scenario C'!AL41,'consumption scenario A'!AL41))</f>
        <v>1.7209260670440471E-2</v>
      </c>
      <c r="AM46" s="310">
        <f>IF(parameters!$B$33="B",'consumption scenario B'!AM41,IF(parameters!$B$33="C",'consumption scenario C'!AM41,'consumption scenario A'!AM41))</f>
        <v>1.6516290535705618E-2</v>
      </c>
      <c r="AN46" s="310">
        <f>IF(parameters!$B$33="B",'consumption scenario B'!AN41,IF(parameters!$B$33="C",'consumption scenario C'!AN41,'consumption scenario A'!AN41))</f>
        <v>1.5830472355375626E-2</v>
      </c>
      <c r="AO46" s="310">
        <f>IF(parameters!$B$33="B",'consumption scenario B'!AO41,IF(parameters!$B$33="C",'consumption scenario C'!AO41,'consumption scenario A'!AO41))</f>
        <v>1.5980459085688799E-2</v>
      </c>
      <c r="AP46" s="310">
        <f>IF(parameters!$B$33="B",'consumption scenario B'!AP41,IF(parameters!$B$33="C",'consumption scenario C'!AP41,'consumption scenario A'!AP41))</f>
        <v>1.6178713021897214E-2</v>
      </c>
      <c r="AQ46" s="310">
        <f>IF(parameters!$B$33="B",'consumption scenario B'!AQ41,IF(parameters!$B$33="C",'consumption scenario C'!AQ41,'consumption scenario A'!AQ41))</f>
        <v>1.6186477688119063E-2</v>
      </c>
      <c r="AR46" s="310">
        <f>IF(parameters!$B$33="B",'consumption scenario B'!AR41,IF(parameters!$B$33="C",'consumption scenario C'!AR41,'consumption scenario A'!AR41))</f>
        <v>1.6220315582347995E-2</v>
      </c>
      <c r="AS46" s="310">
        <f>IF(parameters!$B$33="B",'consumption scenario B'!AS41,IF(parameters!$B$33="C",'consumption scenario C'!AS41,'consumption scenario A'!AS41))</f>
        <v>1.6222460583672303E-2</v>
      </c>
      <c r="AT46" s="310">
        <f>IF(parameters!$B$33="B",'consumption scenario B'!AT41,IF(parameters!$B$33="C",'consumption scenario C'!AT41,'consumption scenario A'!AT41))</f>
        <v>1.6189238884806494E-2</v>
      </c>
      <c r="AU46" s="310">
        <f>IF(parameters!$B$33="B",'consumption scenario B'!AU41,IF(parameters!$B$33="C",'consumption scenario C'!AU41,'consumption scenario A'!AU41))</f>
        <v>1.6147345722336597E-2</v>
      </c>
    </row>
    <row r="47" spans="1:47" s="230" customFormat="1">
      <c r="A47" s="130" t="s">
        <v>65</v>
      </c>
      <c r="B47" s="310">
        <f>IF(parameters!$B$33="B",'consumption scenario B'!B42,IF(parameters!$B$33="C",'consumption scenario C'!B42,'consumption scenario A'!B42))</f>
        <v>5.7077000000000003E-2</v>
      </c>
      <c r="C47" s="310">
        <f>IF(parameters!$B$33="B",'consumption scenario B'!C42,IF(parameters!$B$33="C",'consumption scenario C'!C42,'consumption scenario A'!C42))</f>
        <v>8.1279000000000004E-2</v>
      </c>
      <c r="D47" s="310">
        <f>IF(parameters!$B$33="B",'consumption scenario B'!D42,IF(parameters!$B$33="C",'consumption scenario C'!D42,'consumption scenario A'!D42))</f>
        <v>5.5065999999999997E-2</v>
      </c>
      <c r="E47" s="310">
        <f>IF(parameters!$B$33="B",'consumption scenario B'!E42,IF(parameters!$B$33="C",'consumption scenario C'!E42,'consumption scenario A'!E42))</f>
        <v>5.5499E-2</v>
      </c>
      <c r="F47" s="310">
        <f>IF(parameters!$B$33="B",'consumption scenario B'!F42,IF(parameters!$B$33="C",'consumption scenario C'!F42,'consumption scenario A'!F42))</f>
        <v>5.6826000000000002E-2</v>
      </c>
      <c r="G47" s="310">
        <f>IF(parameters!$B$33="B",'consumption scenario B'!G42,IF(parameters!$B$33="C",'consumption scenario C'!G42,'consumption scenario A'!G42))</f>
        <v>7.6332999999999998E-2</v>
      </c>
      <c r="H47" s="310">
        <f>IF(parameters!$B$33="B",'consumption scenario B'!H42,IF(parameters!$B$33="C",'consumption scenario C'!H42,'consumption scenario A'!H42))</f>
        <v>7.4995999999999993E-2</v>
      </c>
      <c r="I47" s="310">
        <f>IF(parameters!$B$33="B",'consumption scenario B'!I42,IF(parameters!$B$33="C",'consumption scenario C'!I42,'consumption scenario A'!I42))</f>
        <v>7.8010999999999997E-2</v>
      </c>
      <c r="J47" s="310">
        <f>IF(parameters!$B$33="B",'consumption scenario B'!J42,IF(parameters!$B$33="C",'consumption scenario C'!J42,'consumption scenario A'!J42))</f>
        <v>7.8285999999999994E-2</v>
      </c>
      <c r="K47" s="310">
        <f>IF(parameters!$B$33="B",'consumption scenario B'!K42,IF(parameters!$B$33="C",'consumption scenario C'!K42,'consumption scenario A'!K42))</f>
        <v>7.8298000000000006E-2</v>
      </c>
      <c r="L47" s="310">
        <f>IF(parameters!$B$33="B",'consumption scenario B'!L42,IF(parameters!$B$33="C",'consumption scenario C'!L42,'consumption scenario A'!L42))</f>
        <v>7.8807000000000002E-2</v>
      </c>
      <c r="M47" s="310">
        <f>IF(parameters!$B$33="B",'consumption scenario B'!M42,IF(parameters!$B$33="C",'consumption scenario C'!M42,'consumption scenario A'!M42))</f>
        <v>8.4869E-2</v>
      </c>
      <c r="N47" s="310">
        <f>IF(parameters!$B$33="B",'consumption scenario B'!N42,IF(parameters!$B$33="C",'consumption scenario C'!N42,'consumption scenario A'!N42))</f>
        <v>8.540103855387475E-2</v>
      </c>
      <c r="O47" s="310">
        <f>IF(parameters!$B$33="B",'consumption scenario B'!O42,IF(parameters!$B$33="C",'consumption scenario C'!O42,'consumption scenario A'!O42))</f>
        <v>8.5583858738779425E-2</v>
      </c>
      <c r="P47" s="310">
        <f>IF(parameters!$B$33="B",'consumption scenario B'!P42,IF(parameters!$B$33="C",'consumption scenario C'!P42,'consumption scenario A'!P42))</f>
        <v>8.2869175177946175E-2</v>
      </c>
      <c r="Q47" s="310">
        <f>IF(parameters!$B$33="B",'consumption scenario B'!Q42,IF(parameters!$B$33="C",'consumption scenario C'!Q42,'consumption scenario A'!Q42))</f>
        <v>8.49020907744166E-2</v>
      </c>
      <c r="R47" s="310">
        <f>IF(parameters!$B$33="B",'consumption scenario B'!R42,IF(parameters!$B$33="C",'consumption scenario C'!R42,'consumption scenario A'!R42))</f>
        <v>8.7157366640221015E-2</v>
      </c>
      <c r="S47" s="310">
        <f>IF(parameters!$B$33="B",'consumption scenario B'!S42,IF(parameters!$B$33="C",'consumption scenario C'!S42,'consumption scenario A'!S42))</f>
        <v>8.9050990089436968E-2</v>
      </c>
      <c r="T47" s="310">
        <f>IF(parameters!$B$33="B",'consumption scenario B'!T42,IF(parameters!$B$33="C",'consumption scenario C'!T42,'consumption scenario A'!T42))</f>
        <v>9.1102807230961966E-2</v>
      </c>
      <c r="U47" s="310">
        <f>IF(parameters!$B$33="B",'consumption scenario B'!U42,IF(parameters!$B$33="C",'consumption scenario C'!U42,'consumption scenario A'!U42))</f>
        <v>9.342491622841631E-2</v>
      </c>
      <c r="V47" s="310">
        <f>IF(parameters!$B$33="B",'consumption scenario B'!V42,IF(parameters!$B$33="C",'consumption scenario C'!V42,'consumption scenario A'!V42))</f>
        <v>9.594733302024494E-2</v>
      </c>
      <c r="W47" s="310">
        <f>IF(parameters!$B$33="B",'consumption scenario B'!W42,IF(parameters!$B$33="C",'consumption scenario C'!W42,'consumption scenario A'!W42))</f>
        <v>9.798454757154175E-2</v>
      </c>
      <c r="X47" s="310">
        <f>IF(parameters!$B$33="B",'consumption scenario B'!X42,IF(parameters!$B$33="C",'consumption scenario C'!X42,'consumption scenario A'!X42))</f>
        <v>9.9191579653287343E-2</v>
      </c>
      <c r="Y47" s="310">
        <f>IF(parameters!$B$33="B",'consumption scenario B'!Y42,IF(parameters!$B$33="C",'consumption scenario C'!Y42,'consumption scenario A'!Y42))</f>
        <v>0.10062618815910819</v>
      </c>
      <c r="Z47" s="310">
        <f>IF(parameters!$B$33="B",'consumption scenario B'!Z42,IF(parameters!$B$33="C",'consumption scenario C'!Z42,'consumption scenario A'!Z42))</f>
        <v>0.10207682048368064</v>
      </c>
      <c r="AA47" s="310">
        <f>IF(parameters!$B$33="B",'consumption scenario B'!AA42,IF(parameters!$B$33="C",'consumption scenario C'!AA42,'consumption scenario A'!AA42))</f>
        <v>0.10327909105533514</v>
      </c>
      <c r="AB47" s="310">
        <f>IF(parameters!$B$33="B",'consumption scenario B'!AB42,IF(parameters!$B$33="C",'consumption scenario C'!AB42,'consumption scenario A'!AB42))</f>
        <v>0.10485450572927298</v>
      </c>
      <c r="AC47" s="310">
        <f>IF(parameters!$B$33="B",'consumption scenario B'!AC42,IF(parameters!$B$33="C",'consumption scenario C'!AC42,'consumption scenario A'!AC42))</f>
        <v>0.10629087946990952</v>
      </c>
      <c r="AD47" s="310">
        <f>IF(parameters!$B$33="B",'consumption scenario B'!AD42,IF(parameters!$B$33="C",'consumption scenario C'!AD42,'consumption scenario A'!AD42))</f>
        <v>0.10781484410728255</v>
      </c>
      <c r="AE47" s="310">
        <f>IF(parameters!$B$33="B",'consumption scenario B'!AE42,IF(parameters!$B$33="C",'consumption scenario C'!AE42,'consumption scenario A'!AE42))</f>
        <v>0.11003931655214362</v>
      </c>
      <c r="AF47" s="310">
        <f>IF(parameters!$B$33="B",'consumption scenario B'!AF42,IF(parameters!$B$33="C",'consumption scenario C'!AF42,'consumption scenario A'!AF42))</f>
        <v>0.11237022434411294</v>
      </c>
      <c r="AG47" s="310">
        <f>IF(parameters!$B$33="B",'consumption scenario B'!AG42,IF(parameters!$B$33="C",'consumption scenario C'!AG42,'consumption scenario A'!AG42))</f>
        <v>0.11466523408494736</v>
      </c>
      <c r="AH47" s="310">
        <f>IF(parameters!$B$33="B",'consumption scenario B'!AH42,IF(parameters!$B$33="C",'consumption scenario C'!AH42,'consumption scenario A'!AH42))</f>
        <v>0.11690723844664606</v>
      </c>
      <c r="AI47" s="310">
        <f>IF(parameters!$B$33="B",'consumption scenario B'!AI42,IF(parameters!$B$33="C",'consumption scenario C'!AI42,'consumption scenario A'!AI42))</f>
        <v>0.11928743949216483</v>
      </c>
      <c r="AJ47" s="310">
        <f>IF(parameters!$B$33="B",'consumption scenario B'!AJ42,IF(parameters!$B$33="C",'consumption scenario C'!AJ42,'consumption scenario A'!AJ42))</f>
        <v>0.12126463407293758</v>
      </c>
      <c r="AK47" s="310">
        <f>IF(parameters!$B$33="B",'consumption scenario B'!AK42,IF(parameters!$B$33="C",'consumption scenario C'!AK42,'consumption scenario A'!AK42))</f>
        <v>0.12327964375939604</v>
      </c>
      <c r="AL47" s="310">
        <f>IF(parameters!$B$33="B",'consumption scenario B'!AL42,IF(parameters!$B$33="C",'consumption scenario C'!AL42,'consumption scenario A'!AL42))</f>
        <v>0.12546212485811559</v>
      </c>
      <c r="AM47" s="310">
        <f>IF(parameters!$B$33="B",'consumption scenario B'!AM42,IF(parameters!$B$33="C",'consumption scenario C'!AM42,'consumption scenario A'!AM42))</f>
        <v>0.12736088307329846</v>
      </c>
      <c r="AN47" s="310">
        <f>IF(parameters!$B$33="B",'consumption scenario B'!AN42,IF(parameters!$B$33="C",'consumption scenario C'!AN42,'consumption scenario A'!AN42))</f>
        <v>0.12907512505654559</v>
      </c>
      <c r="AO47" s="310">
        <f>IF(parameters!$B$33="B",'consumption scenario B'!AO42,IF(parameters!$B$33="C",'consumption scenario C'!AO42,'consumption scenario A'!AO42))</f>
        <v>0.13114663810251159</v>
      </c>
      <c r="AP47" s="310">
        <f>IF(parameters!$B$33="B",'consumption scenario B'!AP42,IF(parameters!$B$33="C",'consumption scenario C'!AP42,'consumption scenario A'!AP42))</f>
        <v>0.13329003042403997</v>
      </c>
      <c r="AQ47" s="310">
        <f>IF(parameters!$B$33="B",'consumption scenario B'!AQ42,IF(parameters!$B$33="C",'consumption scenario C'!AQ42,'consumption scenario A'!AQ42))</f>
        <v>0.1354719488282588</v>
      </c>
      <c r="AR47" s="310">
        <f>IF(parameters!$B$33="B",'consumption scenario B'!AR42,IF(parameters!$B$33="C",'consumption scenario C'!AR42,'consumption scenario A'!AR42))</f>
        <v>0.13761067720570705</v>
      </c>
      <c r="AS47" s="310">
        <f>IF(parameters!$B$33="B",'consumption scenario B'!AS42,IF(parameters!$B$33="C",'consumption scenario C'!AS42,'consumption scenario A'!AS42))</f>
        <v>0.13959879625980559</v>
      </c>
      <c r="AT47" s="310">
        <f>IF(parameters!$B$33="B",'consumption scenario B'!AT42,IF(parameters!$B$33="C",'consumption scenario C'!AT42,'consumption scenario A'!AT42))</f>
        <v>0.14134206133713487</v>
      </c>
      <c r="AU47" s="310">
        <f>IF(parameters!$B$33="B",'consumption scenario B'!AU42,IF(parameters!$B$33="C",'consumption scenario C'!AU42,'consumption scenario A'!AU42))</f>
        <v>0.14313743379132579</v>
      </c>
    </row>
    <row r="48" spans="1:47" s="230" customFormat="1">
      <c r="A48" s="130" t="s">
        <v>25</v>
      </c>
      <c r="B48" s="310">
        <f>IF(parameters!$B$33="B",'consumption scenario B'!B43,IF(parameters!$B$33="C",'consumption scenario C'!B43,'consumption scenario A'!B43))</f>
        <v>7.5468999999999994E-2</v>
      </c>
      <c r="C48" s="310">
        <f>IF(parameters!$B$33="B",'consumption scenario B'!C43,IF(parameters!$B$33="C",'consumption scenario C'!C43,'consumption scenario A'!C43))</f>
        <v>7.5128E-2</v>
      </c>
      <c r="D48" s="310">
        <f>IF(parameters!$B$33="B",'consumption scenario B'!D43,IF(parameters!$B$33="C",'consumption scenario C'!D43,'consumption scenario A'!D43))</f>
        <v>7.0833999999999994E-2</v>
      </c>
      <c r="E48" s="310">
        <f>IF(parameters!$B$33="B",'consumption scenario B'!E43,IF(parameters!$B$33="C",'consumption scenario C'!E43,'consumption scenario A'!E43))</f>
        <v>7.2075E-2</v>
      </c>
      <c r="F48" s="310">
        <f>IF(parameters!$B$33="B",'consumption scenario B'!F43,IF(parameters!$B$33="C",'consumption scenario C'!F43,'consumption scenario A'!F43))</f>
        <v>7.9757999999999996E-2</v>
      </c>
      <c r="G48" s="310">
        <f>IF(parameters!$B$33="B",'consumption scenario B'!G43,IF(parameters!$B$33="C",'consumption scenario C'!G43,'consumption scenario A'!G43))</f>
        <v>9.0898999999999994E-2</v>
      </c>
      <c r="H48" s="310">
        <f>IF(parameters!$B$33="B",'consumption scenario B'!H43,IF(parameters!$B$33="C",'consumption scenario C'!H43,'consumption scenario A'!H43))</f>
        <v>9.5336000000000004E-2</v>
      </c>
      <c r="I48" s="310">
        <f>IF(parameters!$B$33="B",'consumption scenario B'!I43,IF(parameters!$B$33="C",'consumption scenario C'!I43,'consumption scenario A'!I43))</f>
        <v>9.4113000000000002E-2</v>
      </c>
      <c r="J48" s="310">
        <f>IF(parameters!$B$33="B",'consumption scenario B'!J43,IF(parameters!$B$33="C",'consumption scenario C'!J43,'consumption scenario A'!J43))</f>
        <v>9.2924999999999994E-2</v>
      </c>
      <c r="K48" s="310">
        <f>IF(parameters!$B$33="B",'consumption scenario B'!K43,IF(parameters!$B$33="C",'consumption scenario C'!K43,'consumption scenario A'!K43))</f>
        <v>9.5579999999999998E-2</v>
      </c>
      <c r="L48" s="310">
        <f>IF(parameters!$B$33="B",'consumption scenario B'!L43,IF(parameters!$B$33="C",'consumption scenario C'!L43,'consumption scenario A'!L43))</f>
        <v>9.1346999999999998E-2</v>
      </c>
      <c r="M48" s="310">
        <f>IF(parameters!$B$33="B",'consumption scenario B'!M43,IF(parameters!$B$33="C",'consumption scenario C'!M43,'consumption scenario A'!M43))</f>
        <v>8.7614999999999998E-2</v>
      </c>
      <c r="N48" s="310">
        <f>IF(parameters!$B$33="B",'consumption scenario B'!N43,IF(parameters!$B$33="C",'consumption scenario C'!N43,'consumption scenario A'!N43))</f>
        <v>7.9113691602328631E-2</v>
      </c>
      <c r="O48" s="310">
        <f>IF(parameters!$B$33="B",'consumption scenario B'!O43,IF(parameters!$B$33="C",'consumption scenario C'!O43,'consumption scenario A'!O43))</f>
        <v>7.7954661432515573E-2</v>
      </c>
      <c r="P48" s="310">
        <f>IF(parameters!$B$33="B",'consumption scenario B'!P43,IF(parameters!$B$33="C",'consumption scenario C'!P43,'consumption scenario A'!P43))</f>
        <v>7.6752025458178413E-2</v>
      </c>
      <c r="Q48" s="310">
        <f>IF(parameters!$B$33="B",'consumption scenario B'!Q43,IF(parameters!$B$33="C",'consumption scenario C'!Q43,'consumption scenario A'!Q43))</f>
        <v>7.7126403264409726E-2</v>
      </c>
      <c r="R48" s="310">
        <f>IF(parameters!$B$33="B",'consumption scenario B'!R43,IF(parameters!$B$33="C",'consumption scenario C'!R43,'consumption scenario A'!R43))</f>
        <v>7.7667531049300881E-2</v>
      </c>
      <c r="S48" s="310">
        <f>IF(parameters!$B$33="B",'consumption scenario B'!S43,IF(parameters!$B$33="C",'consumption scenario C'!S43,'consumption scenario A'!S43))</f>
        <v>7.8198788753099435E-2</v>
      </c>
      <c r="T48" s="310">
        <f>IF(parameters!$B$33="B",'consumption scenario B'!T43,IF(parameters!$B$33="C",'consumption scenario C'!T43,'consumption scenario A'!T43))</f>
        <v>7.8785154950282557E-2</v>
      </c>
      <c r="U48" s="310">
        <f>IF(parameters!$B$33="B",'consumption scenario B'!U43,IF(parameters!$B$33="C",'consumption scenario C'!U43,'consumption scenario A'!U43))</f>
        <v>7.9442426141063602E-2</v>
      </c>
      <c r="V48" s="310">
        <f>IF(parameters!$B$33="B",'consumption scenario B'!V43,IF(parameters!$B$33="C",'consumption scenario C'!V43,'consumption scenario A'!V43))</f>
        <v>8.0167909367696119E-2</v>
      </c>
      <c r="W48" s="310">
        <f>IF(parameters!$B$33="B",'consumption scenario B'!W43,IF(parameters!$B$33="C",'consumption scenario C'!W43,'consumption scenario A'!W43))</f>
        <v>8.0897593021131878E-2</v>
      </c>
      <c r="X48" s="310">
        <f>IF(parameters!$B$33="B",'consumption scenario B'!X43,IF(parameters!$B$33="C",'consumption scenario C'!X43,'consumption scenario A'!X43))</f>
        <v>8.1679270870043535E-2</v>
      </c>
      <c r="Y48" s="310">
        <f>IF(parameters!$B$33="B",'consumption scenario B'!Y43,IF(parameters!$B$33="C",'consumption scenario C'!Y43,'consumption scenario A'!Y43))</f>
        <v>8.2424902624204877E-2</v>
      </c>
      <c r="Z48" s="310">
        <f>IF(parameters!$B$33="B",'consumption scenario B'!Z43,IF(parameters!$B$33="C",'consumption scenario C'!Z43,'consumption scenario A'!Z43))</f>
        <v>8.3391899465860855E-2</v>
      </c>
      <c r="AA48" s="310">
        <f>IF(parameters!$B$33="B",'consumption scenario B'!AA43,IF(parameters!$B$33="C",'consumption scenario C'!AA43,'consumption scenario A'!AA43))</f>
        <v>8.4586700660909939E-2</v>
      </c>
      <c r="AB48" s="310">
        <f>IF(parameters!$B$33="B",'consumption scenario B'!AB43,IF(parameters!$B$33="C",'consumption scenario C'!AB43,'consumption scenario A'!AB43))</f>
        <v>8.4860235445374327E-2</v>
      </c>
      <c r="AC48" s="310">
        <f>IF(parameters!$B$33="B",'consumption scenario B'!AC43,IF(parameters!$B$33="C",'consumption scenario C'!AC43,'consumption scenario A'!AC43))</f>
        <v>8.612515460883996E-2</v>
      </c>
      <c r="AD48" s="310">
        <f>IF(parameters!$B$33="B",'consumption scenario B'!AD43,IF(parameters!$B$33="C",'consumption scenario C'!AD43,'consumption scenario A'!AD43))</f>
        <v>8.740133693918567E-2</v>
      </c>
      <c r="AE48" s="310">
        <f>IF(parameters!$B$33="B",'consumption scenario B'!AE43,IF(parameters!$B$33="C",'consumption scenario C'!AE43,'consumption scenario A'!AE43))</f>
        <v>8.8691843127832695E-2</v>
      </c>
      <c r="AF48" s="310">
        <f>IF(parameters!$B$33="B",'consumption scenario B'!AF43,IF(parameters!$B$33="C",'consumption scenario C'!AF43,'consumption scenario A'!AF43))</f>
        <v>9.0064827165391381E-2</v>
      </c>
      <c r="AG48" s="310">
        <f>IF(parameters!$B$33="B",'consumption scenario B'!AG43,IF(parameters!$B$33="C",'consumption scenario C'!AG43,'consumption scenario A'!AG43))</f>
        <v>9.0971180114601757E-2</v>
      </c>
      <c r="AH48" s="310">
        <f>IF(parameters!$B$33="B",'consumption scenario B'!AH43,IF(parameters!$B$33="C",'consumption scenario C'!AH43,'consumption scenario A'!AH43))</f>
        <v>9.2118655483176798E-2</v>
      </c>
      <c r="AI48" s="310">
        <f>IF(parameters!$B$33="B",'consumption scenario B'!AI43,IF(parameters!$B$33="C",'consumption scenario C'!AI43,'consumption scenario A'!AI43))</f>
        <v>9.3266130851752227E-2</v>
      </c>
      <c r="AJ48" s="310">
        <f>IF(parameters!$B$33="B",'consumption scenario B'!AJ43,IF(parameters!$B$33="C",'consumption scenario C'!AJ43,'consumption scenario A'!AJ43))</f>
        <v>9.4413606220327254E-2</v>
      </c>
      <c r="AK48" s="310">
        <f>IF(parameters!$B$33="B",'consumption scenario B'!AK43,IF(parameters!$B$33="C",'consumption scenario C'!AK43,'consumption scenario A'!AK43))</f>
        <v>9.556108158890228E-2</v>
      </c>
      <c r="AL48" s="310">
        <f>IF(parameters!$B$33="B",'consumption scenario B'!AL43,IF(parameters!$B$33="C",'consumption scenario C'!AL43,'consumption scenario A'!AL43))</f>
        <v>9.6708556957477321E-2</v>
      </c>
      <c r="AM48" s="310">
        <f>IF(parameters!$B$33="B",'consumption scenario B'!AM43,IF(parameters!$B$33="C",'consumption scenario C'!AM43,'consumption scenario A'!AM43))</f>
        <v>9.7856032326052347E-2</v>
      </c>
      <c r="AN48" s="310">
        <f>IF(parameters!$B$33="B",'consumption scenario B'!AN43,IF(parameters!$B$33="C",'consumption scenario C'!AN43,'consumption scenario A'!AN43))</f>
        <v>9.9003507694627374E-2</v>
      </c>
      <c r="AO48" s="310">
        <f>IF(parameters!$B$33="B",'consumption scenario B'!AO43,IF(parameters!$B$33="C",'consumption scenario C'!AO43,'consumption scenario A'!AO43))</f>
        <v>0.10015098306320241</v>
      </c>
      <c r="AP48" s="310">
        <f>IF(parameters!$B$33="B",'consumption scenario B'!AP43,IF(parameters!$B$33="C",'consumption scenario C'!AP43,'consumption scenario A'!AP43))</f>
        <v>0.10129845843177783</v>
      </c>
      <c r="AQ48" s="310">
        <f>IF(parameters!$B$33="B",'consumption scenario B'!AQ43,IF(parameters!$B$33="C",'consumption scenario C'!AQ43,'consumption scenario A'!AQ43))</f>
        <v>0.10244593380035287</v>
      </c>
      <c r="AR48" s="310">
        <f>IF(parameters!$B$33="B",'consumption scenario B'!AR43,IF(parameters!$B$33="C",'consumption scenario C'!AR43,'consumption scenario A'!AR43))</f>
        <v>0.1035934091689279</v>
      </c>
      <c r="AS48" s="310">
        <f>IF(parameters!$B$33="B",'consumption scenario B'!AS43,IF(parameters!$B$33="C",'consumption scenario C'!AS43,'consumption scenario A'!AS43))</f>
        <v>0.10474088453750292</v>
      </c>
      <c r="AT48" s="310">
        <f>IF(parameters!$B$33="B",'consumption scenario B'!AT43,IF(parameters!$B$33="C",'consumption scenario C'!AT43,'consumption scenario A'!AT43))</f>
        <v>0.10588835990607796</v>
      </c>
      <c r="AU48" s="310">
        <f>IF(parameters!$B$33="B",'consumption scenario B'!AU43,IF(parameters!$B$33="C",'consumption scenario C'!AU43,'consumption scenario A'!AU43))</f>
        <v>0.10703583527465299</v>
      </c>
    </row>
    <row r="49" spans="1:47" s="230" customFormat="1">
      <c r="A49" s="130" t="s">
        <v>4</v>
      </c>
      <c r="B49" s="310">
        <f>SUM(B31:B39,B45:B48)</f>
        <v>0.34808127551225693</v>
      </c>
      <c r="C49" s="310">
        <f t="shared" ref="C49:AK49" si="5">SUM(C31:C39,C45:C48)</f>
        <v>0.37724798149451244</v>
      </c>
      <c r="D49" s="310">
        <f t="shared" si="5"/>
        <v>0.33157943921676936</v>
      </c>
      <c r="E49" s="310">
        <f t="shared" si="5"/>
        <v>0.33432048627398858</v>
      </c>
      <c r="F49" s="310">
        <f t="shared" si="5"/>
        <v>0.32043435375255591</v>
      </c>
      <c r="G49" s="310">
        <f t="shared" si="5"/>
        <v>0.3723231650456601</v>
      </c>
      <c r="H49" s="310">
        <f>SUM(H31:H39,H45:H48)</f>
        <v>0.36806238447307849</v>
      </c>
      <c r="I49" s="310">
        <f t="shared" si="5"/>
        <v>0.37703041258824843</v>
      </c>
      <c r="J49" s="310">
        <f t="shared" si="5"/>
        <v>0.38573229709887286</v>
      </c>
      <c r="K49" s="310">
        <f>SUM(K31:K39,K45:K48)</f>
        <v>0.38404584937405578</v>
      </c>
      <c r="L49" s="310">
        <f t="shared" si="5"/>
        <v>0.37708648062994737</v>
      </c>
      <c r="M49" s="310">
        <f>SUM(M31:M39,M45:M48)</f>
        <v>0.39456957748344518</v>
      </c>
      <c r="N49" s="310">
        <f t="shared" si="5"/>
        <v>0.38224308157144388</v>
      </c>
      <c r="O49" s="310">
        <f t="shared" si="5"/>
        <v>0.37876825671219883</v>
      </c>
      <c r="P49" s="310">
        <f t="shared" si="5"/>
        <v>0.37032827570128135</v>
      </c>
      <c r="Q49" s="310">
        <f t="shared" si="5"/>
        <v>0.36874608931413677</v>
      </c>
      <c r="R49" s="310">
        <f t="shared" si="5"/>
        <v>0.37011833488085755</v>
      </c>
      <c r="S49" s="310">
        <f t="shared" si="5"/>
        <v>0.37188349678045368</v>
      </c>
      <c r="T49" s="310">
        <f t="shared" si="5"/>
        <v>0.37347153492171192</v>
      </c>
      <c r="U49" s="310">
        <f t="shared" si="5"/>
        <v>0.38421709912944951</v>
      </c>
      <c r="V49" s="310">
        <f t="shared" si="5"/>
        <v>0.38861651754611981</v>
      </c>
      <c r="W49" s="310">
        <f t="shared" si="5"/>
        <v>0.39308666903482209</v>
      </c>
      <c r="X49" s="310">
        <f t="shared" si="5"/>
        <v>0.39190664266903941</v>
      </c>
      <c r="Y49" s="310">
        <f t="shared" si="5"/>
        <v>0.39715198435668808</v>
      </c>
      <c r="Z49" s="310">
        <f t="shared" si="5"/>
        <v>0.3952890283956027</v>
      </c>
      <c r="AA49" s="310">
        <f t="shared" si="5"/>
        <v>0.39914754070510666</v>
      </c>
      <c r="AB49" s="310">
        <f t="shared" si="5"/>
        <v>0.40074240234466141</v>
      </c>
      <c r="AC49" s="310">
        <f t="shared" si="5"/>
        <v>0.40373319574438121</v>
      </c>
      <c r="AD49" s="310">
        <f t="shared" si="5"/>
        <v>0.4079779202164252</v>
      </c>
      <c r="AE49" s="310">
        <f t="shared" si="5"/>
        <v>0.41453976581034158</v>
      </c>
      <c r="AF49" s="310">
        <f t="shared" si="5"/>
        <v>0.4185382144744394</v>
      </c>
      <c r="AG49" s="310">
        <f t="shared" si="5"/>
        <v>0.42179407471007752</v>
      </c>
      <c r="AH49" s="310">
        <f t="shared" si="5"/>
        <v>0.42581278885479412</v>
      </c>
      <c r="AI49" s="310">
        <f t="shared" si="5"/>
        <v>0.43115339096365352</v>
      </c>
      <c r="AJ49" s="310">
        <f t="shared" si="5"/>
        <v>0.43760148360411655</v>
      </c>
      <c r="AK49" s="310">
        <f t="shared" si="5"/>
        <v>0.44154558992100434</v>
      </c>
      <c r="AL49" s="310">
        <f t="shared" ref="AL49:AU49" si="6">SUM(AL31:AL39,AL45:AL48)</f>
        <v>0.44741047062224532</v>
      </c>
      <c r="AM49" s="310">
        <f t="shared" si="6"/>
        <v>0.45088497120566973</v>
      </c>
      <c r="AN49" s="310">
        <f t="shared" si="6"/>
        <v>0.45569446044036077</v>
      </c>
      <c r="AO49" s="310">
        <f t="shared" si="6"/>
        <v>0.46089985763479308</v>
      </c>
      <c r="AP49" s="310">
        <f t="shared" si="6"/>
        <v>0.46955807986227033</v>
      </c>
      <c r="AQ49" s="310">
        <f t="shared" si="6"/>
        <v>0.47443056331260958</v>
      </c>
      <c r="AR49" s="310">
        <f t="shared" si="6"/>
        <v>0.47985479803615383</v>
      </c>
      <c r="AS49" s="310">
        <f t="shared" si="6"/>
        <v>0.48546780660155592</v>
      </c>
      <c r="AT49" s="310">
        <f t="shared" si="6"/>
        <v>0.49038652152065598</v>
      </c>
      <c r="AU49" s="310">
        <f t="shared" si="6"/>
        <v>0.49653050503098983</v>
      </c>
    </row>
    <row r="50" spans="1:47" s="230" customFormat="1">
      <c r="A50" s="165"/>
      <c r="B50" s="310"/>
      <c r="C50" s="310"/>
      <c r="D50" s="310"/>
      <c r="E50" s="310"/>
      <c r="F50" s="310"/>
      <c r="G50" s="310"/>
      <c r="H50" s="310"/>
      <c r="I50" s="310"/>
      <c r="J50" s="310"/>
      <c r="K50" s="310"/>
      <c r="L50" s="310"/>
      <c r="M50" s="283"/>
      <c r="N50" s="310"/>
      <c r="O50" s="310"/>
      <c r="P50" s="310"/>
      <c r="Q50" s="310"/>
      <c r="R50" s="310"/>
      <c r="S50" s="310"/>
      <c r="T50" s="310"/>
      <c r="U50" s="310"/>
      <c r="V50" s="310"/>
      <c r="W50" s="310"/>
      <c r="X50" s="310"/>
      <c r="Y50" s="310"/>
      <c r="Z50" s="310"/>
      <c r="AA50" s="310"/>
      <c r="AB50" s="310"/>
      <c r="AC50" s="310"/>
      <c r="AD50" s="310"/>
      <c r="AE50" s="310"/>
      <c r="AF50" s="310"/>
      <c r="AG50" s="283"/>
      <c r="AH50" s="283"/>
      <c r="AI50" s="283"/>
      <c r="AJ50" s="283"/>
      <c r="AK50" s="283"/>
      <c r="AL50" s="283"/>
      <c r="AM50" s="283"/>
      <c r="AN50" s="283"/>
      <c r="AO50" s="283"/>
      <c r="AP50" s="283"/>
      <c r="AQ50" s="283"/>
      <c r="AR50" s="283"/>
      <c r="AS50" s="283"/>
      <c r="AT50" s="283"/>
      <c r="AU50" s="283"/>
    </row>
    <row r="51" spans="1:47" s="5" customFormat="1" ht="13">
      <c r="A51" s="250" t="s">
        <v>79</v>
      </c>
      <c r="B51" s="38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1"/>
    </row>
    <row r="52" spans="1:47" s="377" customFormat="1" ht="12.9" customHeight="1">
      <c r="A52" s="253" t="s">
        <v>6</v>
      </c>
      <c r="B52" s="253">
        <v>2005</v>
      </c>
      <c r="C52" s="253">
        <v>2006</v>
      </c>
      <c r="D52" s="253">
        <v>2007</v>
      </c>
      <c r="E52" s="253">
        <v>2008</v>
      </c>
      <c r="F52" s="253">
        <v>2009</v>
      </c>
      <c r="G52" s="253">
        <v>2010</v>
      </c>
      <c r="H52" s="253">
        <v>2011</v>
      </c>
      <c r="I52" s="253">
        <v>2012</v>
      </c>
      <c r="J52" s="253">
        <v>2013</v>
      </c>
      <c r="K52" s="253">
        <v>2014</v>
      </c>
      <c r="L52" s="253">
        <v>2015</v>
      </c>
      <c r="M52" s="253">
        <v>2016</v>
      </c>
      <c r="N52" s="253">
        <v>2017</v>
      </c>
      <c r="O52" s="253">
        <v>2018</v>
      </c>
      <c r="P52" s="253">
        <v>2019</v>
      </c>
      <c r="Q52" s="253">
        <v>2020</v>
      </c>
      <c r="R52" s="253">
        <v>2021</v>
      </c>
      <c r="S52" s="253">
        <v>2022</v>
      </c>
      <c r="T52" s="253">
        <v>2023</v>
      </c>
      <c r="U52" s="253">
        <v>2024</v>
      </c>
      <c r="V52" s="253">
        <v>2025</v>
      </c>
      <c r="W52" s="253">
        <v>2026</v>
      </c>
      <c r="X52" s="253">
        <v>2027</v>
      </c>
      <c r="Y52" s="253">
        <v>2028</v>
      </c>
      <c r="Z52" s="253">
        <v>2029</v>
      </c>
      <c r="AA52" s="253">
        <v>2030</v>
      </c>
      <c r="AB52" s="253">
        <v>2031</v>
      </c>
      <c r="AC52" s="253">
        <v>2032</v>
      </c>
      <c r="AD52" s="253">
        <v>2033</v>
      </c>
      <c r="AE52" s="253">
        <v>2034</v>
      </c>
      <c r="AF52" s="253">
        <v>2035</v>
      </c>
      <c r="AG52" s="253">
        <v>2036</v>
      </c>
      <c r="AH52" s="253">
        <v>2037</v>
      </c>
      <c r="AI52" s="253">
        <v>2038</v>
      </c>
      <c r="AJ52" s="253">
        <v>2039</v>
      </c>
      <c r="AK52" s="253">
        <v>2040</v>
      </c>
      <c r="AL52" s="253">
        <v>2041</v>
      </c>
      <c r="AM52" s="253">
        <v>2042</v>
      </c>
      <c r="AN52" s="253">
        <v>2043</v>
      </c>
      <c r="AO52" s="253">
        <v>2044</v>
      </c>
      <c r="AP52" s="253">
        <v>2045</v>
      </c>
      <c r="AQ52" s="253">
        <v>2046</v>
      </c>
      <c r="AR52" s="253">
        <v>2047</v>
      </c>
      <c r="AS52" s="253">
        <v>2048</v>
      </c>
      <c r="AT52" s="253">
        <v>2049</v>
      </c>
      <c r="AU52" s="253">
        <v>2050</v>
      </c>
    </row>
    <row r="53" spans="1:47" s="230" customFormat="1">
      <c r="A53" s="130" t="s">
        <v>22</v>
      </c>
      <c r="B53" s="313">
        <f>IF(parameters!$B$33="B",'consumption scenario B'!B46,IF(parameters!$B$33="C",'consumption scenario C'!B46,'consumption scenario A'!B46))</f>
        <v>3.9767054782674326E-4</v>
      </c>
      <c r="C53" s="310">
        <f>IF(parameters!$B$33="B",'consumption scenario B'!C46,IF(parameters!$B$33="C",'consumption scenario C'!C46,'consumption scenario A'!C46))</f>
        <v>5.9540838986149309E-4</v>
      </c>
      <c r="D53" s="310">
        <f>IF(parameters!$B$33="B",'consumption scenario B'!D46,IF(parameters!$B$33="C",'consumption scenario C'!D46,'consumption scenario A'!D46))</f>
        <v>1.1367442205235116E-3</v>
      </c>
      <c r="E53" s="310">
        <f>IF(parameters!$B$33="B",'consumption scenario B'!E46,IF(parameters!$B$33="C",'consumption scenario C'!E46,'consumption scenario A'!E46))</f>
        <v>8.0940949733611302E-4</v>
      </c>
      <c r="F53" s="310">
        <f>IF(parameters!$B$33="B",'consumption scenario B'!F46,IF(parameters!$B$33="C",'consumption scenario C'!F46,'consumption scenario A'!F46))</f>
        <v>1.5862715079916609E-3</v>
      </c>
      <c r="G53" s="310">
        <f>IF(parameters!$B$33="B",'consumption scenario B'!G46,IF(parameters!$B$33="C",'consumption scenario C'!G46,'consumption scenario A'!G46))</f>
        <v>1.3366787815612693E-3</v>
      </c>
      <c r="H53" s="310">
        <f>IF(parameters!$B$33="B",'consumption scenario B'!H46,IF(parameters!$B$33="C",'consumption scenario C'!H46,'consumption scenario A'!H46))</f>
        <v>1.6277463053046095E-3</v>
      </c>
      <c r="I53" s="310">
        <f>IF(parameters!$B$33="B",'consumption scenario B'!I46,IF(parameters!$B$33="C",'consumption scenario C'!I46,'consumption scenario A'!I46))</f>
        <v>1.4878851053972666E-3</v>
      </c>
      <c r="J53" s="310">
        <f>IF(parameters!$B$33="B",'consumption scenario B'!J46,IF(parameters!$B$33="C",'consumption scenario C'!J46,'consumption scenario A'!J46))</f>
        <v>1.3036064485246847E-3</v>
      </c>
      <c r="K53" s="310">
        <f>IF(parameters!$B$33="B",'consumption scenario B'!K46,IF(parameters!$B$33="C",'consumption scenario C'!K46,'consumption scenario A'!K46))</f>
        <v>2.9069919887460169E-4</v>
      </c>
      <c r="L53" s="310">
        <f>IF(parameters!$B$33="B",'consumption scenario B'!L46,IF(parameters!$B$33="C",'consumption scenario C'!L46,'consumption scenario A'!L46))</f>
        <v>3.1487368542969658E-4</v>
      </c>
      <c r="M53" s="310">
        <f>IF(parameters!$B$33="B",'consumption scenario B'!M46,IF(parameters!$B$33="C",'consumption scenario C'!M46,'consumption scenario A'!M46))</f>
        <v>2.8715198149924557E-4</v>
      </c>
      <c r="N53" s="310">
        <f>IF(parameters!$B$33="B",'consumption scenario B'!N46,IF(parameters!$B$33="C",'consumption scenario C'!N46,'consumption scenario A'!N46))</f>
        <v>1.9733397214914304E-4</v>
      </c>
      <c r="O53" s="310">
        <f>IF(parameters!$B$33="B",'consumption scenario B'!O46,IF(parameters!$B$33="C",'consumption scenario C'!O46,'consumption scenario A'!O46))</f>
        <v>2.1323096106095376E-4</v>
      </c>
      <c r="P53" s="310">
        <f>IF(parameters!$B$33="B",'consumption scenario B'!P46,IF(parameters!$B$33="C",'consumption scenario C'!P46,'consumption scenario A'!P46))</f>
        <v>2.1154312372699357E-4</v>
      </c>
      <c r="Q53" s="310">
        <f>IF(parameters!$B$33="B",'consumption scenario B'!Q46,IF(parameters!$B$33="C",'consumption scenario C'!Q46,'consumption scenario A'!Q46))</f>
        <v>2.1402960000602416E-4</v>
      </c>
      <c r="R53" s="310">
        <f>IF(parameters!$B$33="B",'consumption scenario B'!R46,IF(parameters!$B$33="C",'consumption scenario C'!R46,'consumption scenario A'!R46))</f>
        <v>2.1240613007167739E-4</v>
      </c>
      <c r="S53" s="310">
        <f>IF(parameters!$B$33="B",'consumption scenario B'!S46,IF(parameters!$B$33="C",'consumption scenario C'!S46,'consumption scenario A'!S46))</f>
        <v>2.0942963144093179E-4</v>
      </c>
      <c r="T53" s="310">
        <f>IF(parameters!$B$33="B",'consumption scenario B'!T46,IF(parameters!$B$33="C",'consumption scenario C'!T46,'consumption scenario A'!T46))</f>
        <v>2.0767303479104967E-4</v>
      </c>
      <c r="U53" s="310">
        <f>IF(parameters!$B$33="B",'consumption scenario B'!U46,IF(parameters!$B$33="C",'consumption scenario C'!U46,'consumption scenario A'!U46))</f>
        <v>2.0466137249452248E-4</v>
      </c>
      <c r="V53" s="310">
        <f>IF(parameters!$B$33="B",'consumption scenario B'!V46,IF(parameters!$B$33="C",'consumption scenario C'!V46,'consumption scenario A'!V46))</f>
        <v>2.0117474081682985E-4</v>
      </c>
      <c r="W53" s="310">
        <f>IF(parameters!$B$33="B",'consumption scenario B'!W46,IF(parameters!$B$33="C",'consumption scenario C'!W46,'consumption scenario A'!W46))</f>
        <v>1.9914450560154962E-4</v>
      </c>
      <c r="X53" s="310">
        <f>IF(parameters!$B$33="B",'consumption scenario B'!X46,IF(parameters!$B$33="C",'consumption scenario C'!X46,'consumption scenario A'!X46))</f>
        <v>1.9833780158323681E-4</v>
      </c>
      <c r="Y53" s="310">
        <f>IF(parameters!$B$33="B",'consumption scenario B'!Y46,IF(parameters!$B$33="C",'consumption scenario C'!Y46,'consumption scenario A'!Y46))</f>
        <v>1.9706884944084384E-4</v>
      </c>
      <c r="Z53" s="310">
        <f>IF(parameters!$B$33="B",'consumption scenario B'!Z46,IF(parameters!$B$33="C",'consumption scenario C'!Z46,'consumption scenario A'!Z46))</f>
        <v>1.9707539967565673E-4</v>
      </c>
      <c r="AA53" s="310">
        <f>IF(parameters!$B$33="B",'consumption scenario B'!AA46,IF(parameters!$B$33="C",'consumption scenario C'!AA46,'consumption scenario A'!AA46))</f>
        <v>1.9606280107120104E-4</v>
      </c>
      <c r="AB53" s="310">
        <f>IF(parameters!$B$33="B",'consumption scenario B'!AB46,IF(parameters!$B$33="C",'consumption scenario C'!AB46,'consumption scenario A'!AB46))</f>
        <v>1.951650033481064E-4</v>
      </c>
      <c r="AC53" s="310">
        <f>IF(parameters!$B$33="B",'consumption scenario B'!AC46,IF(parameters!$B$33="C",'consumption scenario C'!AC46,'consumption scenario A'!AC46))</f>
        <v>1.9532309297015408E-4</v>
      </c>
      <c r="AD53" s="310">
        <f>IF(parameters!$B$33="B",'consumption scenario B'!AD46,IF(parameters!$B$33="C",'consumption scenario C'!AD46,'consumption scenario A'!AD46))</f>
        <v>1.9553659675537388E-4</v>
      </c>
      <c r="AE53" s="310">
        <f>IF(parameters!$B$33="B",'consumption scenario B'!AE46,IF(parameters!$B$33="C",'consumption scenario C'!AE46,'consumption scenario A'!AE46))</f>
        <v>1.9647490783842645E-4</v>
      </c>
      <c r="AF53" s="310">
        <f>IF(parameters!$B$33="B",'consumption scenario B'!AF46,IF(parameters!$B$33="C",'consumption scenario C'!AF46,'consumption scenario A'!AF46))</f>
        <v>1.9764044077516033E-4</v>
      </c>
      <c r="AG53" s="310">
        <f>IF(parameters!$B$33="B",'consumption scenario B'!AG46,IF(parameters!$B$33="C",'consumption scenario C'!AG46,'consumption scenario A'!AG46))</f>
        <v>2.0010225148704564E-4</v>
      </c>
      <c r="AH53" s="310">
        <f>IF(parameters!$B$33="B",'consumption scenario B'!AH46,IF(parameters!$B$33="C",'consumption scenario C'!AH46,'consumption scenario A'!AH46))</f>
        <v>2.0266684094117664E-4</v>
      </c>
      <c r="AI53" s="310">
        <f>IF(parameters!$B$33="B",'consumption scenario B'!AI46,IF(parameters!$B$33="C",'consumption scenario C'!AI46,'consumption scenario A'!AI46))</f>
        <v>2.0579551819264867E-4</v>
      </c>
      <c r="AJ53" s="310">
        <f>IF(parameters!$B$33="B",'consumption scenario B'!AJ46,IF(parameters!$B$33="C",'consumption scenario C'!AJ46,'consumption scenario A'!AJ46))</f>
        <v>2.090621096608192E-4</v>
      </c>
      <c r="AK53" s="310">
        <f>IF(parameters!$B$33="B",'consumption scenario B'!AK46,IF(parameters!$B$33="C",'consumption scenario C'!AK46,'consumption scenario A'!AK46))</f>
        <v>2.1245878002033996E-4</v>
      </c>
      <c r="AL53" s="310">
        <f>IF(parameters!$B$33="B",'consumption scenario B'!AL46,IF(parameters!$B$33="C",'consumption scenario C'!AL46,'consumption scenario A'!AL46))</f>
        <v>2.1632748164745376E-4</v>
      </c>
      <c r="AM53" s="310">
        <f>IF(parameters!$B$33="B",'consumption scenario B'!AM46,IF(parameters!$B$33="C",'consumption scenario C'!AM46,'consumption scenario A'!AM46))</f>
        <v>2.2014761337864745E-4</v>
      </c>
      <c r="AN53" s="310">
        <f>IF(parameters!$B$33="B",'consumption scenario B'!AN46,IF(parameters!$B$33="C",'consumption scenario C'!AN46,'consumption scenario A'!AN46))</f>
        <v>2.237805671687122E-4</v>
      </c>
      <c r="AO53" s="310">
        <f>IF(parameters!$B$33="B",'consumption scenario B'!AO46,IF(parameters!$B$33="C",'consumption scenario C'!AO46,'consumption scenario A'!AO46))</f>
        <v>2.2756939764937258E-4</v>
      </c>
      <c r="AP53" s="310">
        <f>IF(parameters!$B$33="B",'consumption scenario B'!AP46,IF(parameters!$B$33="C",'consumption scenario C'!AP46,'consumption scenario A'!AP46))</f>
        <v>2.3151901185385654E-4</v>
      </c>
      <c r="AQ53" s="310">
        <f>IF(parameters!$B$33="B",'consumption scenario B'!AQ46,IF(parameters!$B$33="C",'consumption scenario C'!AQ46,'consumption scenario A'!AQ46))</f>
        <v>2.3586198231530654E-4</v>
      </c>
      <c r="AR53" s="310">
        <f>IF(parameters!$B$33="B",'consumption scenario B'!AR46,IF(parameters!$B$33="C",'consumption scenario C'!AR46,'consumption scenario A'!AR46))</f>
        <v>2.407070027589314E-4</v>
      </c>
      <c r="AS53" s="310">
        <f>IF(parameters!$B$33="B",'consumption scenario B'!AS46,IF(parameters!$B$33="C",'consumption scenario C'!AS46,'consumption scenario A'!AS46))</f>
        <v>2.4491397474833069E-4</v>
      </c>
      <c r="AT53" s="310">
        <f>IF(parameters!$B$33="B",'consumption scenario B'!AT46,IF(parameters!$B$33="C",'consumption scenario C'!AT46,'consumption scenario A'!AT46))</f>
        <v>2.4950297097188582E-4</v>
      </c>
      <c r="AU53" s="310">
        <f>IF(parameters!$B$33="B",'consumption scenario B'!AU46,IF(parameters!$B$33="C",'consumption scenario C'!AU46,'consumption scenario A'!AU46))</f>
        <v>2.5481034418359944E-4</v>
      </c>
    </row>
    <row r="54" spans="1:47" s="230" customFormat="1">
      <c r="A54" s="130" t="s">
        <v>66</v>
      </c>
      <c r="B54" s="310">
        <f>IF(parameters!$B$33="B",'consumption scenario B'!B47,IF(parameters!$B$33="C",'consumption scenario C'!B47,'consumption scenario A'!B47))</f>
        <v>3.23656049637422E-5</v>
      </c>
      <c r="C54" s="310">
        <f>IF(parameters!$B$33="B",'consumption scenario B'!C47,IF(parameters!$B$33="C",'consumption scenario C'!C47,'consumption scenario A'!C47))</f>
        <v>2.7250798186578767E-5</v>
      </c>
      <c r="D54" s="310">
        <f>IF(parameters!$B$33="B",'consumption scenario B'!D47,IF(parameters!$B$33="C",'consumption scenario C'!D47,'consumption scenario A'!D47))</f>
        <v>3.5721331171286214E-5</v>
      </c>
      <c r="E54" s="310">
        <f>IF(parameters!$B$33="B",'consumption scenario B'!E47,IF(parameters!$B$33="C",'consumption scenario C'!E47,'consumption scenario A'!E47))</f>
        <v>5.688453492182183E-5</v>
      </c>
      <c r="F54" s="310">
        <f>IF(parameters!$B$33="B",'consumption scenario B'!F47,IF(parameters!$B$33="C",'consumption scenario C'!F47,'consumption scenario A'!F47))</f>
        <v>4.9605471211446521E-5</v>
      </c>
      <c r="G54" s="310">
        <f>IF(parameters!$B$33="B",'consumption scenario B'!G47,IF(parameters!$B$33="C",'consumption scenario C'!G47,'consumption scenario A'!G47))</f>
        <v>1.4719884392092283E-4</v>
      </c>
      <c r="H54" s="310">
        <f>IF(parameters!$B$33="B",'consumption scenario B'!H47,IF(parameters!$B$33="C",'consumption scenario C'!H47,'consumption scenario A'!H47))</f>
        <v>3.531693874293204E-5</v>
      </c>
      <c r="I54" s="310">
        <f>IF(parameters!$B$33="B",'consumption scenario B'!I47,IF(parameters!$B$33="C",'consumption scenario C'!I47,'consumption scenario A'!I47))</f>
        <v>1.3479747611806121E-4</v>
      </c>
      <c r="J54" s="310">
        <f>IF(parameters!$B$33="B",'consumption scenario B'!J47,IF(parameters!$B$33="C",'consumption scenario C'!J47,'consumption scenario A'!J47))</f>
        <v>4.0492264618688194E-4</v>
      </c>
      <c r="K54" s="310">
        <f>IF(parameters!$B$33="B",'consumption scenario B'!K47,IF(parameters!$B$33="C",'consumption scenario C'!K47,'consumption scenario A'!K47))</f>
        <v>6.3986174756778451E-4</v>
      </c>
      <c r="L54" s="310">
        <f>IF(parameters!$B$33="B",'consumption scenario B'!L47,IF(parameters!$B$33="C",'consumption scenario C'!L47,'consumption scenario A'!L47))</f>
        <v>7.8088177915192861E-4</v>
      </c>
      <c r="M54" s="310">
        <f>IF(parameters!$B$33="B",'consumption scenario B'!M47,IF(parameters!$B$33="C",'consumption scenario C'!M47,'consumption scenario A'!M47))</f>
        <v>2.1994353062118193E-4</v>
      </c>
      <c r="N54" s="310">
        <f>IF(parameters!$B$33="B",'consumption scenario B'!N47,IF(parameters!$B$33="C",'consumption scenario C'!N47,'consumption scenario A'!N47))</f>
        <v>1.8886441894149574E-4</v>
      </c>
      <c r="O54" s="310">
        <f>IF(parameters!$B$33="B",'consumption scenario B'!O47,IF(parameters!$B$33="C",'consumption scenario C'!O47,'consumption scenario A'!O47))</f>
        <v>1.2232542987673587E-3</v>
      </c>
      <c r="P54" s="310">
        <f>IF(parameters!$B$33="B",'consumption scenario B'!P47,IF(parameters!$B$33="C",'consumption scenario C'!P47,'consumption scenario A'!P47))</f>
        <v>1.1756263132094041E-3</v>
      </c>
      <c r="Q54" s="310">
        <f>IF(parameters!$B$33="B",'consumption scenario B'!Q47,IF(parameters!$B$33="C",'consumption scenario C'!Q47,'consumption scenario A'!Q47))</f>
        <v>1.4727054419647436E-3</v>
      </c>
      <c r="R54" s="310">
        <f>IF(parameters!$B$33="B",'consumption scenario B'!R47,IF(parameters!$B$33="C",'consumption scenario C'!R47,'consumption scenario A'!R47))</f>
        <v>1.7955866745454747E-3</v>
      </c>
      <c r="S54" s="310">
        <f>IF(parameters!$B$33="B",'consumption scenario B'!S47,IF(parameters!$B$33="C",'consumption scenario C'!S47,'consumption scenario A'!S47))</f>
        <v>2.0567970204519595E-3</v>
      </c>
      <c r="T54" s="310">
        <f>IF(parameters!$B$33="B",'consumption scenario B'!T47,IF(parameters!$B$33="C",'consumption scenario C'!T47,'consumption scenario A'!T47))</f>
        <v>2.2890333041748452E-3</v>
      </c>
      <c r="U54" s="310">
        <f>IF(parameters!$B$33="B",'consumption scenario B'!U47,IF(parameters!$B$33="C",'consumption scenario C'!U47,'consumption scenario A'!U47))</f>
        <v>3.1792375889875524E-3</v>
      </c>
      <c r="V54" s="310">
        <f>IF(parameters!$B$33="B",'consumption scenario B'!V47,IF(parameters!$B$33="C",'consumption scenario C'!V47,'consumption scenario A'!V47))</f>
        <v>4.2090640054055894E-3</v>
      </c>
      <c r="W54" s="310">
        <f>IF(parameters!$B$33="B",'consumption scenario B'!W47,IF(parameters!$B$33="C",'consumption scenario C'!W47,'consumption scenario A'!W47))</f>
        <v>4.3265941055825171E-3</v>
      </c>
      <c r="X54" s="310">
        <f>IF(parameters!$B$33="B",'consumption scenario B'!X47,IF(parameters!$B$33="C",'consumption scenario C'!X47,'consumption scenario A'!X47))</f>
        <v>4.8636746375276306E-3</v>
      </c>
      <c r="Y54" s="310">
        <f>IF(parameters!$B$33="B",'consumption scenario B'!Y47,IF(parameters!$B$33="C",'consumption scenario C'!Y47,'consumption scenario A'!Y47))</f>
        <v>5.2463058972764881E-3</v>
      </c>
      <c r="Z54" s="310">
        <f>IF(parameters!$B$33="B",'consumption scenario B'!Z47,IF(parameters!$B$33="C",'consumption scenario C'!Z47,'consumption scenario A'!Z47))</f>
        <v>6.4954432536381062E-3</v>
      </c>
      <c r="AA54" s="310">
        <f>IF(parameters!$B$33="B",'consumption scenario B'!AA47,IF(parameters!$B$33="C",'consumption scenario C'!AA47,'consumption scenario A'!AA47))</f>
        <v>7.0293237775806454E-3</v>
      </c>
      <c r="AB54" s="310">
        <f>IF(parameters!$B$33="B",'consumption scenario B'!AB47,IF(parameters!$B$33="C",'consumption scenario C'!AB47,'consumption scenario A'!AB47))</f>
        <v>7.3539754674057326E-3</v>
      </c>
      <c r="AC54" s="310">
        <f>IF(parameters!$B$33="B",'consumption scenario B'!AC47,IF(parameters!$B$33="C",'consumption scenario C'!AC47,'consumption scenario A'!AC47))</f>
        <v>7.4428444889315703E-3</v>
      </c>
      <c r="AD54" s="310">
        <f>IF(parameters!$B$33="B",'consumption scenario B'!AD47,IF(parameters!$B$33="C",'consumption scenario C'!AD47,'consumption scenario A'!AD47))</f>
        <v>7.5921697659389392E-3</v>
      </c>
      <c r="AE54" s="310">
        <f>IF(parameters!$B$33="B",'consumption scenario B'!AE47,IF(parameters!$B$33="C",'consumption scenario C'!AE47,'consumption scenario A'!AE47))</f>
        <v>7.9081882152161002E-3</v>
      </c>
      <c r="AF54" s="310">
        <f>IF(parameters!$B$33="B",'consumption scenario B'!AF47,IF(parameters!$B$33="C",'consumption scenario C'!AF47,'consumption scenario A'!AF47))</f>
        <v>7.9767789277589689E-3</v>
      </c>
      <c r="AG54" s="310">
        <f>IF(parameters!$B$33="B",'consumption scenario B'!AG47,IF(parameters!$B$33="C",'consumption scenario C'!AG47,'consumption scenario A'!AG47))</f>
        <v>8.2920123648783303E-3</v>
      </c>
      <c r="AH54" s="310">
        <f>IF(parameters!$B$33="B",'consumption scenario B'!AH47,IF(parameters!$B$33="C",'consumption scenario C'!AH47,'consumption scenario A'!AH47))</f>
        <v>8.5166886300963134E-3</v>
      </c>
      <c r="AI54" s="310">
        <f>IF(parameters!$B$33="B",'consumption scenario B'!AI47,IF(parameters!$B$33="C",'consumption scenario C'!AI47,'consumption scenario A'!AI47))</f>
        <v>8.6964944481255912E-3</v>
      </c>
      <c r="AJ54" s="310">
        <f>IF(parameters!$B$33="B",'consumption scenario B'!AJ47,IF(parameters!$B$33="C",'consumption scenario C'!AJ47,'consumption scenario A'!AJ47))</f>
        <v>8.6940172944365793E-3</v>
      </c>
      <c r="AK54" s="310">
        <f>IF(parameters!$B$33="B",'consumption scenario B'!AK47,IF(parameters!$B$33="C",'consumption scenario C'!AK47,'consumption scenario A'!AK47))</f>
        <v>8.6916578175066407E-3</v>
      </c>
      <c r="AL54" s="310">
        <f>IF(parameters!$B$33="B",'consumption scenario B'!AL47,IF(parameters!$B$33="C",'consumption scenario C'!AL47,'consumption scenario A'!AL47))</f>
        <v>8.4773935093115458E-3</v>
      </c>
      <c r="AM54" s="310">
        <f>IF(parameters!$B$33="B",'consumption scenario B'!AM47,IF(parameters!$B$33="C",'consumption scenario C'!AM47,'consumption scenario A'!AM47))</f>
        <v>8.2528965578453593E-3</v>
      </c>
      <c r="AN54" s="310">
        <f>IF(parameters!$B$33="B",'consumption scenario B'!AN47,IF(parameters!$B$33="C",'consumption scenario C'!AN47,'consumption scenario A'!AN47))</f>
        <v>7.823419317206334E-3</v>
      </c>
      <c r="AO54" s="310">
        <f>IF(parameters!$B$33="B",'consumption scenario B'!AO47,IF(parameters!$B$33="C",'consumption scenario C'!AO47,'consumption scenario A'!AO47))</f>
        <v>7.4304733161249109E-3</v>
      </c>
      <c r="AP54" s="310">
        <f>IF(parameters!$B$33="B",'consumption scenario B'!AP47,IF(parameters!$B$33="C",'consumption scenario C'!AP47,'consumption scenario A'!AP47))</f>
        <v>7.134578022371771E-3</v>
      </c>
      <c r="AQ54" s="310">
        <f>IF(parameters!$B$33="B",'consumption scenario B'!AQ47,IF(parameters!$B$33="C",'consumption scenario C'!AQ47,'consumption scenario A'!AQ47))</f>
        <v>6.3251886068438935E-3</v>
      </c>
      <c r="AR54" s="310">
        <f>IF(parameters!$B$33="B",'consumption scenario B'!AR47,IF(parameters!$B$33="C",'consumption scenario C'!AR47,'consumption scenario A'!AR47))</f>
        <v>5.1548115169978165E-3</v>
      </c>
      <c r="AS54" s="310">
        <f>IF(parameters!$B$33="B",'consumption scenario B'!AS47,IF(parameters!$B$33="C",'consumption scenario C'!AS47,'consumption scenario A'!AS47))</f>
        <v>4.4501875188791007E-3</v>
      </c>
      <c r="AT54" s="310">
        <f>IF(parameters!$B$33="B",'consumption scenario B'!AT47,IF(parameters!$B$33="C",'consumption scenario C'!AT47,'consumption scenario A'!AT47))</f>
        <v>4.3587904446692558E-3</v>
      </c>
      <c r="AU54" s="310">
        <f>IF(parameters!$B$33="B",'consumption scenario B'!AU47,IF(parameters!$B$33="C",'consumption scenario C'!AU47,'consumption scenario A'!AU47))</f>
        <v>4.290704680028368E-3</v>
      </c>
    </row>
    <row r="55" spans="1:47" s="230" customFormat="1">
      <c r="A55" s="130" t="s">
        <v>28</v>
      </c>
      <c r="B55" s="310">
        <f>IF(parameters!$B$33="B",'consumption scenario B'!B48,IF(parameters!$B$33="C",'consumption scenario C'!B48,'consumption scenario A'!B48))</f>
        <v>0.33172400000000002</v>
      </c>
      <c r="C55" s="310">
        <f>IF(parameters!$B$33="B",'consumption scenario B'!C48,IF(parameters!$B$33="C",'consumption scenario C'!C48,'consumption scenario A'!C48))</f>
        <v>0.33359499999999997</v>
      </c>
      <c r="D55" s="310">
        <f>IF(parameters!$B$33="B",'consumption scenario B'!D48,IF(parameters!$B$33="C",'consumption scenario C'!D48,'consumption scenario A'!D48))</f>
        <v>0.33381499999999997</v>
      </c>
      <c r="E55" s="310">
        <f>IF(parameters!$B$33="B",'consumption scenario B'!E48,IF(parameters!$B$33="C",'consumption scenario C'!E48,'consumption scenario A'!E48))</f>
        <v>0.32218200000000002</v>
      </c>
      <c r="F55" s="310">
        <f>IF(parameters!$B$33="B",'consumption scenario B'!F48,IF(parameters!$B$33="C",'consumption scenario C'!F48,'consumption scenario A'!F48))</f>
        <v>0.32433600000000001</v>
      </c>
      <c r="G55" s="310">
        <f>IF(parameters!$B$33="B",'consumption scenario B'!G48,IF(parameters!$B$33="C",'consumption scenario C'!G48,'consumption scenario A'!G48))</f>
        <v>0.317909</v>
      </c>
      <c r="H55" s="310">
        <f>IF(parameters!$B$33="B",'consumption scenario B'!H48,IF(parameters!$B$33="C",'consumption scenario C'!H48,'consumption scenario A'!H48))</f>
        <v>0.31439299999999998</v>
      </c>
      <c r="I55" s="310">
        <f>IF(parameters!$B$33="B",'consumption scenario B'!I48,IF(parameters!$B$33="C",'consumption scenario C'!I48,'consumption scenario A'!I48))</f>
        <v>0.31125399999999998</v>
      </c>
      <c r="J55" s="310">
        <f>IF(parameters!$B$33="B",'consumption scenario B'!J48,IF(parameters!$B$33="C",'consumption scenario C'!J48,'consumption scenario A'!J48))</f>
        <v>0.32394099999999998</v>
      </c>
      <c r="K55" s="310">
        <f>IF(parameters!$B$33="B",'consumption scenario B'!K48,IF(parameters!$B$33="C",'consumption scenario C'!K48,'consumption scenario A'!K48))</f>
        <v>0.32282100000000002</v>
      </c>
      <c r="L55" s="310">
        <f>IF(parameters!$B$33="B",'consumption scenario B'!L48,IF(parameters!$B$33="C",'consumption scenario C'!L48,'consumption scenario A'!L48))</f>
        <v>0.32627099999999998</v>
      </c>
      <c r="M55" s="310">
        <f>IF(parameters!$B$33="B",'consumption scenario B'!M48,IF(parameters!$B$33="C",'consumption scenario C'!M48,'consumption scenario A'!M48))</f>
        <v>0.31780999999999998</v>
      </c>
      <c r="N55" s="310">
        <f>IF(parameters!$B$33="B",'consumption scenario B'!N48,IF(parameters!$B$33="C",'consumption scenario C'!N48,'consumption scenario A'!N48))</f>
        <v>0.30665513211455053</v>
      </c>
      <c r="O55" s="310">
        <f>IF(parameters!$B$33="B",'consumption scenario B'!O48,IF(parameters!$B$33="C",'consumption scenario C'!O48,'consumption scenario A'!O48))</f>
        <v>0.30715811994553244</v>
      </c>
      <c r="P55" s="310">
        <f>IF(parameters!$B$33="B",'consumption scenario B'!P48,IF(parameters!$B$33="C",'consumption scenario C'!P48,'consumption scenario A'!P48))</f>
        <v>0.30676729106830447</v>
      </c>
      <c r="Q55" s="310">
        <f>IF(parameters!$B$33="B",'consumption scenario B'!Q48,IF(parameters!$B$33="C",'consumption scenario C'!Q48,'consumption scenario A'!Q48))</f>
        <v>0.30429415397526366</v>
      </c>
      <c r="R55" s="310">
        <f>IF(parameters!$B$33="B",'consumption scenario B'!R48,IF(parameters!$B$33="C",'consumption scenario C'!R48,'consumption scenario A'!R48))</f>
        <v>0.29972751256708213</v>
      </c>
      <c r="S55" s="310">
        <f>IF(parameters!$B$33="B",'consumption scenario B'!S48,IF(parameters!$B$33="C",'consumption scenario C'!S48,'consumption scenario A'!S48))</f>
        <v>0.29462718153359002</v>
      </c>
      <c r="T55" s="310">
        <f>IF(parameters!$B$33="B",'consumption scenario B'!T48,IF(parameters!$B$33="C",'consumption scenario C'!T48,'consumption scenario A'!T48))</f>
        <v>0.28972544870941425</v>
      </c>
      <c r="U55" s="310">
        <f>IF(parameters!$B$33="B",'consumption scenario B'!U48,IF(parameters!$B$33="C",'consumption scenario C'!U48,'consumption scenario A'!U48))</f>
        <v>0.28555396353500201</v>
      </c>
      <c r="V55" s="310">
        <f>IF(parameters!$B$33="B",'consumption scenario B'!V48,IF(parameters!$B$33="C",'consumption scenario C'!V48,'consumption scenario A'!V48))</f>
        <v>0.27960646769334674</v>
      </c>
      <c r="W55" s="310">
        <f>IF(parameters!$B$33="B",'consumption scenario B'!W48,IF(parameters!$B$33="C",'consumption scenario C'!W48,'consumption scenario A'!W48))</f>
        <v>0.27438168042562372</v>
      </c>
      <c r="X55" s="310">
        <f>IF(parameters!$B$33="B",'consumption scenario B'!X48,IF(parameters!$B$33="C",'consumption scenario C'!X48,'consumption scenario A'!X48))</f>
        <v>0.2693585272690997</v>
      </c>
      <c r="Y55" s="310">
        <f>IF(parameters!$B$33="B",'consumption scenario B'!Y48,IF(parameters!$B$33="C",'consumption scenario C'!Y48,'consumption scenario A'!Y48))</f>
        <v>0.26460322261668573</v>
      </c>
      <c r="Z55" s="310">
        <f>IF(parameters!$B$33="B",'consumption scenario B'!Z48,IF(parameters!$B$33="C",'consumption scenario C'!Z48,'consumption scenario A'!Z48))</f>
        <v>0.25977970502332948</v>
      </c>
      <c r="AA55" s="310">
        <f>IF(parameters!$B$33="B",'consumption scenario B'!AA48,IF(parameters!$B$33="C",'consumption scenario C'!AA48,'consumption scenario A'!AA48))</f>
        <v>0.25542307412996179</v>
      </c>
      <c r="AB55" s="310">
        <f>IF(parameters!$B$33="B",'consumption scenario B'!AB48,IF(parameters!$B$33="C",'consumption scenario C'!AB48,'consumption scenario A'!AB48))</f>
        <v>0.2512012317130552</v>
      </c>
      <c r="AC55" s="310">
        <f>IF(parameters!$B$33="B",'consumption scenario B'!AC48,IF(parameters!$B$33="C",'consumption scenario C'!AC48,'consumption scenario A'!AC48))</f>
        <v>0.24766161793214542</v>
      </c>
      <c r="AD55" s="310">
        <f>IF(parameters!$B$33="B",'consumption scenario B'!AD48,IF(parameters!$B$33="C",'consumption scenario C'!AD48,'consumption scenario A'!AD48))</f>
        <v>0.24422430234918172</v>
      </c>
      <c r="AE55" s="310">
        <f>IF(parameters!$B$33="B",'consumption scenario B'!AE48,IF(parameters!$B$33="C",'consumption scenario C'!AE48,'consumption scenario A'!AE48))</f>
        <v>0.24098725201878324</v>
      </c>
      <c r="AF55" s="310">
        <f>IF(parameters!$B$33="B",'consumption scenario B'!AF48,IF(parameters!$B$33="C",'consumption scenario C'!AF48,'consumption scenario A'!AF48))</f>
        <v>0.23823350270728708</v>
      </c>
      <c r="AG55" s="310">
        <f>IF(parameters!$B$33="B",'consumption scenario B'!AG48,IF(parameters!$B$33="C",'consumption scenario C'!AG48,'consumption scenario A'!AG48))</f>
        <v>0.23594727793548814</v>
      </c>
      <c r="AH55" s="310">
        <f>IF(parameters!$B$33="B",'consumption scenario B'!AH48,IF(parameters!$B$33="C",'consumption scenario C'!AH48,'consumption scenario A'!AH48))</f>
        <v>0.23421518579375997</v>
      </c>
      <c r="AI55" s="310">
        <f>IF(parameters!$B$33="B",'consumption scenario B'!AI48,IF(parameters!$B$33="C",'consumption scenario C'!AI48,'consumption scenario A'!AI48))</f>
        <v>0.23288205147961816</v>
      </c>
      <c r="AJ55" s="310">
        <f>IF(parameters!$B$33="B",'consumption scenario B'!AJ48,IF(parameters!$B$33="C",'consumption scenario C'!AJ48,'consumption scenario A'!AJ48))</f>
        <v>0.23202922320907299</v>
      </c>
      <c r="AK55" s="310">
        <f>IF(parameters!$B$33="B",'consumption scenario B'!AK48,IF(parameters!$B$33="C",'consumption scenario C'!AK48,'consumption scenario A'!AK48))</f>
        <v>0.23139196367828113</v>
      </c>
      <c r="AL55" s="310">
        <f>IF(parameters!$B$33="B",'consumption scenario B'!AL48,IF(parameters!$B$33="C",'consumption scenario C'!AL48,'consumption scenario A'!AL48))</f>
        <v>0.23117245683828405</v>
      </c>
      <c r="AM55" s="310">
        <f>IF(parameters!$B$33="B",'consumption scenario B'!AM48,IF(parameters!$B$33="C",'consumption scenario C'!AM48,'consumption scenario A'!AM48))</f>
        <v>0.23099783676964694</v>
      </c>
      <c r="AN55" s="310">
        <f>IF(parameters!$B$33="B",'consumption scenario B'!AN48,IF(parameters!$B$33="C",'consumption scenario C'!AN48,'consumption scenario A'!AN48))</f>
        <v>0.23105776032058295</v>
      </c>
      <c r="AO55" s="310">
        <f>IF(parameters!$B$33="B",'consumption scenario B'!AO48,IF(parameters!$B$33="C",'consumption scenario C'!AO48,'consumption scenario A'!AO48))</f>
        <v>0.23122922046501307</v>
      </c>
      <c r="AP55" s="310">
        <f>IF(parameters!$B$33="B",'consumption scenario B'!AP48,IF(parameters!$B$33="C",'consumption scenario C'!AP48,'consumption scenario A'!AP48))</f>
        <v>0.2313738202262296</v>
      </c>
      <c r="AQ55" s="310">
        <f>IF(parameters!$B$33="B",'consumption scenario B'!AQ48,IF(parameters!$B$33="C",'consumption scenario C'!AQ48,'consumption scenario A'!AQ48))</f>
        <v>0.23186664840007254</v>
      </c>
      <c r="AR55" s="310">
        <f>IF(parameters!$B$33="B",'consumption scenario B'!AR48,IF(parameters!$B$33="C",'consumption scenario C'!AR48,'consumption scenario A'!AR48))</f>
        <v>0.23259532526529841</v>
      </c>
      <c r="AS55" s="310">
        <f>IF(parameters!$B$33="B",'consumption scenario B'!AS48,IF(parameters!$B$33="C",'consumption scenario C'!AS48,'consumption scenario A'!AS48))</f>
        <v>0.23305698378543147</v>
      </c>
      <c r="AT55" s="310">
        <f>IF(parameters!$B$33="B",'consumption scenario B'!AT48,IF(parameters!$B$33="C",'consumption scenario C'!AT48,'consumption scenario A'!AT48))</f>
        <v>0.23314105088615791</v>
      </c>
      <c r="AU55" s="310">
        <f>IF(parameters!$B$33="B",'consumption scenario B'!AU48,IF(parameters!$B$33="C",'consumption scenario C'!AU48,'consumption scenario A'!AU48))</f>
        <v>0.23316246457462428</v>
      </c>
    </row>
    <row r="56" spans="1:47" s="230" customFormat="1">
      <c r="A56" s="130" t="s">
        <v>37</v>
      </c>
      <c r="B56" s="310">
        <f>IF(parameters!$B$33="B",'consumption scenario B'!B49,IF(parameters!$B$33="C",'consumption scenario C'!B49,'consumption scenario A'!B49))</f>
        <v>0.104784</v>
      </c>
      <c r="C56" s="310">
        <f>IF(parameters!$B$33="B",'consumption scenario B'!C49,IF(parameters!$B$33="C",'consumption scenario C'!C49,'consumption scenario A'!C49))</f>
        <v>0.105393</v>
      </c>
      <c r="D56" s="310">
        <f>IF(parameters!$B$33="B",'consumption scenario B'!D49,IF(parameters!$B$33="C",'consumption scenario C'!D49,'consumption scenario A'!D49))</f>
        <v>0.115957</v>
      </c>
      <c r="E56" s="310">
        <f>IF(parameters!$B$33="B",'consumption scenario B'!E49,IF(parameters!$B$33="C",'consumption scenario C'!E49,'consumption scenario A'!E49))</f>
        <v>0.114024</v>
      </c>
      <c r="F56" s="310">
        <f>IF(parameters!$B$33="B",'consumption scenario B'!F49,IF(parameters!$B$33="C",'consumption scenario C'!F49,'consumption scenario A'!F49))</f>
        <v>0.10371900000000001</v>
      </c>
      <c r="G56" s="310">
        <f>IF(parameters!$B$33="B",'consumption scenario B'!G49,IF(parameters!$B$33="C",'consumption scenario C'!G49,'consumption scenario A'!G49))</f>
        <v>0.109197</v>
      </c>
      <c r="H56" s="310">
        <f>IF(parameters!$B$33="B",'consumption scenario B'!H49,IF(parameters!$B$33="C",'consumption scenario C'!H49,'consumption scenario A'!H49))</f>
        <v>9.2909000000000005E-2</v>
      </c>
      <c r="I56" s="310">
        <f>IF(parameters!$B$33="B",'consumption scenario B'!I49,IF(parameters!$B$33="C",'consumption scenario C'!I49,'consumption scenario A'!I49))</f>
        <v>0.109749</v>
      </c>
      <c r="J56" s="310">
        <f>IF(parameters!$B$33="B",'consumption scenario B'!J49,IF(parameters!$B$33="C",'consumption scenario C'!J49,'consumption scenario A'!J49))</f>
        <v>8.9675000000000005E-2</v>
      </c>
      <c r="K56" s="310">
        <f>IF(parameters!$B$33="B",'consumption scenario B'!K49,IF(parameters!$B$33="C",'consumption scenario C'!K49,'consumption scenario A'!K49))</f>
        <v>9.5005000000000006E-2</v>
      </c>
      <c r="L56" s="310">
        <f>IF(parameters!$B$33="B",'consumption scenario B'!L49,IF(parameters!$B$33="C",'consumption scenario C'!L49,'consumption scenario A'!L49))</f>
        <v>0.106268</v>
      </c>
      <c r="M56" s="310">
        <f>IF(parameters!$B$33="B",'consumption scenario B'!M49,IF(parameters!$B$33="C",'consumption scenario C'!M49,'consumption scenario A'!M49))</f>
        <v>0.11816</v>
      </c>
      <c r="N56" s="310">
        <f>IF(parameters!$B$33="B",'consumption scenario B'!N49,IF(parameters!$B$33="C",'consumption scenario C'!N49,'consumption scenario A'!N49))</f>
        <v>9.9726189097694637E-2</v>
      </c>
      <c r="O56" s="310">
        <f>IF(parameters!$B$33="B",'consumption scenario B'!O49,IF(parameters!$B$33="C",'consumption scenario C'!O49,'consumption scenario A'!O49))</f>
        <v>0.10125785874827478</v>
      </c>
      <c r="P56" s="310">
        <f>IF(parameters!$B$33="B",'consumption scenario B'!P49,IF(parameters!$B$33="C",'consumption scenario C'!P49,'consumption scenario A'!P49))</f>
        <v>0.10337658549594238</v>
      </c>
      <c r="Q56" s="310">
        <f>IF(parameters!$B$33="B",'consumption scenario B'!Q49,IF(parameters!$B$33="C",'consumption scenario C'!Q49,'consumption scenario A'!Q49))</f>
        <v>0.10481966340285158</v>
      </c>
      <c r="R56" s="310">
        <f>IF(parameters!$B$33="B",'consumption scenario B'!R49,IF(parameters!$B$33="C",'consumption scenario C'!R49,'consumption scenario A'!R49))</f>
        <v>0.10573038539174713</v>
      </c>
      <c r="S56" s="310">
        <f>IF(parameters!$B$33="B",'consumption scenario B'!S49,IF(parameters!$B$33="C",'consumption scenario C'!S49,'consumption scenario A'!S49))</f>
        <v>0.10656430973700028</v>
      </c>
      <c r="T56" s="310">
        <f>IF(parameters!$B$33="B",'consumption scenario B'!T49,IF(parameters!$B$33="C",'consumption scenario C'!T49,'consumption scenario A'!T49))</f>
        <v>0.10722258566561468</v>
      </c>
      <c r="U56" s="310">
        <f>IF(parameters!$B$33="B",'consumption scenario B'!U49,IF(parameters!$B$33="C",'consumption scenario C'!U49,'consumption scenario A'!U49))</f>
        <v>0.10810606047911359</v>
      </c>
      <c r="V56" s="310">
        <f>IF(parameters!$B$33="B",'consumption scenario B'!V49,IF(parameters!$B$33="C",'consumption scenario C'!V49,'consumption scenario A'!V49))</f>
        <v>0.10931312988364453</v>
      </c>
      <c r="W56" s="310">
        <f>IF(parameters!$B$33="B",'consumption scenario B'!W49,IF(parameters!$B$33="C",'consumption scenario C'!W49,'consumption scenario A'!W49))</f>
        <v>0.11052437979055917</v>
      </c>
      <c r="X56" s="310">
        <f>IF(parameters!$B$33="B",'consumption scenario B'!X49,IF(parameters!$B$33="C",'consumption scenario C'!X49,'consumption scenario A'!X49))</f>
        <v>0.11167716051224516</v>
      </c>
      <c r="Y56" s="310">
        <f>IF(parameters!$B$33="B",'consumption scenario B'!Y49,IF(parameters!$B$33="C",'consumption scenario C'!Y49,'consumption scenario A'!Y49))</f>
        <v>0.11321763194433435</v>
      </c>
      <c r="Z56" s="310">
        <f>IF(parameters!$B$33="B",'consumption scenario B'!Z49,IF(parameters!$B$33="C",'consumption scenario C'!Z49,'consumption scenario A'!Z49))</f>
        <v>0.11444038654139431</v>
      </c>
      <c r="AA56" s="310">
        <f>IF(parameters!$B$33="B",'consumption scenario B'!AA49,IF(parameters!$B$33="C",'consumption scenario C'!AA49,'consumption scenario A'!AA49))</f>
        <v>0.1157124690809738</v>
      </c>
      <c r="AB56" s="310">
        <f>IF(parameters!$B$33="B",'consumption scenario B'!AB49,IF(parameters!$B$33="C",'consumption scenario C'!AB49,'consumption scenario A'!AB49))</f>
        <v>0.11702653515537022</v>
      </c>
      <c r="AC56" s="310">
        <f>IF(parameters!$B$33="B",'consumption scenario B'!AC49,IF(parameters!$B$33="C",'consumption scenario C'!AC49,'consumption scenario A'!AC49))</f>
        <v>0.11827045171102162</v>
      </c>
      <c r="AD56" s="310">
        <f>IF(parameters!$B$33="B",'consumption scenario B'!AD49,IF(parameters!$B$33="C",'consumption scenario C'!AD49,'consumption scenario A'!AD49))</f>
        <v>0.11948853472841098</v>
      </c>
      <c r="AE56" s="310">
        <f>IF(parameters!$B$33="B",'consumption scenario B'!AE49,IF(parameters!$B$33="C",'consumption scenario C'!AE49,'consumption scenario A'!AE49))</f>
        <v>0.12077762737008697</v>
      </c>
      <c r="AF56" s="310">
        <f>IF(parameters!$B$33="B",'consumption scenario B'!AF49,IF(parameters!$B$33="C",'consumption scenario C'!AF49,'consumption scenario A'!AF49))</f>
        <v>0.12204741169036844</v>
      </c>
      <c r="AG56" s="310">
        <f>IF(parameters!$B$33="B",'consumption scenario B'!AG49,IF(parameters!$B$33="C",'consumption scenario C'!AG49,'consumption scenario A'!AG49))</f>
        <v>0.12331810446246433</v>
      </c>
      <c r="AH56" s="310">
        <f>IF(parameters!$B$33="B",'consumption scenario B'!AH49,IF(parameters!$B$33="C",'consumption scenario C'!AH49,'consumption scenario A'!AH49))</f>
        <v>0.12459878570110666</v>
      </c>
      <c r="AI56" s="310">
        <f>IF(parameters!$B$33="B",'consumption scenario B'!AI49,IF(parameters!$B$33="C",'consumption scenario C'!AI49,'consumption scenario A'!AI49))</f>
        <v>0.1258997962975778</v>
      </c>
      <c r="AJ56" s="310">
        <f>IF(parameters!$B$33="B",'consumption scenario B'!AJ49,IF(parameters!$B$33="C",'consumption scenario C'!AJ49,'consumption scenario A'!AJ49))</f>
        <v>0.12718937186492094</v>
      </c>
      <c r="AK56" s="310">
        <f>IF(parameters!$B$33="B",'consumption scenario B'!AK49,IF(parameters!$B$33="C",'consumption scenario C'!AK49,'consumption scenario A'!AK49))</f>
        <v>0.12853050183560941</v>
      </c>
      <c r="AL56" s="310">
        <f>IF(parameters!$B$33="B",'consumption scenario B'!AL49,IF(parameters!$B$33="C",'consumption scenario C'!AL49,'consumption scenario A'!AL49))</f>
        <v>0.12987152674060531</v>
      </c>
      <c r="AM56" s="310">
        <f>IF(parameters!$B$33="B",'consumption scenario B'!AM49,IF(parameters!$B$33="C",'consumption scenario C'!AM49,'consumption scenario A'!AM49))</f>
        <v>0.13110901654105531</v>
      </c>
      <c r="AN56" s="310">
        <f>IF(parameters!$B$33="B",'consumption scenario B'!AN49,IF(parameters!$B$33="C",'consumption scenario C'!AN49,'consumption scenario A'!AN49))</f>
        <v>0.13238547047102234</v>
      </c>
      <c r="AO56" s="310">
        <f>IF(parameters!$B$33="B",'consumption scenario B'!AO49,IF(parameters!$B$33="C",'consumption scenario C'!AO49,'consumption scenario A'!AO49))</f>
        <v>0.13362607130925952</v>
      </c>
      <c r="AP56" s="310">
        <f>IF(parameters!$B$33="B",'consumption scenario B'!AP49,IF(parameters!$B$33="C",'consumption scenario C'!AP49,'consumption scenario A'!AP49))</f>
        <v>0.1349327451811512</v>
      </c>
      <c r="AQ56" s="310">
        <f>IF(parameters!$B$33="B",'consumption scenario B'!AQ49,IF(parameters!$B$33="C",'consumption scenario C'!AQ49,'consumption scenario A'!AQ49))</f>
        <v>0.13621011035623118</v>
      </c>
      <c r="AR56" s="310">
        <f>IF(parameters!$B$33="B",'consumption scenario B'!AR49,IF(parameters!$B$33="C",'consumption scenario C'!AR49,'consumption scenario A'!AR49))</f>
        <v>0.13748469413578523</v>
      </c>
      <c r="AS56" s="310">
        <f>IF(parameters!$B$33="B",'consumption scenario B'!AS49,IF(parameters!$B$33="C",'consumption scenario C'!AS49,'consumption scenario A'!AS49))</f>
        <v>0.13868827202629036</v>
      </c>
      <c r="AT56" s="310">
        <f>IF(parameters!$B$33="B",'consumption scenario B'!AT49,IF(parameters!$B$33="C",'consumption scenario C'!AT49,'consumption scenario A'!AT49))</f>
        <v>0.13983344448507523</v>
      </c>
      <c r="AU56" s="310">
        <f>IF(parameters!$B$33="B",'consumption scenario B'!AU49,IF(parameters!$B$33="C",'consumption scenario C'!AU49,'consumption scenario A'!AU49))</f>
        <v>0.14091472413499925</v>
      </c>
    </row>
    <row r="57" spans="1:47" s="230" customFormat="1">
      <c r="A57" s="130" t="s">
        <v>38</v>
      </c>
      <c r="B57" s="310">
        <f>IF(parameters!$B$33="B",'consumption scenario B'!B50,IF(parameters!$B$33="C",'consumption scenario C'!B50,'consumption scenario A'!B50))</f>
        <v>0.113703</v>
      </c>
      <c r="C57" s="310">
        <f>IF(parameters!$B$33="B",'consumption scenario B'!C50,IF(parameters!$B$33="C",'consumption scenario C'!C50,'consumption scenario A'!C50))</f>
        <v>0.13883400000000001</v>
      </c>
      <c r="D57" s="310">
        <f>IF(parameters!$B$33="B",'consumption scenario B'!D50,IF(parameters!$B$33="C",'consumption scenario C'!D50,'consumption scenario A'!D50))</f>
        <v>0.14222000000000001</v>
      </c>
      <c r="E57" s="310">
        <f>IF(parameters!$B$33="B",'consumption scenario B'!E50,IF(parameters!$B$33="C",'consumption scenario C'!E50,'consumption scenario A'!E50))</f>
        <v>0.130879</v>
      </c>
      <c r="F57" s="310">
        <f>IF(parameters!$B$33="B",'consumption scenario B'!F50,IF(parameters!$B$33="C",'consumption scenario C'!F50,'consumption scenario A'!F50))</f>
        <v>0.114241</v>
      </c>
      <c r="G57" s="310">
        <f>IF(parameters!$B$33="B",'consumption scenario B'!G50,IF(parameters!$B$33="C",'consumption scenario C'!G50,'consumption scenario A'!G50))</f>
        <v>0.11047999999999999</v>
      </c>
      <c r="H57" s="310">
        <f>IF(parameters!$B$33="B",'consumption scenario B'!H50,IF(parameters!$B$33="C",'consumption scenario C'!H50,'consumption scenario A'!H50))</f>
        <v>0.120783</v>
      </c>
      <c r="I57" s="310">
        <f>IF(parameters!$B$33="B",'consumption scenario B'!I50,IF(parameters!$B$33="C",'consumption scenario C'!I50,'consumption scenario A'!I50))</f>
        <v>0.11111</v>
      </c>
      <c r="J57" s="310">
        <f>IF(parameters!$B$33="B",'consumption scenario B'!J50,IF(parameters!$B$33="C",'consumption scenario C'!J50,'consumption scenario A'!J50))</f>
        <v>0.10649</v>
      </c>
      <c r="K57" s="310">
        <f>IF(parameters!$B$33="B",'consumption scenario B'!K50,IF(parameters!$B$33="C",'consumption scenario C'!K50,'consumption scenario A'!K50))</f>
        <v>0.113272</v>
      </c>
      <c r="L57" s="310">
        <f>IF(parameters!$B$33="B",'consumption scenario B'!L50,IF(parameters!$B$33="C",'consumption scenario C'!L50,'consumption scenario A'!L50))</f>
        <v>0.121181</v>
      </c>
      <c r="M57" s="310">
        <f>IF(parameters!$B$33="B",'consumption scenario B'!M50,IF(parameters!$B$33="C",'consumption scenario C'!M50,'consumption scenario A'!M50))</f>
        <v>0.12658900000000001</v>
      </c>
      <c r="N57" s="310">
        <f>IF(parameters!$B$33="B",'consumption scenario B'!N50,IF(parameters!$B$33="C",'consumption scenario C'!N50,'consumption scenario A'!N50))</f>
        <v>0.12295630989169379</v>
      </c>
      <c r="O57" s="310">
        <f>IF(parameters!$B$33="B",'consumption scenario B'!O50,IF(parameters!$B$33="C",'consumption scenario C'!O50,'consumption scenario A'!O50))</f>
        <v>0.12475242051944578</v>
      </c>
      <c r="P57" s="310">
        <f>IF(parameters!$B$33="B",'consumption scenario B'!P50,IF(parameters!$B$33="C",'consumption scenario C'!P50,'consumption scenario A'!P50))</f>
        <v>0.1286177428876169</v>
      </c>
      <c r="Q57" s="310">
        <f>IF(parameters!$B$33="B",'consumption scenario B'!Q50,IF(parameters!$B$33="C",'consumption scenario C'!Q50,'consumption scenario A'!Q50))</f>
        <v>0.14250647853512005</v>
      </c>
      <c r="R57" s="310">
        <f>IF(parameters!$B$33="B",'consumption scenario B'!R50,IF(parameters!$B$33="C",'consumption scenario C'!R50,'consumption scenario A'!R50))</f>
        <v>0.14188380917316401</v>
      </c>
      <c r="S57" s="310">
        <f>IF(parameters!$B$33="B",'consumption scenario B'!S50,IF(parameters!$B$33="C",'consumption scenario C'!S50,'consumption scenario A'!S50))</f>
        <v>0.13804367294463482</v>
      </c>
      <c r="T57" s="310">
        <f>IF(parameters!$B$33="B",'consumption scenario B'!T50,IF(parameters!$B$33="C",'consumption scenario C'!T50,'consumption scenario A'!T50))</f>
        <v>0.13700910331172225</v>
      </c>
      <c r="U57" s="310">
        <f>IF(parameters!$B$33="B",'consumption scenario B'!U50,IF(parameters!$B$33="C",'consumption scenario C'!U50,'consumption scenario A'!U50))</f>
        <v>0.13646625083573524</v>
      </c>
      <c r="V57" s="310">
        <f>IF(parameters!$B$33="B",'consumption scenario B'!V50,IF(parameters!$B$33="C",'consumption scenario C'!V50,'consumption scenario A'!V50))</f>
        <v>0.13631853473310601</v>
      </c>
      <c r="W57" s="310">
        <f>IF(parameters!$B$33="B",'consumption scenario B'!W50,IF(parameters!$B$33="C",'consumption scenario C'!W50,'consumption scenario A'!W50))</f>
        <v>0.13641741976902155</v>
      </c>
      <c r="X57" s="310">
        <f>IF(parameters!$B$33="B",'consumption scenario B'!X50,IF(parameters!$B$33="C",'consumption scenario C'!X50,'consumption scenario A'!X50))</f>
        <v>0.13598768489047883</v>
      </c>
      <c r="Y57" s="310">
        <f>IF(parameters!$B$33="B",'consumption scenario B'!Y50,IF(parameters!$B$33="C",'consumption scenario C'!Y50,'consumption scenario A'!Y50))</f>
        <v>0.13572296543651027</v>
      </c>
      <c r="Z57" s="310">
        <f>IF(parameters!$B$33="B",'consumption scenario B'!Z50,IF(parameters!$B$33="C",'consumption scenario C'!Z50,'consumption scenario A'!Z50))</f>
        <v>0.13511892639704928</v>
      </c>
      <c r="AA57" s="310">
        <f>IF(parameters!$B$33="B",'consumption scenario B'!AA50,IF(parameters!$B$33="C",'consumption scenario C'!AA50,'consumption scenario A'!AA50))</f>
        <v>0.13497165838250177</v>
      </c>
      <c r="AB57" s="310">
        <f>IF(parameters!$B$33="B",'consumption scenario B'!AB50,IF(parameters!$B$33="C",'consumption scenario C'!AB50,'consumption scenario A'!AB50))</f>
        <v>0.1344872542606689</v>
      </c>
      <c r="AC57" s="310">
        <f>IF(parameters!$B$33="B",'consumption scenario B'!AC50,IF(parameters!$B$33="C",'consumption scenario C'!AC50,'consumption scenario A'!AC50))</f>
        <v>0.13393991509302039</v>
      </c>
      <c r="AD57" s="310">
        <f>IF(parameters!$B$33="B",'consumption scenario B'!AD50,IF(parameters!$B$33="C",'consumption scenario C'!AD50,'consumption scenario A'!AD50))</f>
        <v>0.13332941496459336</v>
      </c>
      <c r="AE57" s="310">
        <f>IF(parameters!$B$33="B",'consumption scenario B'!AE50,IF(parameters!$B$33="C",'consumption scenario C'!AE50,'consumption scenario A'!AE50))</f>
        <v>0.13312319575874465</v>
      </c>
      <c r="AF57" s="310">
        <f>IF(parameters!$B$33="B",'consumption scenario B'!AF50,IF(parameters!$B$33="C",'consumption scenario C'!AF50,'consumption scenario A'!AF50))</f>
        <v>0.13402728164682323</v>
      </c>
      <c r="AG57" s="310">
        <f>IF(parameters!$B$33="B",'consumption scenario B'!AG50,IF(parameters!$B$33="C",'consumption scenario C'!AG50,'consumption scenario A'!AG50))</f>
        <v>0.13420665019328115</v>
      </c>
      <c r="AH57" s="310">
        <f>IF(parameters!$B$33="B",'consumption scenario B'!AH50,IF(parameters!$B$33="C",'consumption scenario C'!AH50,'consumption scenario A'!AH50))</f>
        <v>0.13466566674565081</v>
      </c>
      <c r="AI57" s="310">
        <f>IF(parameters!$B$33="B",'consumption scenario B'!AI50,IF(parameters!$B$33="C",'consumption scenario C'!AI50,'consumption scenario A'!AI50))</f>
        <v>0.135132770723846</v>
      </c>
      <c r="AJ57" s="310">
        <f>IF(parameters!$B$33="B",'consumption scenario B'!AJ50,IF(parameters!$B$33="C",'consumption scenario C'!AJ50,'consumption scenario A'!AJ50))</f>
        <v>0.13558140999656962</v>
      </c>
      <c r="AK57" s="310">
        <f>IF(parameters!$B$33="B",'consumption scenario B'!AK50,IF(parameters!$B$33="C",'consumption scenario C'!AK50,'consumption scenario A'!AK50))</f>
        <v>0.13594333339031245</v>
      </c>
      <c r="AL57" s="310">
        <f>IF(parameters!$B$33="B",'consumption scenario B'!AL50,IF(parameters!$B$33="C",'consumption scenario C'!AL50,'consumption scenario A'!AL50))</f>
        <v>0.13644018206053796</v>
      </c>
      <c r="AM57" s="310">
        <f>IF(parameters!$B$33="B",'consumption scenario B'!AM50,IF(parameters!$B$33="C",'consumption scenario C'!AM50,'consumption scenario A'!AM50))</f>
        <v>0.13671013935836876</v>
      </c>
      <c r="AN57" s="310">
        <f>IF(parameters!$B$33="B",'consumption scenario B'!AN50,IF(parameters!$B$33="C",'consumption scenario C'!AN50,'consumption scenario A'!AN50))</f>
        <v>0.13694686217806279</v>
      </c>
      <c r="AO57" s="310">
        <f>IF(parameters!$B$33="B",'consumption scenario B'!AO50,IF(parameters!$B$33="C",'consumption scenario C'!AO50,'consumption scenario A'!AO50))</f>
        <v>0.13788997644174039</v>
      </c>
      <c r="AP57" s="310">
        <f>IF(parameters!$B$33="B",'consumption scenario B'!AP50,IF(parameters!$B$33="C",'consumption scenario C'!AP50,'consumption scenario A'!AP50))</f>
        <v>0.13849405910164558</v>
      </c>
      <c r="AQ57" s="310">
        <f>IF(parameters!$B$33="B",'consumption scenario B'!AQ50,IF(parameters!$B$33="C",'consumption scenario C'!AQ50,'consumption scenario A'!AQ50))</f>
        <v>0.13926051678958729</v>
      </c>
      <c r="AR57" s="310">
        <f>IF(parameters!$B$33="B",'consumption scenario B'!AR50,IF(parameters!$B$33="C",'consumption scenario C'!AR50,'consumption scenario A'!AR50))</f>
        <v>0.13992722885132647</v>
      </c>
      <c r="AS57" s="310">
        <f>IF(parameters!$B$33="B",'consumption scenario B'!AS50,IF(parameters!$B$33="C",'consumption scenario C'!AS50,'consumption scenario A'!AS50))</f>
        <v>0.14060554947835185</v>
      </c>
      <c r="AT57" s="310">
        <f>IF(parameters!$B$33="B",'consumption scenario B'!AT50,IF(parameters!$B$33="C",'consumption scenario C'!AT50,'consumption scenario A'!AT50))</f>
        <v>0.1411188451079772</v>
      </c>
      <c r="AU57" s="310">
        <f>IF(parameters!$B$33="B",'consumption scenario B'!AU50,IF(parameters!$B$33="C",'consumption scenario C'!AU50,'consumption scenario A'!AU50))</f>
        <v>0.14169587435736347</v>
      </c>
    </row>
    <row r="58" spans="1:47" s="230" customFormat="1">
      <c r="A58" s="130" t="s">
        <v>29</v>
      </c>
      <c r="B58" s="310">
        <f>IF(parameters!$B$33="B",'consumption scenario B'!B51,IF(parameters!$B$33="C",'consumption scenario C'!B51,'consumption scenario A'!B51))</f>
        <v>4.7050949345592286E-2</v>
      </c>
      <c r="C58" s="310">
        <f>IF(parameters!$B$33="B",'consumption scenario B'!C51,IF(parameters!$B$33="C",'consumption scenario C'!C51,'consumption scenario A'!C51))</f>
        <v>4.7278247000739647E-2</v>
      </c>
      <c r="D58" s="310">
        <f>IF(parameters!$B$33="B",'consumption scenario B'!D51,IF(parameters!$B$33="C",'consumption scenario C'!D51,'consumption scenario A'!D51))</f>
        <v>6.3369836323745182E-2</v>
      </c>
      <c r="E58" s="310">
        <f>IF(parameters!$B$33="B",'consumption scenario B'!E51,IF(parameters!$B$33="C",'consumption scenario C'!E51,'consumption scenario A'!E51))</f>
        <v>5.9616316745857635E-2</v>
      </c>
      <c r="F58" s="310">
        <f>IF(parameters!$B$33="B",'consumption scenario B'!F51,IF(parameters!$B$33="C",'consumption scenario C'!F51,'consumption scenario A'!F51))</f>
        <v>5.3657109687319141E-2</v>
      </c>
      <c r="G58" s="310">
        <f>IF(parameters!$B$33="B",'consumption scenario B'!G51,IF(parameters!$B$33="C",'consumption scenario C'!G51,'consumption scenario A'!G51))</f>
        <v>4.0648999999999998E-2</v>
      </c>
      <c r="H58" s="310">
        <f>IF(parameters!$B$33="B",'consumption scenario B'!H51,IF(parameters!$B$33="C",'consumption scenario C'!H51,'consumption scenario A'!H51))</f>
        <v>4.8829999999999998E-2</v>
      </c>
      <c r="I58" s="310">
        <f>IF(parameters!$B$33="B",'consumption scenario B'!I51,IF(parameters!$B$33="C",'consumption scenario C'!I51,'consumption scenario A'!I51))</f>
        <v>6.2197000000000002E-2</v>
      </c>
      <c r="J58" s="310">
        <f>IF(parameters!$B$33="B",'consumption scenario B'!J51,IF(parameters!$B$33="C",'consumption scenario C'!J51,'consumption scenario A'!J51))</f>
        <v>6.0212000000000002E-2</v>
      </c>
      <c r="K58" s="310">
        <f>IF(parameters!$B$33="B",'consumption scenario B'!K51,IF(parameters!$B$33="C",'consumption scenario C'!K51,'consumption scenario A'!K51))</f>
        <v>4.0807000000000003E-2</v>
      </c>
      <c r="L58" s="310">
        <f>IF(parameters!$B$33="B",'consumption scenario B'!L51,IF(parameters!$B$33="C",'consumption scenario C'!L51,'consumption scenario A'!L51))</f>
        <v>5.4953000000000002E-2</v>
      </c>
      <c r="M58" s="310">
        <f>IF(parameters!$B$33="B",'consumption scenario B'!M51,IF(parameters!$B$33="C",'consumption scenario C'!M51,'consumption scenario A'!M51))</f>
        <v>0.112543</v>
      </c>
      <c r="N58" s="310">
        <f>IF(parameters!$B$33="B",'consumption scenario B'!N51,IF(parameters!$B$33="C",'consumption scenario C'!N51,'consumption scenario A'!N51))</f>
        <v>6.6456064410435889E-2</v>
      </c>
      <c r="O58" s="310">
        <f>IF(parameters!$B$33="B",'consumption scenario B'!O51,IF(parameters!$B$33="C",'consumption scenario C'!O51,'consumption scenario A'!O51))</f>
        <v>6.1852891439622269E-2</v>
      </c>
      <c r="P58" s="310">
        <f>IF(parameters!$B$33="B",'consumption scenario B'!P51,IF(parameters!$B$33="C",'consumption scenario C'!P51,'consumption scenario A'!P51))</f>
        <v>6.5126729001350928E-2</v>
      </c>
      <c r="Q58" s="310">
        <f>IF(parameters!$B$33="B",'consumption scenario B'!Q51,IF(parameters!$B$33="C",'consumption scenario C'!Q51,'consumption scenario A'!Q51))</f>
        <v>3.5104021157369186E-2</v>
      </c>
      <c r="R58" s="310">
        <f>IF(parameters!$B$33="B",'consumption scenario B'!R51,IF(parameters!$B$33="C",'consumption scenario C'!R51,'consumption scenario A'!R51))</f>
        <v>4.1887007620191839E-2</v>
      </c>
      <c r="S58" s="310">
        <f>IF(parameters!$B$33="B",'consumption scenario B'!S51,IF(parameters!$B$33="C",'consumption scenario C'!S51,'consumption scenario A'!S51))</f>
        <v>5.577501044073184E-2</v>
      </c>
      <c r="T58" s="310">
        <f>IF(parameters!$B$33="B",'consumption scenario B'!T51,IF(parameters!$B$33="C",'consumption scenario C'!T51,'consumption scenario A'!T51))</f>
        <v>5.8393412437976945E-2</v>
      </c>
      <c r="U58" s="310">
        <f>IF(parameters!$B$33="B",'consumption scenario B'!U51,IF(parameters!$B$33="C",'consumption scenario C'!U51,'consumption scenario A'!U51))</f>
        <v>5.9718089365162201E-2</v>
      </c>
      <c r="V58" s="310">
        <f>IF(parameters!$B$33="B",'consumption scenario B'!V51,IF(parameters!$B$33="C",'consumption scenario C'!V51,'consumption scenario A'!V51))</f>
        <v>6.0902191969638704E-2</v>
      </c>
      <c r="W58" s="310">
        <f>IF(parameters!$B$33="B",'consumption scenario B'!W51,IF(parameters!$B$33="C",'consumption scenario C'!W51,'consumption scenario A'!W51))</f>
        <v>5.9810593732811924E-2</v>
      </c>
      <c r="X58" s="310">
        <f>IF(parameters!$B$33="B",'consumption scenario B'!X51,IF(parameters!$B$33="C",'consumption scenario C'!X51,'consumption scenario A'!X51))</f>
        <v>5.8895739156510217E-2</v>
      </c>
      <c r="Y58" s="310">
        <f>IF(parameters!$B$33="B",'consumption scenario B'!Y51,IF(parameters!$B$33="C",'consumption scenario C'!Y51,'consumption scenario A'!Y51))</f>
        <v>5.8348769302971427E-2</v>
      </c>
      <c r="Z58" s="310">
        <f>IF(parameters!$B$33="B",'consumption scenario B'!Z51,IF(parameters!$B$33="C",'consumption scenario C'!Z51,'consumption scenario A'!Z51))</f>
        <v>5.8672254889090752E-2</v>
      </c>
      <c r="AA58" s="310">
        <f>IF(parameters!$B$33="B",'consumption scenario B'!AA51,IF(parameters!$B$33="C",'consumption scenario C'!AA51,'consumption scenario A'!AA51))</f>
        <v>5.6713435022579146E-2</v>
      </c>
      <c r="AB58" s="310">
        <f>IF(parameters!$B$33="B",'consumption scenario B'!AB51,IF(parameters!$B$33="C",'consumption scenario C'!AB51,'consumption scenario A'!AB51))</f>
        <v>5.6418837933535339E-2</v>
      </c>
      <c r="AC58" s="310">
        <f>IF(parameters!$B$33="B",'consumption scenario B'!AC51,IF(parameters!$B$33="C",'consumption scenario C'!AC51,'consumption scenario A'!AC51))</f>
        <v>5.6234043074776113E-2</v>
      </c>
      <c r="AD58" s="310">
        <f>IF(parameters!$B$33="B",'consumption scenario B'!AD51,IF(parameters!$B$33="C",'consumption scenario C'!AD51,'consumption scenario A'!AD51))</f>
        <v>5.6078456783324911E-2</v>
      </c>
      <c r="AE58" s="310">
        <f>IF(parameters!$B$33="B",'consumption scenario B'!AE51,IF(parameters!$B$33="C",'consumption scenario C'!AE51,'consumption scenario A'!AE51))</f>
        <v>5.5711460160968736E-2</v>
      </c>
      <c r="AF58" s="310">
        <f>IF(parameters!$B$33="B",'consumption scenario B'!AF51,IF(parameters!$B$33="C",'consumption scenario C'!AF51,'consumption scenario A'!AF51))</f>
        <v>5.2124524174877389E-2</v>
      </c>
      <c r="AG58" s="310">
        <f>IF(parameters!$B$33="B",'consumption scenario B'!AG51,IF(parameters!$B$33="C",'consumption scenario C'!AG51,'consumption scenario A'!AG51))</f>
        <v>5.1862774747502373E-2</v>
      </c>
      <c r="AH58" s="310">
        <f>IF(parameters!$B$33="B",'consumption scenario B'!AH51,IF(parameters!$B$33="C",'consumption scenario C'!AH51,'consumption scenario A'!AH51))</f>
        <v>5.0988161247541228E-2</v>
      </c>
      <c r="AI58" s="310">
        <f>IF(parameters!$B$33="B",'consumption scenario B'!AI51,IF(parameters!$B$33="C",'consumption scenario C'!AI51,'consumption scenario A'!AI51))</f>
        <v>5.0706993349437901E-2</v>
      </c>
      <c r="AJ58" s="310">
        <f>IF(parameters!$B$33="B",'consumption scenario B'!AJ51,IF(parameters!$B$33="C",'consumption scenario C'!AJ51,'consumption scenario A'!AJ51))</f>
        <v>5.0458510739123837E-2</v>
      </c>
      <c r="AK58" s="310">
        <f>IF(parameters!$B$33="B",'consumption scenario B'!AK51,IF(parameters!$B$33="C",'consumption scenario C'!AK51,'consumption scenario A'!AK51))</f>
        <v>5.0268765316248264E-2</v>
      </c>
      <c r="AL58" s="310">
        <f>IF(parameters!$B$33="B",'consumption scenario B'!AL51,IF(parameters!$B$33="C",'consumption scenario C'!AL51,'consumption scenario A'!AL51))</f>
        <v>4.9998861070399289E-2</v>
      </c>
      <c r="AM58" s="310">
        <f>IF(parameters!$B$33="B",'consumption scenario B'!AM51,IF(parameters!$B$33="C",'consumption scenario C'!AM51,'consumption scenario A'!AM51))</f>
        <v>4.9458638615243807E-2</v>
      </c>
      <c r="AN58" s="310">
        <f>IF(parameters!$B$33="B",'consumption scenario B'!AN51,IF(parameters!$B$33="C",'consumption scenario C'!AN51,'consumption scenario A'!AN51))</f>
        <v>5.0930606524188932E-2</v>
      </c>
      <c r="AO58" s="310">
        <f>IF(parameters!$B$33="B",'consumption scenario B'!AO51,IF(parameters!$B$33="C",'consumption scenario C'!AO51,'consumption scenario A'!AO51))</f>
        <v>4.9184956699710236E-2</v>
      </c>
      <c r="AP58" s="310">
        <f>IF(parameters!$B$33="B",'consumption scenario B'!AP51,IF(parameters!$B$33="C",'consumption scenario C'!AP51,'consumption scenario A'!AP51))</f>
        <v>4.9076399901367314E-2</v>
      </c>
      <c r="AQ58" s="310">
        <f>IF(parameters!$B$33="B",'consumption scenario B'!AQ51,IF(parameters!$B$33="C",'consumption scenario C'!AQ51,'consumption scenario A'!AQ51))</f>
        <v>4.8132535361124822E-2</v>
      </c>
      <c r="AR58" s="310">
        <f>IF(parameters!$B$33="B",'consumption scenario B'!AR51,IF(parameters!$B$33="C",'consumption scenario C'!AR51,'consumption scenario A'!AR51))</f>
        <v>4.7950955796398811E-2</v>
      </c>
      <c r="AS58" s="310">
        <f>IF(parameters!$B$33="B",'consumption scenario B'!AS51,IF(parameters!$B$33="C",'consumption scenario C'!AS51,'consumption scenario A'!AS51))</f>
        <v>4.7844475716781673E-2</v>
      </c>
      <c r="AT58" s="310">
        <f>IF(parameters!$B$33="B",'consumption scenario B'!AT51,IF(parameters!$B$33="C",'consumption scenario C'!AT51,'consumption scenario A'!AT51))</f>
        <v>4.7895019001948522E-2</v>
      </c>
      <c r="AU58" s="310">
        <f>IF(parameters!$B$33="B",'consumption scenario B'!AU51,IF(parameters!$B$33="C",'consumption scenario C'!AU51,'consumption scenario A'!AU51))</f>
        <v>4.7693288454933438E-2</v>
      </c>
    </row>
    <row r="59" spans="1:47" s="230" customFormat="1">
      <c r="A59" s="130" t="s">
        <v>67</v>
      </c>
      <c r="B59" s="310">
        <f>IF(parameters!$B$33="B",'consumption scenario B'!B52,IF(parameters!$B$33="C",'consumption scenario C'!B52,'consumption scenario A'!B52))</f>
        <v>5.4660960326839078E-3</v>
      </c>
      <c r="C59" s="310">
        <f>IF(parameters!$B$33="B",'consumption scenario B'!C52,IF(parameters!$B$33="C",'consumption scenario C'!C52,'consumption scenario A'!C52))</f>
        <v>5.3572287190000178E-3</v>
      </c>
      <c r="D59" s="310">
        <f>IF(parameters!$B$33="B",'consumption scenario B'!D52,IF(parameters!$B$33="C",'consumption scenario C'!D52,'consumption scenario A'!D52))</f>
        <v>5.4529945640031897E-3</v>
      </c>
      <c r="E59" s="310">
        <f>IF(parameters!$B$33="B",'consumption scenario B'!E52,IF(parameters!$B$33="C",'consumption scenario C'!E52,'consumption scenario A'!E52))</f>
        <v>5.3444717311111585E-3</v>
      </c>
      <c r="F59" s="310">
        <f>IF(parameters!$B$33="B",'consumption scenario B'!F52,IF(parameters!$B$33="C",'consumption scenario C'!F52,'consumption scenario A'!F52))</f>
        <v>4.7609300136319923E-3</v>
      </c>
      <c r="G59" s="310">
        <f>IF(parameters!$B$33="B",'consumption scenario B'!G52,IF(parameters!$B$33="C",'consumption scenario C'!G52,'consumption scenario A'!G52))</f>
        <v>5.2840989605944305E-3</v>
      </c>
      <c r="H59" s="310">
        <f>IF(parameters!$B$33="B",'consumption scenario B'!H52,IF(parameters!$B$33="C",'consumption scenario C'!H52,'consumption scenario A'!H52))</f>
        <v>5.0794611954993888E-3</v>
      </c>
      <c r="I59" s="310">
        <f>IF(parameters!$B$33="B",'consumption scenario B'!I52,IF(parameters!$B$33="C",'consumption scenario C'!I52,'consumption scenario A'!I52))</f>
        <v>4.6298136899330872E-3</v>
      </c>
      <c r="J59" s="310">
        <f>IF(parameters!$B$33="B",'consumption scenario B'!J52,IF(parameters!$B$33="C",'consumption scenario C'!J52,'consumption scenario A'!J52))</f>
        <v>4.6358840552721816E-3</v>
      </c>
      <c r="K59" s="310">
        <f>IF(parameters!$B$33="B",'consumption scenario B'!K52,IF(parameters!$B$33="C",'consumption scenario C'!K52,'consumption scenario A'!K52))</f>
        <v>4.7071773447692755E-3</v>
      </c>
      <c r="L59" s="310">
        <f>IF(parameters!$B$33="B",'consumption scenario B'!L52,IF(parameters!$B$33="C",'consumption scenario C'!L52,'consumption scenario A'!L52))</f>
        <v>4.7577817403228369E-3</v>
      </c>
      <c r="M59" s="310">
        <f>IF(parameters!$B$33="B",'consumption scenario B'!M52,IF(parameters!$B$33="C",'consumption scenario C'!M52,'consumption scenario A'!M52))</f>
        <v>7.5896169222540422E-4</v>
      </c>
      <c r="N59" s="310">
        <f>IF(parameters!$B$33="B",'consumption scenario B'!N52,IF(parameters!$B$33="C",'consumption scenario C'!N52,'consumption scenario A'!N52))</f>
        <v>7.5773318206592073E-4</v>
      </c>
      <c r="O59" s="310">
        <f>IF(parameters!$B$33="B",'consumption scenario B'!O52,IF(parameters!$B$33="C",'consumption scenario C'!O52,'consumption scenario A'!O52))</f>
        <v>7.5578407475312113E-4</v>
      </c>
      <c r="P59" s="310">
        <f>IF(parameters!$B$33="B",'consumption scenario B'!P52,IF(parameters!$B$33="C",'consumption scenario C'!P52,'consumption scenario A'!P52))</f>
        <v>7.5493581976065474E-4</v>
      </c>
      <c r="Q59" s="310">
        <f>IF(parameters!$B$33="B",'consumption scenario B'!Q52,IF(parameters!$B$33="C",'consumption scenario C'!Q52,'consumption scenario A'!Q52))</f>
        <v>7.5397585354500403E-4</v>
      </c>
      <c r="R59" s="310">
        <f>IF(parameters!$B$33="B",'consumption scenario B'!R52,IF(parameters!$B$33="C",'consumption scenario C'!R52,'consumption scenario A'!R52))</f>
        <v>7.5309841860112122E-4</v>
      </c>
      <c r="S59" s="310">
        <f>IF(parameters!$B$33="B",'consumption scenario B'!S52,IF(parameters!$B$33="C",'consumption scenario C'!S52,'consumption scenario A'!S52))</f>
        <v>7.514836890581293E-4</v>
      </c>
      <c r="T59" s="310">
        <f>IF(parameters!$B$33="B",'consumption scenario B'!T52,IF(parameters!$B$33="C",'consumption scenario C'!T52,'consumption scenario A'!T52))</f>
        <v>7.5003356811979155E-4</v>
      </c>
      <c r="U59" s="310">
        <f>IF(parameters!$B$33="B",'consumption scenario B'!U52,IF(parameters!$B$33="C",'consumption scenario C'!U52,'consumption scenario A'!U52))</f>
        <v>7.4907150030834339E-4</v>
      </c>
      <c r="V59" s="310">
        <f>IF(parameters!$B$33="B",'consumption scenario B'!V52,IF(parameters!$B$33="C",'consumption scenario C'!V52,'consumption scenario A'!V52))</f>
        <v>7.4772192906430294E-4</v>
      </c>
      <c r="W59" s="310">
        <f>IF(parameters!$B$33="B",'consumption scenario B'!W52,IF(parameters!$B$33="C",'consumption scenario C'!W52,'consumption scenario A'!W52))</f>
        <v>7.4653169479281252E-4</v>
      </c>
      <c r="X59" s="310">
        <f>IF(parameters!$B$33="B",'consumption scenario B'!X52,IF(parameters!$B$33="C",'consumption scenario C'!X52,'consumption scenario A'!X52))</f>
        <v>7.4545707462144199E-4</v>
      </c>
      <c r="Y59" s="310">
        <f>IF(parameters!$B$33="B",'consumption scenario B'!Y52,IF(parameters!$B$33="C",'consumption scenario C'!Y52,'consumption scenario A'!Y52))</f>
        <v>7.4452876634826224E-4</v>
      </c>
      <c r="Z59" s="310">
        <f>IF(parameters!$B$33="B",'consumption scenario B'!Z52,IF(parameters!$B$33="C",'consumption scenario C'!Z52,'consumption scenario A'!Z52))</f>
        <v>7.4392593889379658E-4</v>
      </c>
      <c r="AA59" s="310">
        <f>IF(parameters!$B$33="B",'consumption scenario B'!AA52,IF(parameters!$B$33="C",'consumption scenario C'!AA52,'consumption scenario A'!AA52))</f>
        <v>7.4398289664378192E-4</v>
      </c>
      <c r="AB59" s="310">
        <f>IF(parameters!$B$33="B",'consumption scenario B'!AB52,IF(parameters!$B$33="C",'consumption scenario C'!AB52,'consumption scenario A'!AB52))</f>
        <v>7.4450004931154729E-4</v>
      </c>
      <c r="AC59" s="310">
        <f>IF(parameters!$B$33="B",'consumption scenario B'!AC52,IF(parameters!$B$33="C",'consumption scenario C'!AC52,'consumption scenario A'!AC52))</f>
        <v>7.4468629287446984E-4</v>
      </c>
      <c r="AD59" s="310">
        <f>IF(parameters!$B$33="B",'consumption scenario B'!AD52,IF(parameters!$B$33="C",'consumption scenario C'!AD52,'consumption scenario A'!AD52))</f>
        <v>7.4491767026377915E-4</v>
      </c>
      <c r="AE59" s="310">
        <f>IF(parameters!$B$33="B",'consumption scenario B'!AE52,IF(parameters!$B$33="C",'consumption scenario C'!AE52,'consumption scenario A'!AE52))</f>
        <v>7.4578457609241866E-4</v>
      </c>
      <c r="AF59" s="310">
        <f>IF(parameters!$B$33="B",'consumption scenario B'!AF52,IF(parameters!$B$33="C",'consumption scenario C'!AF52,'consumption scenario A'!AF52))</f>
        <v>7.4670496940114014E-4</v>
      </c>
      <c r="AG59" s="310">
        <f>IF(parameters!$B$33="B",'consumption scenario B'!AG52,IF(parameters!$B$33="C",'consumption scenario C'!AG52,'consumption scenario A'!AG52))</f>
        <v>7.4771892404620552E-4</v>
      </c>
      <c r="AH59" s="310">
        <f>IF(parameters!$B$33="B",'consumption scenario B'!AH52,IF(parameters!$B$33="C",'consumption scenario C'!AH52,'consumption scenario A'!AH52))</f>
        <v>7.488853071352824E-4</v>
      </c>
      <c r="AI59" s="310">
        <f>IF(parameters!$B$33="B",'consumption scenario B'!AI52,IF(parameters!$B$33="C",'consumption scenario C'!AI52,'consumption scenario A'!AI52))</f>
        <v>7.4998264298143562E-4</v>
      </c>
      <c r="AJ59" s="310">
        <f>IF(parameters!$B$33="B",'consumption scenario B'!AJ52,IF(parameters!$B$33="C",'consumption scenario C'!AJ52,'consumption scenario A'!AJ52))</f>
        <v>7.5108901228373591E-4</v>
      </c>
      <c r="AK59" s="310">
        <f>IF(parameters!$B$33="B",'consumption scenario B'!AK52,IF(parameters!$B$33="C",'consumption scenario C'!AK52,'consumption scenario A'!AK52))</f>
        <v>7.5259206028735059E-4</v>
      </c>
      <c r="AL59" s="310">
        <f>IF(parameters!$B$33="B",'consumption scenario B'!AL52,IF(parameters!$B$33="C",'consumption scenario C'!AL52,'consumption scenario A'!AL52))</f>
        <v>7.5403471136325628E-4</v>
      </c>
      <c r="AM59" s="310">
        <f>IF(parameters!$B$33="B",'consumption scenario B'!AM52,IF(parameters!$B$33="C",'consumption scenario C'!AM52,'consumption scenario A'!AM52))</f>
        <v>7.549849955091006E-4</v>
      </c>
      <c r="AN59" s="310">
        <f>IF(parameters!$B$33="B",'consumption scenario B'!AN52,IF(parameters!$B$33="C",'consumption scenario C'!AN52,'consumption scenario A'!AN52))</f>
        <v>7.555656477835071E-4</v>
      </c>
      <c r="AO59" s="310">
        <f>IF(parameters!$B$33="B",'consumption scenario B'!AO52,IF(parameters!$B$33="C",'consumption scenario C'!AO52,'consumption scenario A'!AO52))</f>
        <v>7.5599661044534064E-4</v>
      </c>
      <c r="AP59" s="310">
        <f>IF(parameters!$B$33="B",'consumption scenario B'!AP52,IF(parameters!$B$33="C",'consumption scenario C'!AP52,'consumption scenario A'!AP52))</f>
        <v>7.5633611961873227E-4</v>
      </c>
      <c r="AQ59" s="310">
        <f>IF(parameters!$B$33="B",'consumption scenario B'!AQ52,IF(parameters!$B$33="C",'consumption scenario C'!AQ52,'consumption scenario A'!AQ52))</f>
        <v>7.5651897884350123E-4</v>
      </c>
      <c r="AR59" s="310">
        <f>IF(parameters!$B$33="B",'consumption scenario B'!AR52,IF(parameters!$B$33="C",'consumption scenario C'!AR52,'consumption scenario A'!AR52))</f>
        <v>7.5612368182809391E-4</v>
      </c>
      <c r="AS59" s="310">
        <f>IF(parameters!$B$33="B",'consumption scenario B'!AS52,IF(parameters!$B$33="C",'consumption scenario C'!AS52,'consumption scenario A'!AS52))</f>
        <v>7.5513831975401648E-4</v>
      </c>
      <c r="AT59" s="310">
        <f>IF(parameters!$B$33="B",'consumption scenario B'!AT52,IF(parameters!$B$33="C",'consumption scenario C'!AT52,'consumption scenario A'!AT52))</f>
        <v>7.5403138391517955E-4</v>
      </c>
      <c r="AU59" s="310">
        <f>IF(parameters!$B$33="B",'consumption scenario B'!AU52,IF(parameters!$B$33="C",'consumption scenario C'!AU52,'consumption scenario A'!AU52))</f>
        <v>7.5271804536849605E-4</v>
      </c>
    </row>
    <row r="60" spans="1:47" s="230" customFormat="1">
      <c r="A60" s="130" t="s">
        <v>68</v>
      </c>
      <c r="B60" s="310">
        <f>IF(parameters!$B$33="B",'consumption scenario B'!B53,IF(parameters!$B$33="C",'consumption scenario C'!B53,'consumption scenario A'!B53))</f>
        <v>8.6381205803119539E-3</v>
      </c>
      <c r="C60" s="310">
        <f>IF(parameters!$B$33="B",'consumption scenario B'!C53,IF(parameters!$B$33="C",'consumption scenario C'!C53,'consumption scenario A'!C53))</f>
        <v>8.4491107344529335E-3</v>
      </c>
      <c r="D60" s="310">
        <f>IF(parameters!$B$33="B",'consumption scenario B'!D53,IF(parameters!$B$33="C",'consumption scenario C'!D53,'consumption scenario A'!D53))</f>
        <v>8.3943832865140591E-3</v>
      </c>
      <c r="E60" s="310">
        <f>IF(parameters!$B$33="B",'consumption scenario B'!E53,IF(parameters!$B$33="C",'consumption scenario C'!E53,'consumption scenario A'!E53))</f>
        <v>8.4112704645730174E-3</v>
      </c>
      <c r="F60" s="310">
        <f>IF(parameters!$B$33="B",'consumption scenario B'!F53,IF(parameters!$B$33="C",'consumption scenario C'!F53,'consumption scenario A'!F53))</f>
        <v>7.0786391891273217E-3</v>
      </c>
      <c r="G60" s="310">
        <f>IF(parameters!$B$33="B",'consumption scenario B'!G53,IF(parameters!$B$33="C",'consumption scenario C'!G53,'consumption scenario A'!G53))</f>
        <v>8.0444110791542765E-3</v>
      </c>
      <c r="H60" s="310">
        <f>IF(parameters!$B$33="B",'consumption scenario B'!H53,IF(parameters!$B$33="C",'consumption scenario C'!H53,'consumption scenario A'!H53))</f>
        <v>7.4620945943626241E-3</v>
      </c>
      <c r="I60" s="310">
        <f>IF(parameters!$B$33="B",'consumption scenario B'!I53,IF(parameters!$B$33="C",'consumption scenario C'!I53,'consumption scenario A'!I53))</f>
        <v>9.025905514270606E-3</v>
      </c>
      <c r="J60" s="310">
        <f>IF(parameters!$B$33="B",'consumption scenario B'!J53,IF(parameters!$B$33="C",'consumption scenario C'!J53,'consumption scenario A'!J53))</f>
        <v>1.049543976922364E-2</v>
      </c>
      <c r="K60" s="310">
        <f>IF(parameters!$B$33="B",'consumption scenario B'!K53,IF(parameters!$B$33="C",'consumption scenario C'!K53,'consumption scenario A'!K53))</f>
        <v>7.6250840911272601E-3</v>
      </c>
      <c r="L60" s="310">
        <f>IF(parameters!$B$33="B",'consumption scenario B'!L53,IF(parameters!$B$33="C",'consumption scenario C'!L53,'consumption scenario A'!L53))</f>
        <v>1.0491304948248799E-2</v>
      </c>
      <c r="M60" s="310">
        <f>IF(parameters!$B$33="B",'consumption scenario B'!M53,IF(parameters!$B$33="C",'consumption scenario C'!M53,'consumption scenario A'!M53))</f>
        <v>9.0483718974427117E-3</v>
      </c>
      <c r="N60" s="310">
        <f>IF(parameters!$B$33="B",'consumption scenario B'!N53,IF(parameters!$B$33="C",'consumption scenario C'!N53,'consumption scenario A'!N53))</f>
        <v>9.041492065953137E-3</v>
      </c>
      <c r="O60" s="310">
        <f>IF(parameters!$B$33="B",'consumption scenario B'!O53,IF(parameters!$B$33="C",'consumption scenario C'!O53,'consumption scenario A'!O53))</f>
        <v>9.2989373227039367E-3</v>
      </c>
      <c r="P60" s="310">
        <f>IF(parameters!$B$33="B",'consumption scenario B'!P53,IF(parameters!$B$33="C",'consumption scenario C'!P53,'consumption scenario A'!P53))</f>
        <v>8.9805789239022736E-3</v>
      </c>
      <c r="Q60" s="310">
        <f>IF(parameters!$B$33="B",'consumption scenario B'!Q53,IF(parameters!$B$33="C",'consumption scenario C'!Q53,'consumption scenario A'!Q53))</f>
        <v>9.0219250684712791E-3</v>
      </c>
      <c r="R60" s="310">
        <f>IF(parameters!$B$33="B",'consumption scenario B'!R53,IF(parameters!$B$33="C",'consumption scenario C'!R53,'consumption scenario A'!R53))</f>
        <v>9.2745879246983777E-3</v>
      </c>
      <c r="S60" s="310">
        <f>IF(parameters!$B$33="B",'consumption scenario B'!S53,IF(parameters!$B$33="C",'consumption scenario C'!S53,'consumption scenario A'!S53))</f>
        <v>9.1672447902758566E-3</v>
      </c>
      <c r="T60" s="310">
        <f>IF(parameters!$B$33="B",'consumption scenario B'!T53,IF(parameters!$B$33="C",'consumption scenario C'!T53,'consumption scenario A'!T53))</f>
        <v>9.1990565837751625E-3</v>
      </c>
      <c r="U60" s="310">
        <f>IF(parameters!$B$33="B",'consumption scenario B'!U53,IF(parameters!$B$33="C",'consumption scenario C'!U53,'consumption scenario A'!U53))</f>
        <v>9.1675101399475226E-3</v>
      </c>
      <c r="V60" s="310">
        <f>IF(parameters!$B$33="B",'consumption scenario B'!V53,IF(parameters!$B$33="C",'consumption scenario C'!V53,'consumption scenario A'!V53))</f>
        <v>9.2557527547815557E-3</v>
      </c>
      <c r="W60" s="310">
        <f>IF(parameters!$B$33="B",'consumption scenario B'!W53,IF(parameters!$B$33="C",'consumption scenario C'!W53,'consumption scenario A'!W53))</f>
        <v>9.3435750121442993E-3</v>
      </c>
      <c r="X60" s="310">
        <f>IF(parameters!$B$33="B",'consumption scenario B'!X53,IF(parameters!$B$33="C",'consumption scenario C'!X53,'consumption scenario A'!X53))</f>
        <v>9.4192624537530988E-3</v>
      </c>
      <c r="Y60" s="310">
        <f>IF(parameters!$B$33="B",'consumption scenario B'!Y53,IF(parameters!$B$33="C",'consumption scenario C'!Y53,'consumption scenario A'!Y53))</f>
        <v>9.5402450510297145E-3</v>
      </c>
      <c r="Z60" s="310">
        <f>IF(parameters!$B$33="B",'consumption scenario B'!Z53,IF(parameters!$B$33="C",'consumption scenario C'!Z53,'consumption scenario A'!Z53))</f>
        <v>9.4185732296299049E-3</v>
      </c>
      <c r="AA60" s="310">
        <f>IF(parameters!$B$33="B",'consumption scenario B'!AA53,IF(parameters!$B$33="C",'consumption scenario C'!AA53,'consumption scenario A'!AA53))</f>
        <v>9.455705933481608E-3</v>
      </c>
      <c r="AB60" s="310">
        <f>IF(parameters!$B$33="B",'consumption scenario B'!AB53,IF(parameters!$B$33="C",'consumption scenario C'!AB53,'consumption scenario A'!AB53))</f>
        <v>9.5058391898582666E-3</v>
      </c>
      <c r="AC60" s="310">
        <f>IF(parameters!$B$33="B",'consumption scenario B'!AC53,IF(parameters!$B$33="C",'consumption scenario C'!AC53,'consumption scenario A'!AC53))</f>
        <v>9.6251736443977512E-3</v>
      </c>
      <c r="AD60" s="310">
        <f>IF(parameters!$B$33="B",'consumption scenario B'!AD53,IF(parameters!$B$33="C",'consumption scenario C'!AD53,'consumption scenario A'!AD53))</f>
        <v>9.6841761261201205E-3</v>
      </c>
      <c r="AE60" s="310">
        <f>IF(parameters!$B$33="B",'consumption scenario B'!AE53,IF(parameters!$B$33="C",'consumption scenario C'!AE53,'consumption scenario A'!AE53))</f>
        <v>9.7708320002499495E-3</v>
      </c>
      <c r="AF60" s="310">
        <f>IF(parameters!$B$33="B",'consumption scenario B'!AF53,IF(parameters!$B$33="C",'consumption scenario C'!AF53,'consumption scenario A'!AF53))</f>
        <v>9.9319365366337051E-3</v>
      </c>
      <c r="AG60" s="310">
        <f>IF(parameters!$B$33="B",'consumption scenario B'!AG53,IF(parameters!$B$33="C",'consumption scenario C'!AG53,'consumption scenario A'!AG53))</f>
        <v>9.9928446187404277E-3</v>
      </c>
      <c r="AH60" s="310">
        <f>IF(parameters!$B$33="B",'consumption scenario B'!AH53,IF(parameters!$B$33="C",'consumption scenario C'!AH53,'consumption scenario A'!AH53))</f>
        <v>1.0098514627438408E-2</v>
      </c>
      <c r="AI60" s="310">
        <f>IF(parameters!$B$33="B",'consumption scenario B'!AI53,IF(parameters!$B$33="C",'consumption scenario C'!AI53,'consumption scenario A'!AI53))</f>
        <v>1.0203141003527431E-2</v>
      </c>
      <c r="AJ60" s="310">
        <f>IF(parameters!$B$33="B",'consumption scenario B'!AJ53,IF(parameters!$B$33="C",'consumption scenario C'!AJ53,'consumption scenario A'!AJ53))</f>
        <v>1.0308191146682764E-2</v>
      </c>
      <c r="AK60" s="310">
        <f>IF(parameters!$B$33="B",'consumption scenario B'!AK53,IF(parameters!$B$33="C",'consumption scenario C'!AK53,'consumption scenario A'!AK53))</f>
        <v>1.0435142396497253E-2</v>
      </c>
      <c r="AL60" s="310">
        <f>IF(parameters!$B$33="B",'consumption scenario B'!AL53,IF(parameters!$B$33="C",'consumption scenario C'!AL53,'consumption scenario A'!AL53))</f>
        <v>1.0540125844939203E-2</v>
      </c>
      <c r="AM60" s="310">
        <f>IF(parameters!$B$33="B",'consumption scenario B'!AM53,IF(parameters!$B$33="C",'consumption scenario C'!AM53,'consumption scenario A'!AM53))</f>
        <v>1.0642379704173125E-2</v>
      </c>
      <c r="AN60" s="310">
        <f>IF(parameters!$B$33="B",'consumption scenario B'!AN53,IF(parameters!$B$33="C",'consumption scenario C'!AN53,'consumption scenario A'!AN53))</f>
        <v>1.070636417620625E-2</v>
      </c>
      <c r="AO60" s="310">
        <f>IF(parameters!$B$33="B",'consumption scenario B'!AO53,IF(parameters!$B$33="C",'consumption scenario C'!AO53,'consumption scenario A'!AO53))</f>
        <v>1.0797674484175552E-2</v>
      </c>
      <c r="AP60" s="310">
        <f>IF(parameters!$B$33="B",'consumption scenario B'!AP53,IF(parameters!$B$33="C",'consumption scenario C'!AP53,'consumption scenario A'!AP53))</f>
        <v>1.0900015127915963E-2</v>
      </c>
      <c r="AQ60" s="310">
        <f>IF(parameters!$B$33="B",'consumption scenario B'!AQ53,IF(parameters!$B$33="C",'consumption scenario C'!AQ53,'consumption scenario A'!AQ53))</f>
        <v>1.0974539747261824E-2</v>
      </c>
      <c r="AR60" s="310">
        <f>IF(parameters!$B$33="B",'consumption scenario B'!AR53,IF(parameters!$B$33="C",'consumption scenario C'!AR53,'consumption scenario A'!AR53))</f>
        <v>1.1061376275553692E-2</v>
      </c>
      <c r="AS60" s="310">
        <f>IF(parameters!$B$33="B",'consumption scenario B'!AS53,IF(parameters!$B$33="C",'consumption scenario C'!AS53,'consumption scenario A'!AS53))</f>
        <v>1.1119230062480947E-2</v>
      </c>
      <c r="AT60" s="310">
        <f>IF(parameters!$B$33="B",'consumption scenario B'!AT53,IF(parameters!$B$33="C",'consumption scenario C'!AT53,'consumption scenario A'!AT53))</f>
        <v>1.116055322937482E-2</v>
      </c>
      <c r="AU60" s="310">
        <f>IF(parameters!$B$33="B",'consumption scenario B'!AU53,IF(parameters!$B$33="C",'consumption scenario C'!AU53,'consumption scenario A'!AU53))</f>
        <v>1.1206074987641861E-2</v>
      </c>
    </row>
    <row r="61" spans="1:47" s="230" customFormat="1">
      <c r="A61" s="130" t="s">
        <v>69</v>
      </c>
      <c r="B61" s="310">
        <f>IF(parameters!$B$33="B",'consumption scenario B'!B54,IF(parameters!$B$33="C",'consumption scenario C'!B54,'consumption scenario A'!B54))</f>
        <v>6.4141530715026635E-5</v>
      </c>
      <c r="C61" s="310">
        <f>IF(parameters!$B$33="B",'consumption scenario B'!C54,IF(parameters!$B$33="C",'consumption scenario C'!C54,'consumption scenario A'!C54))</f>
        <v>8.7799011018190325E-5</v>
      </c>
      <c r="D61" s="310">
        <f>IF(parameters!$B$33="B",'consumption scenario B'!D54,IF(parameters!$B$33="C",'consumption scenario C'!D54,'consumption scenario A'!D54))</f>
        <v>1.9140456863198728E-4</v>
      </c>
      <c r="E61" s="310">
        <f>IF(parameters!$B$33="B",'consumption scenario B'!E54,IF(parameters!$B$33="C",'consumption scenario C'!E54,'consumption scenario A'!E54))</f>
        <v>2.0314737129663481E-4</v>
      </c>
      <c r="F61" s="310">
        <f>IF(parameters!$B$33="B",'consumption scenario B'!F54,IF(parameters!$B$33="C",'consumption scenario C'!F54,'consumption scenario A'!F54))</f>
        <v>2.5195631499823356E-4</v>
      </c>
      <c r="G61" s="310">
        <f>IF(parameters!$B$33="B",'consumption scenario B'!G54,IF(parameters!$B$33="C",'consumption scenario C'!G54,'consumption scenario A'!G54))</f>
        <v>2.4329716608371889E-4</v>
      </c>
      <c r="H61" s="310">
        <f>IF(parameters!$B$33="B",'consumption scenario B'!H54,IF(parameters!$B$33="C",'consumption scenario C'!H54,'consumption scenario A'!H54))</f>
        <v>2.7257630270114249E-4</v>
      </c>
      <c r="I61" s="310">
        <f>IF(parameters!$B$33="B",'consumption scenario B'!I54,IF(parameters!$B$33="C",'consumption scenario C'!I54,'consumption scenario A'!I54))</f>
        <v>2.4918414142488174E-4</v>
      </c>
      <c r="J61" s="310">
        <f>IF(parameters!$B$33="B",'consumption scenario B'!J54,IF(parameters!$B$33="C",'consumption scenario C'!J54,'consumption scenario A'!J54))</f>
        <v>3.1188857301377523E-4</v>
      </c>
      <c r="K61" s="310">
        <f>IF(parameters!$B$33="B",'consumption scenario B'!K54,IF(parameters!$B$33="C",'consumption scenario C'!K54,'consumption scenario A'!K54))</f>
        <v>2.7873614816477388E-4</v>
      </c>
      <c r="L61" s="310">
        <f>IF(parameters!$B$33="B",'consumption scenario B'!L54,IF(parameters!$B$33="C",'consumption scenario C'!L54,'consumption scenario A'!L54))</f>
        <v>3.1085721642753989E-4</v>
      </c>
      <c r="M61" s="310">
        <f>IF(parameters!$B$33="B",'consumption scenario B'!M54,IF(parameters!$B$33="C",'consumption scenario C'!M54,'consumption scenario A'!M54))</f>
        <v>2.8109797684145719E-3</v>
      </c>
      <c r="N61" s="310">
        <f>IF(parameters!$B$33="B",'consumption scenario B'!N54,IF(parameters!$B$33="C",'consumption scenario C'!N54,'consumption scenario A'!N54))</f>
        <v>2.7782797493708204E-3</v>
      </c>
      <c r="O61" s="310">
        <f>IF(parameters!$B$33="B",'consumption scenario B'!O54,IF(parameters!$B$33="C",'consumption scenario C'!O54,'consumption scenario A'!O54))</f>
        <v>3.2613596405735596E-3</v>
      </c>
      <c r="P61" s="310">
        <f>IF(parameters!$B$33="B",'consumption scenario B'!P54,IF(parameters!$B$33="C",'consumption scenario C'!P54,'consumption scenario A'!P54))</f>
        <v>3.7353758893549837E-3</v>
      </c>
      <c r="Q61" s="310">
        <f>IF(parameters!$B$33="B",'consumption scenario B'!Q54,IF(parameters!$B$33="C",'consumption scenario C'!Q54,'consumption scenario A'!Q54))</f>
        <v>3.9873767797913304E-3</v>
      </c>
      <c r="R61" s="310">
        <f>IF(parameters!$B$33="B",'consumption scenario B'!R54,IF(parameters!$B$33="C",'consumption scenario C'!R54,'consumption scenario A'!R54))</f>
        <v>6.162609061529622E-3</v>
      </c>
      <c r="S61" s="310">
        <f>IF(parameters!$B$33="B",'consumption scenario B'!S54,IF(parameters!$B$33="C",'consumption scenario C'!S54,'consumption scenario A'!S54))</f>
        <v>5.6111655539353936E-3</v>
      </c>
      <c r="T61" s="310">
        <f>IF(parameters!$B$33="B",'consumption scenario B'!T54,IF(parameters!$B$33="C",'consumption scenario C'!T54,'consumption scenario A'!T54))</f>
        <v>5.8310165469494029E-3</v>
      </c>
      <c r="U61" s="310">
        <f>IF(parameters!$B$33="B",'consumption scenario B'!U54,IF(parameters!$B$33="C",'consumption scenario C'!U54,'consumption scenario A'!U54))</f>
        <v>6.0697819358708494E-3</v>
      </c>
      <c r="V61" s="310">
        <f>IF(parameters!$B$33="B",'consumption scenario B'!V54,IF(parameters!$B$33="C",'consumption scenario C'!V54,'consumption scenario A'!V54))</f>
        <v>6.1356481459301912E-3</v>
      </c>
      <c r="W61" s="310">
        <f>IF(parameters!$B$33="B",'consumption scenario B'!W54,IF(parameters!$B$33="C",'consumption scenario C'!W54,'consumption scenario A'!W54))</f>
        <v>6.4374997327654717E-3</v>
      </c>
      <c r="X61" s="310">
        <f>IF(parameters!$B$33="B",'consumption scenario B'!X54,IF(parameters!$B$33="C",'consumption scenario C'!X54,'consumption scenario A'!X54))</f>
        <v>6.9922724304224085E-3</v>
      </c>
      <c r="Y61" s="310">
        <f>IF(parameters!$B$33="B",'consumption scenario B'!Y54,IF(parameters!$B$33="C",'consumption scenario C'!Y54,'consumption scenario A'!Y54))</f>
        <v>7.292417865845985E-3</v>
      </c>
      <c r="Z61" s="310">
        <f>IF(parameters!$B$33="B",'consumption scenario B'!Z54,IF(parameters!$B$33="C",'consumption scenario C'!Z54,'consumption scenario A'!Z54))</f>
        <v>7.4350799292542697E-3</v>
      </c>
      <c r="AA61" s="310">
        <f>IF(parameters!$B$33="B",'consumption scenario B'!AA54,IF(parameters!$B$33="C",'consumption scenario C'!AA54,'consumption scenario A'!AA54))</f>
        <v>7.9156574971497272E-3</v>
      </c>
      <c r="AB61" s="310">
        <f>IF(parameters!$B$33="B",'consumption scenario B'!AB54,IF(parameters!$B$33="C",'consumption scenario C'!AB54,'consumption scenario A'!AB54))</f>
        <v>8.3014393023021962E-3</v>
      </c>
      <c r="AC61" s="310">
        <f>IF(parameters!$B$33="B",'consumption scenario B'!AC54,IF(parameters!$B$33="C",'consumption scenario C'!AC54,'consumption scenario A'!AC54))</f>
        <v>8.6149108877910836E-3</v>
      </c>
      <c r="AD61" s="310">
        <f>IF(parameters!$B$33="B",'consumption scenario B'!AD54,IF(parameters!$B$33="C",'consumption scenario C'!AD54,'consumption scenario A'!AD54))</f>
        <v>8.8661104939151882E-3</v>
      </c>
      <c r="AE61" s="310">
        <f>IF(parameters!$B$33="B",'consumption scenario B'!AE54,IF(parameters!$B$33="C",'consumption scenario C'!AE54,'consumption scenario A'!AE54))</f>
        <v>9.1907149834065879E-3</v>
      </c>
      <c r="AF61" s="310">
        <f>IF(parameters!$B$33="B",'consumption scenario B'!AF54,IF(parameters!$B$33="C",'consumption scenario C'!AF54,'consumption scenario A'!AF54))</f>
        <v>9.9382750439225148E-3</v>
      </c>
      <c r="AG61" s="310">
        <f>IF(parameters!$B$33="B",'consumption scenario B'!AG54,IF(parameters!$B$33="C",'consumption scenario C'!AG54,'consumption scenario A'!AG54))</f>
        <v>1.0358661216563803E-2</v>
      </c>
      <c r="AH61" s="310">
        <f>IF(parameters!$B$33="B",'consumption scenario B'!AH54,IF(parameters!$B$33="C",'consumption scenario C'!AH54,'consumption scenario A'!AH54))</f>
        <v>1.0724771808746416E-2</v>
      </c>
      <c r="AI61" s="310">
        <f>IF(parameters!$B$33="B",'consumption scenario B'!AI54,IF(parameters!$B$33="C",'consumption scenario C'!AI54,'consumption scenario A'!AI54))</f>
        <v>1.1128409960827371E-2</v>
      </c>
      <c r="AJ61" s="310">
        <f>IF(parameters!$B$33="B",'consumption scenario B'!AJ54,IF(parameters!$B$33="C",'consumption scenario C'!AJ54,'consumption scenario A'!AJ54))</f>
        <v>1.1558906194807211E-2</v>
      </c>
      <c r="AK61" s="310">
        <f>IF(parameters!$B$33="B",'consumption scenario B'!AK54,IF(parameters!$B$33="C",'consumption scenario C'!AK54,'consumption scenario A'!AK54))</f>
        <v>1.19199301025595E-2</v>
      </c>
      <c r="AL61" s="310">
        <f>IF(parameters!$B$33="B",'consumption scenario B'!AL54,IF(parameters!$B$33="C",'consumption scenario C'!AL54,'consumption scenario A'!AL54))</f>
        <v>1.233206559697741E-2</v>
      </c>
      <c r="AM61" s="310">
        <f>IF(parameters!$B$33="B",'consumption scenario B'!AM54,IF(parameters!$B$33="C",'consumption scenario C'!AM54,'consumption scenario A'!AM54))</f>
        <v>1.2866671014301181E-2</v>
      </c>
      <c r="AN61" s="310">
        <f>IF(parameters!$B$33="B",'consumption scenario B'!AN54,IF(parameters!$B$33="C",'consumption scenario C'!AN54,'consumption scenario A'!AN54))</f>
        <v>1.2919523492207418E-2</v>
      </c>
      <c r="AO61" s="310">
        <f>IF(parameters!$B$33="B",'consumption scenario B'!AO54,IF(parameters!$B$33="C",'consumption scenario C'!AO54,'consumption scenario A'!AO54))</f>
        <v>1.3339938192352704E-2</v>
      </c>
      <c r="AP61" s="310">
        <f>IF(parameters!$B$33="B",'consumption scenario B'!AP54,IF(parameters!$B$33="C",'consumption scenario C'!AP54,'consumption scenario A'!AP54))</f>
        <v>1.3631490659160635E-2</v>
      </c>
      <c r="AQ61" s="310">
        <f>IF(parameters!$B$33="B",'consumption scenario B'!AQ54,IF(parameters!$B$33="C",'consumption scenario C'!AQ54,'consumption scenario A'!AQ54))</f>
        <v>1.3979569296306841E-2</v>
      </c>
      <c r="AR61" s="310">
        <f>IF(parameters!$B$33="B",'consumption scenario B'!AR54,IF(parameters!$B$33="C",'consumption scenario C'!AR54,'consumption scenario A'!AR54))</f>
        <v>1.4239951029345709E-2</v>
      </c>
      <c r="AS61" s="310">
        <f>IF(parameters!$B$33="B",'consumption scenario B'!AS54,IF(parameters!$B$33="C",'consumption scenario C'!AS54,'consumption scenario A'!AS54))</f>
        <v>1.4432717500580842E-2</v>
      </c>
      <c r="AT61" s="310">
        <f>IF(parameters!$B$33="B",'consumption scenario B'!AT54,IF(parameters!$B$33="C",'consumption scenario C'!AT54,'consumption scenario A'!AT54))</f>
        <v>1.4607491701328232E-2</v>
      </c>
      <c r="AU61" s="310">
        <f>IF(parameters!$B$33="B",'consumption scenario B'!AU54,IF(parameters!$B$33="C",'consumption scenario C'!AU54,'consumption scenario A'!AU54))</f>
        <v>1.4883361188456906E-2</v>
      </c>
    </row>
    <row r="62" spans="1:47" s="230" customFormat="1">
      <c r="A62" s="130" t="s">
        <v>70</v>
      </c>
      <c r="B62" s="310">
        <f>IF(parameters!$B$33="B",'consumption scenario B'!B55,IF(parameters!$B$33="C",'consumption scenario C'!B55,'consumption scenario A'!B55))</f>
        <v>0</v>
      </c>
      <c r="C62" s="310">
        <f>IF(parameters!$B$33="B",'consumption scenario B'!C55,IF(parameters!$B$33="C",'consumption scenario C'!C55,'consumption scenario A'!C55))</f>
        <v>0</v>
      </c>
      <c r="D62" s="310">
        <f>IF(parameters!$B$33="B",'consumption scenario B'!D55,IF(parameters!$B$33="C",'consumption scenario C'!D55,'consumption scenario A'!D55))</f>
        <v>0</v>
      </c>
      <c r="E62" s="310">
        <f>IF(parameters!$B$33="B",'consumption scenario B'!E55,IF(parameters!$B$33="C",'consumption scenario C'!E55,'consumption scenario A'!E55))</f>
        <v>0</v>
      </c>
      <c r="F62" s="310">
        <f>IF(parameters!$B$33="B",'consumption scenario B'!F55,IF(parameters!$B$33="C",'consumption scenario C'!F55,'consumption scenario A'!F55))</f>
        <v>0</v>
      </c>
      <c r="G62" s="310">
        <f>IF(parameters!$B$33="B",'consumption scenario B'!G55,IF(parameters!$B$33="C",'consumption scenario C'!G55,'consumption scenario A'!G55))</f>
        <v>0</v>
      </c>
      <c r="H62" s="310">
        <f>IF(parameters!$B$33="B",'consumption scenario B'!H55,IF(parameters!$B$33="C",'consumption scenario C'!H55,'consumption scenario A'!H55))</f>
        <v>0</v>
      </c>
      <c r="I62" s="310">
        <f>IF(parameters!$B$33="B",'consumption scenario B'!I55,IF(parameters!$B$33="C",'consumption scenario C'!I55,'consumption scenario A'!I55))</f>
        <v>0</v>
      </c>
      <c r="J62" s="310">
        <f>IF(parameters!$B$33="B",'consumption scenario B'!J55,IF(parameters!$B$33="C",'consumption scenario C'!J55,'consumption scenario A'!J55))</f>
        <v>0</v>
      </c>
      <c r="K62" s="310">
        <f>IF(parameters!$B$33="B",'consumption scenario B'!K55,IF(parameters!$B$33="C",'consumption scenario C'!K55,'consumption scenario A'!K55))</f>
        <v>1.8448666842129239E-7</v>
      </c>
      <c r="L62" s="310">
        <f>IF(parameters!$B$33="B",'consumption scenario B'!L55,IF(parameters!$B$33="C",'consumption scenario C'!L55,'consumption scenario A'!L55))</f>
        <v>8.5188571894768807E-6</v>
      </c>
      <c r="M62" s="310">
        <f>IF(parameters!$B$33="B",'consumption scenario B'!M55,IF(parameters!$B$33="C",'consumption scenario C'!M55,'consumption scenario A'!M55))</f>
        <v>1.4293632923886712E-5</v>
      </c>
      <c r="N62" s="310">
        <f>IF(parameters!$B$33="B",'consumption scenario B'!N55,IF(parameters!$B$33="C",'consumption scenario C'!N55,'consumption scenario A'!N55))</f>
        <v>1.4185013268816159E-5</v>
      </c>
      <c r="O62" s="310">
        <f>IF(parameters!$B$33="B",'consumption scenario B'!O55,IF(parameters!$B$33="C",'consumption scenario C'!O55,'consumption scenario A'!O55))</f>
        <v>2.9356823768875926E-5</v>
      </c>
      <c r="P62" s="310">
        <f>IF(parameters!$B$33="B",'consumption scenario B'!P55,IF(parameters!$B$33="C",'consumption scenario C'!P55,'consumption scenario A'!P55))</f>
        <v>5.0407656587276031E-5</v>
      </c>
      <c r="Q62" s="310">
        <f>IF(parameters!$B$33="B",'consumption scenario B'!Q55,IF(parameters!$B$33="C",'consumption scenario C'!Q55,'consumption scenario A'!Q55))</f>
        <v>7.9345436863558668E-5</v>
      </c>
      <c r="R62" s="310">
        <f>IF(parameters!$B$33="B",'consumption scenario B'!R55,IF(parameters!$B$33="C",'consumption scenario C'!R55,'consumption scenario A'!R55))</f>
        <v>1.2386381645327737E-4</v>
      </c>
      <c r="S62" s="310">
        <f>IF(parameters!$B$33="B",'consumption scenario B'!S55,IF(parameters!$B$33="C",'consumption scenario C'!S55,'consumption scenario A'!S55))</f>
        <v>1.8111951121604756E-4</v>
      </c>
      <c r="T62" s="310">
        <f>IF(parameters!$B$33="B",'consumption scenario B'!T55,IF(parameters!$B$33="C",'consumption scenario C'!T55,'consumption scenario A'!T55))</f>
        <v>2.3373988219327352E-4</v>
      </c>
      <c r="U62" s="310">
        <f>IF(parameters!$B$33="B",'consumption scenario B'!U55,IF(parameters!$B$33="C",'consumption scenario C'!U55,'consumption scenario A'!U55))</f>
        <v>2.8416668765723994E-4</v>
      </c>
      <c r="V62" s="310">
        <f>IF(parameters!$B$33="B",'consumption scenario B'!V55,IF(parameters!$B$33="C",'consumption scenario C'!V55,'consumption scenario A'!V55))</f>
        <v>3.3299243323328529E-4</v>
      </c>
      <c r="W62" s="310">
        <f>IF(parameters!$B$33="B",'consumption scenario B'!W55,IF(parameters!$B$33="C",'consumption scenario C'!W55,'consumption scenario A'!W55))</f>
        <v>3.8115045375704102E-4</v>
      </c>
      <c r="X62" s="310">
        <f>IF(parameters!$B$33="B",'consumption scenario B'!X55,IF(parameters!$B$33="C",'consumption scenario C'!X55,'consumption scenario A'!X55))</f>
        <v>4.2474034376904546E-4</v>
      </c>
      <c r="Y62" s="310">
        <f>IF(parameters!$B$33="B",'consumption scenario B'!Y55,IF(parameters!$B$33="C",'consumption scenario C'!Y55,'consumption scenario A'!Y55))</f>
        <v>4.6189651661751829E-4</v>
      </c>
      <c r="Z62" s="310">
        <f>IF(parameters!$B$33="B",'consumption scenario B'!Z55,IF(parameters!$B$33="C",'consumption scenario C'!Z55,'consumption scenario A'!Z55))</f>
        <v>4.9579609943867155E-4</v>
      </c>
      <c r="AA62" s="310">
        <f>IF(parameters!$B$33="B",'consumption scenario B'!AA55,IF(parameters!$B$33="C",'consumption scenario C'!AA55,'consumption scenario A'!AA55))</f>
        <v>5.2636443162641861E-4</v>
      </c>
      <c r="AB62" s="310">
        <f>IF(parameters!$B$33="B",'consumption scenario B'!AB55,IF(parameters!$B$33="C",'consumption scenario C'!AB55,'consumption scenario A'!AB55))</f>
        <v>5.535951580285445E-4</v>
      </c>
      <c r="AC62" s="310">
        <f>IF(parameters!$B$33="B",'consumption scenario B'!AC55,IF(parameters!$B$33="C",'consumption scenario C'!AC55,'consumption scenario A'!AC55))</f>
        <v>5.7411988555796766E-4</v>
      </c>
      <c r="AD62" s="310">
        <f>IF(parameters!$B$33="B",'consumption scenario B'!AD55,IF(parameters!$B$33="C",'consumption scenario C'!AD55,'consumption scenario A'!AD55))</f>
        <v>5.8951693589678433E-4</v>
      </c>
      <c r="AE62" s="310">
        <f>IF(parameters!$B$33="B",'consumption scenario B'!AE55,IF(parameters!$B$33="C",'consumption scenario C'!AE55,'consumption scenario A'!AE55))</f>
        <v>6.033442137558969E-4</v>
      </c>
      <c r="AF62" s="310">
        <f>IF(parameters!$B$33="B",'consumption scenario B'!AF55,IF(parameters!$B$33="C",'consumption scenario C'!AF55,'consumption scenario A'!AF55))</f>
        <v>6.1515823654994693E-4</v>
      </c>
      <c r="AG62" s="310">
        <f>IF(parameters!$B$33="B",'consumption scenario B'!AG55,IF(parameters!$B$33="C",'consumption scenario C'!AG55,'consumption scenario A'!AG55))</f>
        <v>6.3351573593142102E-4</v>
      </c>
      <c r="AH62" s="310">
        <f>IF(parameters!$B$33="B",'consumption scenario B'!AH55,IF(parameters!$B$33="C",'consumption scenario C'!AH55,'consumption scenario A'!AH55))</f>
        <v>6.4998143665167196E-4</v>
      </c>
      <c r="AI62" s="310">
        <f>IF(parameters!$B$33="B",'consumption scenario B'!AI55,IF(parameters!$B$33="C",'consumption scenario C'!AI55,'consumption scenario A'!AI55))</f>
        <v>6.658129946360016E-4</v>
      </c>
      <c r="AJ62" s="310">
        <f>IF(parameters!$B$33="B",'consumption scenario B'!AJ55,IF(parameters!$B$33="C",'consumption scenario C'!AJ55,'consumption scenario A'!AJ55))</f>
        <v>6.8157396898205333E-4</v>
      </c>
      <c r="AK62" s="310">
        <f>IF(parameters!$B$33="B",'consumption scenario B'!AK55,IF(parameters!$B$33="C",'consumption scenario C'!AK55,'consumption scenario A'!AK55))</f>
        <v>6.9786507255199814E-4</v>
      </c>
      <c r="AL62" s="310">
        <f>IF(parameters!$B$33="B",'consumption scenario B'!AL55,IF(parameters!$B$33="C",'consumption scenario C'!AL55,'consumption scenario A'!AL55))</f>
        <v>7.1280082206587618E-4</v>
      </c>
      <c r="AM62" s="310">
        <f>IF(parameters!$B$33="B",'consumption scenario B'!AM55,IF(parameters!$B$33="C",'consumption scenario C'!AM55,'consumption scenario A'!AM55))</f>
        <v>7.2673125382376723E-4</v>
      </c>
      <c r="AN62" s="310">
        <f>IF(parameters!$B$33="B",'consumption scenario B'!AN55,IF(parameters!$B$33="C",'consumption scenario C'!AN55,'consumption scenario A'!AN55))</f>
        <v>7.4026513366181007E-4</v>
      </c>
      <c r="AO62" s="310">
        <f>IF(parameters!$B$33="B",'consumption scenario B'!AO55,IF(parameters!$B$33="C",'consumption scenario C'!AO55,'consumption scenario A'!AO55))</f>
        <v>7.5402648336232226E-4</v>
      </c>
      <c r="AP62" s="310">
        <f>IF(parameters!$B$33="B",'consumption scenario B'!AP55,IF(parameters!$B$33="C",'consumption scenario C'!AP55,'consumption scenario A'!AP55))</f>
        <v>7.6771768728378653E-4</v>
      </c>
      <c r="AQ62" s="310">
        <f>IF(parameters!$B$33="B",'consumption scenario B'!AQ55,IF(parameters!$B$33="C",'consumption scenario C'!AQ55,'consumption scenario A'!AQ55))</f>
        <v>7.8182221089138828E-4</v>
      </c>
      <c r="AR62" s="310">
        <f>IF(parameters!$B$33="B",'consumption scenario B'!AR55,IF(parameters!$B$33="C",'consumption scenario C'!AR55,'consumption scenario A'!AR55))</f>
        <v>7.9663733938925628E-4</v>
      </c>
      <c r="AS62" s="310">
        <f>IF(parameters!$B$33="B",'consumption scenario B'!AS55,IF(parameters!$B$33="C",'consumption scenario C'!AS55,'consumption scenario A'!AS55))</f>
        <v>8.1279004451246498E-4</v>
      </c>
      <c r="AT62" s="310">
        <f>IF(parameters!$B$33="B",'consumption scenario B'!AT55,IF(parameters!$B$33="C",'consumption scenario C'!AT55,'consumption scenario A'!AT55))</f>
        <v>8.3009500360448931E-4</v>
      </c>
      <c r="AU62" s="310">
        <f>IF(parameters!$B$33="B",'consumption scenario B'!AU55,IF(parameters!$B$33="C",'consumption scenario C'!AU55,'consumption scenario A'!AU55))</f>
        <v>8.4853702549097393E-4</v>
      </c>
    </row>
    <row r="63" spans="1:47" s="230" customFormat="1">
      <c r="A63" s="130" t="s">
        <v>25</v>
      </c>
      <c r="B63" s="518">
        <f>IF(parameters!$B$33="B",'consumption scenario B'!B56,IF(parameters!$B$33="C",'consumption scenario C'!B56,'consumption scenario A'!B56))</f>
        <v>5.6235595390524971E-6</v>
      </c>
      <c r="C63" s="518">
        <f>IF(parameters!$B$33="B",'consumption scenario B'!C56,IF(parameters!$B$33="C",'consumption scenario C'!C56,'consumption scenario A'!C56))</f>
        <v>3.8583013230900555E-6</v>
      </c>
      <c r="D63" s="518">
        <f>IF(parameters!$B$33="B",'consumption scenario B'!D56,IF(parameters!$B$33="C",'consumption scenario C'!D56,'consumption scenario A'!D56))</f>
        <v>5.2343149807938542E-6</v>
      </c>
      <c r="E63" s="518">
        <f>IF(parameters!$B$33="B",'consumption scenario B'!E56,IF(parameters!$B$33="C",'consumption scenario C'!E56,'consumption scenario A'!E56))</f>
        <v>5.3367477592829711E-6</v>
      </c>
      <c r="F63" s="518">
        <f>IF(parameters!$B$33="B",'consumption scenario B'!F56,IF(parameters!$B$33="C",'consumption scenario C'!F56,'consumption scenario A'!F56))</f>
        <v>8.9594536918480589E-6</v>
      </c>
      <c r="G63" s="518">
        <f>IF(parameters!$B$33="B",'consumption scenario B'!G56,IF(parameters!$B$33="C",'consumption scenario C'!G56,'consumption scenario A'!G56))</f>
        <v>2.3726845924029026E-5</v>
      </c>
      <c r="H63" s="518">
        <f>IF(parameters!$B$33="B",'consumption scenario B'!H56,IF(parameters!$B$33="C",'consumption scenario C'!H56,'consumption scenario A'!H56))</f>
        <v>2.4184379001280413E-5</v>
      </c>
      <c r="I63" s="518">
        <f>IF(parameters!$B$33="B",'consumption scenario B'!I56,IF(parameters!$B$33="C",'consumption scenario C'!I56,'consumption scenario A'!I56))</f>
        <v>2.3805377720870681E-5</v>
      </c>
      <c r="J63" s="518">
        <f>IF(parameters!$B$33="B",'consumption scenario B'!J56,IF(parameters!$B$33="C",'consumption scenario C'!J56,'consumption scenario A'!J56))</f>
        <v>2.0285104566794706E-5</v>
      </c>
      <c r="K63" s="518">
        <f>IF(parameters!$B$33="B",'consumption scenario B'!K56,IF(parameters!$B$33="C",'consumption scenario C'!K56,'consumption scenario A'!K56))</f>
        <v>2.9627144686299617E-4</v>
      </c>
      <c r="L63" s="518">
        <f>IF(parameters!$B$33="B",'consumption scenario B'!L56,IF(parameters!$B$33="C",'consumption scenario C'!L56,'consumption scenario A'!L56))</f>
        <v>8.2851045667947082E-5</v>
      </c>
      <c r="M63" s="518">
        <f>IF(parameters!$B$33="B",'consumption scenario B'!M56,IF(parameters!$B$33="C",'consumption scenario C'!M56,'consumption scenario A'!M56))</f>
        <v>1.2069133589415281E-4</v>
      </c>
      <c r="N63" s="518">
        <f>IF(parameters!$B$33="B",'consumption scenario B'!N56,IF(parameters!$B$33="C",'consumption scenario C'!N56,'consumption scenario A'!N56))</f>
        <v>3.2084489970123775E-4</v>
      </c>
      <c r="O63" s="518">
        <f>IF(parameters!$B$33="B",'consumption scenario B'!O56,IF(parameters!$B$33="C",'consumption scenario C'!O56,'consumption scenario A'!O56))</f>
        <v>6.4775868544600943E-4</v>
      </c>
      <c r="P63" s="518">
        <f>IF(parameters!$B$33="B",'consumption scenario B'!P56,IF(parameters!$B$33="C",'consumption scenario C'!P56,'consumption scenario A'!P56))</f>
        <v>1.1288348271446863E-3</v>
      </c>
      <c r="Q63" s="518">
        <f>IF(parameters!$B$33="B",'consumption scenario B'!Q56,IF(parameters!$B$33="C",'consumption scenario C'!Q56,'consumption scenario A'!Q56))</f>
        <v>1.4242055484421682E-3</v>
      </c>
      <c r="R63" s="518">
        <f>IF(parameters!$B$33="B",'consumption scenario B'!R56,IF(parameters!$B$33="C",'consumption scenario C'!R56,'consumption scenario A'!R56))</f>
        <v>1.7494842509603072E-3</v>
      </c>
      <c r="S63" s="518">
        <f>IF(parameters!$B$33="B",'consumption scenario B'!S56,IF(parameters!$B$33="C",'consumption scenario C'!S56,'consumption scenario A'!S56))</f>
        <v>2.0987107127614169E-3</v>
      </c>
      <c r="T63" s="518">
        <f>IF(parameters!$B$33="B",'consumption scenario B'!T56,IF(parameters!$B$33="C",'consumption scenario C'!T56,'consumption scenario A'!T56))</f>
        <v>2.468246180110969E-3</v>
      </c>
      <c r="U63" s="518">
        <f>IF(parameters!$B$33="B",'consumption scenario B'!U56,IF(parameters!$B$33="C",'consumption scenario C'!U56,'consumption scenario A'!U56))</f>
        <v>2.8554704225352114E-3</v>
      </c>
      <c r="V63" s="518">
        <f>IF(parameters!$B$33="B",'consumption scenario B'!V56,IF(parameters!$B$33="C",'consumption scenario C'!V56,'consumption scenario A'!V56))</f>
        <v>3.2612732394366197E-3</v>
      </c>
      <c r="W63" s="518">
        <f>IF(parameters!$B$33="B",'consumption scenario B'!W56,IF(parameters!$B$33="C",'consumption scenario C'!W56,'consumption scenario A'!W56))</f>
        <v>3.6836431924882631E-3</v>
      </c>
      <c r="X63" s="518">
        <f>IF(parameters!$B$33="B",'consumption scenario B'!X56,IF(parameters!$B$33="C",'consumption scenario C'!X56,'consumption scenario A'!X56))</f>
        <v>4.1007153222364498E-3</v>
      </c>
      <c r="Y63" s="518">
        <f>IF(parameters!$B$33="B",'consumption scenario B'!Y56,IF(parameters!$B$33="C",'consumption scenario C'!Y56,'consumption scenario A'!Y56))</f>
        <v>4.5081075544174138E-3</v>
      </c>
      <c r="Z63" s="518">
        <f>IF(parameters!$B$33="B",'consumption scenario B'!Z56,IF(parameters!$B$33="C",'consumption scenario C'!Z56,'consumption scenario A'!Z56))</f>
        <v>4.9006675202731536E-3</v>
      </c>
      <c r="AA63" s="518">
        <f>IF(parameters!$B$33="B",'consumption scenario B'!AA56,IF(parameters!$B$33="C",'consumption scenario C'!AA56,'consumption scenario A'!AA56))</f>
        <v>5.2743320529236026E-3</v>
      </c>
      <c r="AB63" s="518">
        <f>IF(parameters!$B$33="B",'consumption scenario B'!AB56,IF(parameters!$B$33="C",'consumption scenario C'!AB56,'consumption scenario A'!AB56))</f>
        <v>5.567743918053778E-3</v>
      </c>
      <c r="AC63" s="518">
        <f>IF(parameters!$B$33="B",'consumption scenario B'!AC56,IF(parameters!$B$33="C",'consumption scenario C'!AC56,'consumption scenario A'!AC56))</f>
        <v>5.8514246692274868E-3</v>
      </c>
      <c r="AD63" s="518">
        <f>IF(parameters!$B$33="B",'consumption scenario B'!AD56,IF(parameters!$B$33="C",'consumption scenario C'!AD56,'consumption scenario A'!AD56))</f>
        <v>6.0934221084080241E-3</v>
      </c>
      <c r="AE63" s="518">
        <f>IF(parameters!$B$33="B",'consumption scenario B'!AE56,IF(parameters!$B$33="C",'consumption scenario C'!AE56,'consumption scenario A'!AE56))</f>
        <v>6.3314622279129328E-3</v>
      </c>
      <c r="AF63" s="518">
        <f>IF(parameters!$B$33="B",'consumption scenario B'!AF56,IF(parameters!$B$33="C",'consumption scenario C'!AF56,'consumption scenario A'!AF56))</f>
        <v>6.4979496372172428E-3</v>
      </c>
      <c r="AG63" s="518">
        <f>IF(parameters!$B$33="B",'consumption scenario B'!AG56,IF(parameters!$B$33="C",'consumption scenario C'!AG56,'consumption scenario A'!AG56))</f>
        <v>6.8011797979797822E-3</v>
      </c>
      <c r="AH63" s="518">
        <f>IF(parameters!$B$33="B",'consumption scenario B'!AH56,IF(parameters!$B$33="C",'consumption scenario C'!AH56,'consumption scenario A'!AH56))</f>
        <v>7.048358091986247E-3</v>
      </c>
      <c r="AI63" s="518">
        <f>IF(parameters!$B$33="B",'consumption scenario B'!AI56,IF(parameters!$B$33="C",'consumption scenario C'!AI56,'consumption scenario A'!AI56))</f>
        <v>7.2955363859927127E-3</v>
      </c>
      <c r="AJ63" s="518">
        <f>IF(parameters!$B$33="B",'consumption scenario B'!AJ56,IF(parameters!$B$33="C",'consumption scenario C'!AJ56,'consumption scenario A'!AJ56))</f>
        <v>7.5427146799991775E-3</v>
      </c>
      <c r="AK63" s="518">
        <f>IF(parameters!$B$33="B",'consumption scenario B'!AK56,IF(parameters!$B$33="C",'consumption scenario C'!AK56,'consumption scenario A'!AK56))</f>
        <v>7.7898929740056423E-3</v>
      </c>
      <c r="AL63" s="518">
        <f>IF(parameters!$B$33="B",'consumption scenario B'!AL56,IF(parameters!$B$33="C",'consumption scenario C'!AL56,'consumption scenario A'!AL56))</f>
        <v>8.0370712680121071E-3</v>
      </c>
      <c r="AM63" s="518">
        <f>IF(parameters!$B$33="B",'consumption scenario B'!AM56,IF(parameters!$B$33="C",'consumption scenario C'!AM56,'consumption scenario A'!AM56))</f>
        <v>8.284249562018571E-3</v>
      </c>
      <c r="AN63" s="518">
        <f>IF(parameters!$B$33="B",'consumption scenario B'!AN56,IF(parameters!$B$33="C",'consumption scenario C'!AN56,'consumption scenario A'!AN56))</f>
        <v>8.5314278560250367E-3</v>
      </c>
      <c r="AO63" s="518">
        <f>IF(parameters!$B$33="B",'consumption scenario B'!AO56,IF(parameters!$B$33="C",'consumption scenario C'!AO56,'consumption scenario A'!AO56))</f>
        <v>8.7786061500315007E-3</v>
      </c>
      <c r="AP63" s="518">
        <f>IF(parameters!$B$33="B",'consumption scenario B'!AP56,IF(parameters!$B$33="C",'consumption scenario C'!AP56,'consumption scenario A'!AP56))</f>
        <v>9.0257844440379664E-3</v>
      </c>
      <c r="AQ63" s="518">
        <f>IF(parameters!$B$33="B",'consumption scenario B'!AQ56,IF(parameters!$B$33="C",'consumption scenario C'!AQ56,'consumption scenario A'!AQ56))</f>
        <v>9.272962738044432E-3</v>
      </c>
      <c r="AR63" s="518">
        <f>IF(parameters!$B$33="B",'consumption scenario B'!AR56,IF(parameters!$B$33="C",'consumption scenario C'!AR56,'consumption scenario A'!AR56))</f>
        <v>9.520141032050896E-3</v>
      </c>
      <c r="AS63" s="518">
        <f>IF(parameters!$B$33="B",'consumption scenario B'!AS56,IF(parameters!$B$33="C",'consumption scenario C'!AS56,'consumption scenario A'!AS56))</f>
        <v>9.7673193260573599E-3</v>
      </c>
      <c r="AT63" s="518">
        <f>IF(parameters!$B$33="B",'consumption scenario B'!AT56,IF(parameters!$B$33="C",'consumption scenario C'!AT56,'consumption scenario A'!AT56))</f>
        <v>1.0014497620063824E-2</v>
      </c>
      <c r="AU63" s="518">
        <f>IF(parameters!$B$33="B",'consumption scenario B'!AU56,IF(parameters!$B$33="C",'consumption scenario C'!AU56,'consumption scenario A'!AU56))</f>
        <v>1.026167591407029E-2</v>
      </c>
    </row>
    <row r="64" spans="1:47" s="230" customFormat="1">
      <c r="A64" s="130" t="s">
        <v>26</v>
      </c>
      <c r="B64" s="310">
        <f t="shared" ref="B64:AK64" si="7">SUM(B53:B63)</f>
        <v>0.61186596720163267</v>
      </c>
      <c r="C64" s="310">
        <f t="shared" si="7"/>
        <v>0.63962090295458207</v>
      </c>
      <c r="D64" s="310">
        <f t="shared" si="7"/>
        <v>0.67057831860956996</v>
      </c>
      <c r="E64" s="310">
        <f t="shared" si="7"/>
        <v>0.64153183709285577</v>
      </c>
      <c r="F64" s="310">
        <f t="shared" si="7"/>
        <v>0.6096894716379716</v>
      </c>
      <c r="G64" s="310">
        <f t="shared" si="7"/>
        <v>0.59331441167723875</v>
      </c>
      <c r="H64" s="310">
        <f t="shared" si="7"/>
        <v>0.59141637971561212</v>
      </c>
      <c r="I64" s="310">
        <f t="shared" si="7"/>
        <v>0.60986139130486461</v>
      </c>
      <c r="J64" s="310">
        <f t="shared" si="7"/>
        <v>0.59749002659678796</v>
      </c>
      <c r="K64" s="310">
        <f t="shared" si="7"/>
        <v>0.58574301446403509</v>
      </c>
      <c r="L64" s="310">
        <f t="shared" si="7"/>
        <v>0.62542006927243821</v>
      </c>
      <c r="M64" s="310">
        <f t="shared" si="7"/>
        <v>0.6883623938390212</v>
      </c>
      <c r="N64" s="310">
        <f t="shared" si="7"/>
        <v>0.60909242881582537</v>
      </c>
      <c r="O64" s="310">
        <f t="shared" si="7"/>
        <v>0.61045097245994906</v>
      </c>
      <c r="P64" s="310">
        <f t="shared" si="7"/>
        <v>0.61992565100690089</v>
      </c>
      <c r="Q64" s="310">
        <f t="shared" si="7"/>
        <v>0.60367788079968865</v>
      </c>
      <c r="R64" s="310">
        <f t="shared" si="7"/>
        <v>0.60930035102904501</v>
      </c>
      <c r="S64" s="310">
        <f t="shared" si="7"/>
        <v>0.61508612556509668</v>
      </c>
      <c r="T64" s="310">
        <f t="shared" si="7"/>
        <v>0.61332934922484261</v>
      </c>
      <c r="U64" s="310">
        <f t="shared" si="7"/>
        <v>0.61235426386281433</v>
      </c>
      <c r="V64" s="310">
        <f t="shared" si="7"/>
        <v>0.61028395152840431</v>
      </c>
      <c r="W64" s="310">
        <f t="shared" si="7"/>
        <v>0.60625221241514837</v>
      </c>
      <c r="X64" s="310">
        <f t="shared" si="7"/>
        <v>0.6026635718922474</v>
      </c>
      <c r="Y64" s="310">
        <f t="shared" si="7"/>
        <v>0.59988315980147799</v>
      </c>
      <c r="Z64" s="310">
        <f t="shared" si="7"/>
        <v>0.59769783422166745</v>
      </c>
      <c r="AA64" s="310">
        <f t="shared" si="7"/>
        <v>0.59396206600649371</v>
      </c>
      <c r="AB64" s="310">
        <f t="shared" si="7"/>
        <v>0.59135611715093783</v>
      </c>
      <c r="AC64" s="310">
        <f t="shared" si="7"/>
        <v>0.58915451077271408</v>
      </c>
      <c r="AD64" s="310">
        <f t="shared" si="7"/>
        <v>0.58688655852280913</v>
      </c>
      <c r="AE64" s="310">
        <f t="shared" si="7"/>
        <v>0.58534633643305589</v>
      </c>
      <c r="AF64" s="310">
        <f t="shared" si="7"/>
        <v>0.58233716401161473</v>
      </c>
      <c r="AG64" s="310">
        <f t="shared" si="7"/>
        <v>0.58236084224836293</v>
      </c>
      <c r="AH64" s="310">
        <f t="shared" si="7"/>
        <v>0.58245766623105411</v>
      </c>
      <c r="AI64" s="310">
        <f t="shared" si="7"/>
        <v>0.58356678480476309</v>
      </c>
      <c r="AJ64" s="310">
        <f t="shared" si="7"/>
        <v>0.58500407021653988</v>
      </c>
      <c r="AK64" s="310">
        <f t="shared" si="7"/>
        <v>0.58663410342388</v>
      </c>
      <c r="AL64" s="310">
        <f t="shared" ref="AL64:AU64" si="8">SUM(AL53:AL63)</f>
        <v>0.58855284594414359</v>
      </c>
      <c r="AM64" s="310">
        <f t="shared" si="8"/>
        <v>0.59002369198536442</v>
      </c>
      <c r="AN64" s="310">
        <f t="shared" si="8"/>
        <v>0.59302104568411584</v>
      </c>
      <c r="AO64" s="310">
        <f t="shared" si="8"/>
        <v>0.5940145095498649</v>
      </c>
      <c r="AP64" s="310">
        <f t="shared" si="8"/>
        <v>0.59632446548263651</v>
      </c>
      <c r="AQ64" s="310">
        <f t="shared" si="8"/>
        <v>0.59779627446752315</v>
      </c>
      <c r="AR64" s="310">
        <f t="shared" si="8"/>
        <v>0.59972795192673345</v>
      </c>
      <c r="AS64" s="310">
        <f t="shared" si="8"/>
        <v>0.60177757775386842</v>
      </c>
      <c r="AT64" s="310">
        <f t="shared" si="8"/>
        <v>0.6039633218350865</v>
      </c>
      <c r="AU64" s="310">
        <f t="shared" si="8"/>
        <v>0.6059642337071609</v>
      </c>
    </row>
    <row r="65" spans="1:47" s="5" customFormat="1">
      <c r="A65" s="377"/>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4"/>
      <c r="AI65" s="304"/>
      <c r="AJ65" s="304"/>
      <c r="AK65" s="304"/>
      <c r="AL65" s="304"/>
      <c r="AM65" s="304"/>
      <c r="AN65" s="304"/>
      <c r="AO65" s="304"/>
      <c r="AP65" s="304"/>
      <c r="AQ65" s="304"/>
      <c r="AR65" s="304"/>
      <c r="AS65" s="304"/>
      <c r="AT65" s="304"/>
      <c r="AU65" s="304"/>
    </row>
    <row r="66" spans="1:47" s="5" customFormat="1" ht="13">
      <c r="A66" s="250" t="s">
        <v>416</v>
      </c>
      <c r="B66" s="380"/>
      <c r="C66" s="380"/>
      <c r="D66" s="380"/>
      <c r="E66" s="380"/>
      <c r="F66" s="380"/>
      <c r="G66" s="380"/>
      <c r="H66" s="380"/>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1"/>
    </row>
    <row r="67" spans="1:47" s="377" customFormat="1" ht="12.9" customHeight="1">
      <c r="A67" s="253" t="s">
        <v>6</v>
      </c>
      <c r="B67" s="253">
        <v>2005</v>
      </c>
      <c r="C67" s="253">
        <v>2006</v>
      </c>
      <c r="D67" s="253">
        <v>2007</v>
      </c>
      <c r="E67" s="253">
        <v>2008</v>
      </c>
      <c r="F67" s="253">
        <v>2009</v>
      </c>
      <c r="G67" s="253">
        <v>2010</v>
      </c>
      <c r="H67" s="253">
        <v>2011</v>
      </c>
      <c r="I67" s="253">
        <v>2012</v>
      </c>
      <c r="J67" s="253">
        <v>2013</v>
      </c>
      <c r="K67" s="253">
        <v>2014</v>
      </c>
      <c r="L67" s="253">
        <v>2015</v>
      </c>
      <c r="M67" s="253">
        <v>2016</v>
      </c>
      <c r="N67" s="253">
        <v>2017</v>
      </c>
      <c r="O67" s="253">
        <v>2018</v>
      </c>
      <c r="P67" s="253">
        <v>2019</v>
      </c>
      <c r="Q67" s="253">
        <v>2020</v>
      </c>
      <c r="R67" s="253">
        <v>2021</v>
      </c>
      <c r="S67" s="253">
        <v>2022</v>
      </c>
      <c r="T67" s="253">
        <v>2023</v>
      </c>
      <c r="U67" s="253">
        <v>2024</v>
      </c>
      <c r="V67" s="253">
        <v>2025</v>
      </c>
      <c r="W67" s="253">
        <v>2026</v>
      </c>
      <c r="X67" s="253">
        <v>2027</v>
      </c>
      <c r="Y67" s="253">
        <v>2028</v>
      </c>
      <c r="Z67" s="253">
        <v>2029</v>
      </c>
      <c r="AA67" s="253">
        <v>2030</v>
      </c>
      <c r="AB67" s="253">
        <v>2031</v>
      </c>
      <c r="AC67" s="253">
        <v>2032</v>
      </c>
      <c r="AD67" s="253">
        <v>2033</v>
      </c>
      <c r="AE67" s="253">
        <v>2034</v>
      </c>
      <c r="AF67" s="253">
        <v>2035</v>
      </c>
      <c r="AG67" s="253">
        <v>2036</v>
      </c>
      <c r="AH67" s="253">
        <v>2037</v>
      </c>
      <c r="AI67" s="253">
        <v>2038</v>
      </c>
      <c r="AJ67" s="253">
        <v>2039</v>
      </c>
      <c r="AK67" s="253">
        <v>2040</v>
      </c>
      <c r="AL67" s="253">
        <v>2041</v>
      </c>
      <c r="AM67" s="253">
        <v>2042</v>
      </c>
      <c r="AN67" s="253">
        <v>2043</v>
      </c>
      <c r="AO67" s="253">
        <v>2044</v>
      </c>
      <c r="AP67" s="253">
        <v>2045</v>
      </c>
      <c r="AQ67" s="253">
        <v>2046</v>
      </c>
      <c r="AR67" s="253">
        <v>2047</v>
      </c>
      <c r="AS67" s="253">
        <v>2048</v>
      </c>
      <c r="AT67" s="253">
        <v>2049</v>
      </c>
      <c r="AU67" s="253">
        <v>2050</v>
      </c>
    </row>
    <row r="68" spans="1:47" s="230" customFormat="1">
      <c r="A68" s="384"/>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row>
    <row r="69" spans="1:47" s="230" customFormat="1">
      <c r="A69" s="384" t="s">
        <v>409</v>
      </c>
      <c r="B69" s="310">
        <f t="shared" ref="B69:AU69" si="9">B13+B26+B48+B63</f>
        <v>0.28467062355953904</v>
      </c>
      <c r="C69" s="310">
        <f t="shared" si="9"/>
        <v>0.29015185830132306</v>
      </c>
      <c r="D69" s="310">
        <f t="shared" si="9"/>
        <v>0.29257823431498076</v>
      </c>
      <c r="E69" s="310">
        <f t="shared" si="9"/>
        <v>0.29800333674775925</v>
      </c>
      <c r="F69" s="310">
        <f t="shared" si="9"/>
        <v>0.30781395945369183</v>
      </c>
      <c r="G69" s="310">
        <f t="shared" si="9"/>
        <v>0.30840372684592404</v>
      </c>
      <c r="H69" s="310">
        <f t="shared" si="9"/>
        <v>0.31981818437900128</v>
      </c>
      <c r="I69" s="310">
        <f t="shared" si="9"/>
        <v>0.31506580537772089</v>
      </c>
      <c r="J69" s="310">
        <f t="shared" si="9"/>
        <v>0.31691628510456676</v>
      </c>
      <c r="K69" s="310">
        <f t="shared" si="9"/>
        <v>0.31466527144686302</v>
      </c>
      <c r="L69" s="310">
        <f t="shared" si="9"/>
        <v>0.30754085104566797</v>
      </c>
      <c r="M69" s="310">
        <f t="shared" si="9"/>
        <v>0.30337669133589412</v>
      </c>
      <c r="N69" s="310">
        <f t="shared" si="9"/>
        <v>0.30863517653617417</v>
      </c>
      <c r="O69" s="310">
        <f t="shared" si="9"/>
        <v>0.30585663633648486</v>
      </c>
      <c r="P69" s="310">
        <f t="shared" si="9"/>
        <v>0.30205822264127702</v>
      </c>
      <c r="Q69" s="310">
        <f t="shared" si="9"/>
        <v>0.29961273463444821</v>
      </c>
      <c r="R69" s="310">
        <f t="shared" si="9"/>
        <v>0.29730729750256601</v>
      </c>
      <c r="S69" s="310">
        <f t="shared" si="9"/>
        <v>0.29493961982437561</v>
      </c>
      <c r="T69" s="310">
        <f t="shared" si="9"/>
        <v>0.29257811611118739</v>
      </c>
      <c r="U69" s="310">
        <f t="shared" si="9"/>
        <v>0.29022460830068803</v>
      </c>
      <c r="V69" s="310">
        <f t="shared" si="9"/>
        <v>0.28815215281626638</v>
      </c>
      <c r="W69" s="310">
        <f t="shared" si="9"/>
        <v>0.28621517424178916</v>
      </c>
      <c r="X69" s="310">
        <f t="shared" si="9"/>
        <v>0.28463166045604438</v>
      </c>
      <c r="Y69" s="310">
        <f t="shared" si="9"/>
        <v>0.28357682101942472</v>
      </c>
      <c r="Z69" s="310">
        <f t="shared" si="9"/>
        <v>0.2840305316468254</v>
      </c>
      <c r="AA69" s="310">
        <f t="shared" si="9"/>
        <v>0.28626306293150316</v>
      </c>
      <c r="AB69" s="310">
        <f t="shared" si="9"/>
        <v>0.28817032063530174</v>
      </c>
      <c r="AC69" s="310">
        <f t="shared" si="9"/>
        <v>0.29116937381498598</v>
      </c>
      <c r="AD69" s="310">
        <f t="shared" si="9"/>
        <v>0.29432204133525908</v>
      </c>
      <c r="AE69" s="310">
        <f t="shared" si="9"/>
        <v>0.29762295264554506</v>
      </c>
      <c r="AF69" s="310">
        <f t="shared" si="9"/>
        <v>0.30111226856530598</v>
      </c>
      <c r="AG69" s="310">
        <f t="shared" si="9"/>
        <v>0.30368566249331819</v>
      </c>
      <c r="AH69" s="310">
        <f t="shared" si="9"/>
        <v>0.30670727939960452</v>
      </c>
      <c r="AI69" s="310">
        <f t="shared" si="9"/>
        <v>0.30972889630589123</v>
      </c>
      <c r="AJ69" s="310">
        <f t="shared" si="9"/>
        <v>0.31275051321217712</v>
      </c>
      <c r="AK69" s="310">
        <f t="shared" si="9"/>
        <v>0.31577213011846333</v>
      </c>
      <c r="AL69" s="310">
        <f t="shared" si="9"/>
        <v>0.31879374702474927</v>
      </c>
      <c r="AM69" s="310">
        <f t="shared" si="9"/>
        <v>0.32181536393103555</v>
      </c>
      <c r="AN69" s="310">
        <f t="shared" si="9"/>
        <v>0.32483698083732182</v>
      </c>
      <c r="AO69" s="310">
        <f t="shared" si="9"/>
        <v>0.32785859774360776</v>
      </c>
      <c r="AP69" s="310">
        <f t="shared" si="9"/>
        <v>0.33088021464989442</v>
      </c>
      <c r="AQ69" s="310">
        <f t="shared" si="9"/>
        <v>0.33390183155618075</v>
      </c>
      <c r="AR69" s="310">
        <f t="shared" si="9"/>
        <v>0.33692344846246669</v>
      </c>
      <c r="AS69" s="310">
        <f t="shared" si="9"/>
        <v>0.33994506536875291</v>
      </c>
      <c r="AT69" s="310">
        <f t="shared" si="9"/>
        <v>0.34296668227503929</v>
      </c>
      <c r="AU69" s="310">
        <f t="shared" si="9"/>
        <v>0.34598829918132512</v>
      </c>
    </row>
    <row r="70" spans="1:47" s="230" customFormat="1">
      <c r="A70" s="130"/>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row>
    <row r="71" spans="1:47" s="230" customFormat="1">
      <c r="A71" s="130" t="s">
        <v>870</v>
      </c>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row>
    <row r="72" spans="1:47" s="230" customFormat="1">
      <c r="A72" s="383" t="s">
        <v>352</v>
      </c>
      <c r="B72" s="308">
        <f>IF(parameters!$B$33="B",'consumption scenario B'!B59,IF(parameters!$B$33="C",'consumption scenario C'!B59,'consumption scenario A'!B59))</f>
        <v>0.17707664852868418</v>
      </c>
      <c r="C72" s="308">
        <f>IF(parameters!$B$33="B",'consumption scenario B'!C59,IF(parameters!$B$33="C",'consumption scenario C'!C59,'consumption scenario A'!C59))</f>
        <v>0.16294122913948395</v>
      </c>
      <c r="D72" s="308">
        <f>IF(parameters!$B$33="B",'consumption scenario B'!D59,IF(parameters!$B$33="C",'consumption scenario C'!D59,'consumption scenario A'!D59))</f>
        <v>0.16837681974754837</v>
      </c>
      <c r="E72" s="308">
        <f>IF(parameters!$B$33="B",'consumption scenario B'!E59,IF(parameters!$B$33="C",'consumption scenario C'!E59,'consumption scenario A'!E59))</f>
        <v>0.16853914684150373</v>
      </c>
      <c r="F72" s="308">
        <f>IF(parameters!$B$33="B",'consumption scenario B'!F59,IF(parameters!$B$33="C",'consumption scenario C'!F59,'consumption scenario A'!F59))</f>
        <v>0.1650957382302197</v>
      </c>
      <c r="G72" s="308">
        <f>IF(parameters!$B$33="B",'consumption scenario B'!G59,IF(parameters!$B$33="C",'consumption scenario C'!G59,'consumption scenario A'!G59))</f>
        <v>0.1801941786271056</v>
      </c>
      <c r="H72" s="308">
        <f>IF(parameters!$B$33="B",'consumption scenario B'!H59,IF(parameters!$B$33="C",'consumption scenario C'!H59,'consumption scenario A'!H59))</f>
        <v>0.14159989334378195</v>
      </c>
      <c r="I72" s="308">
        <f>IF(parameters!$B$33="B",'consumption scenario B'!I59,IF(parameters!$B$33="C",'consumption scenario C'!I59,'consumption scenario A'!I59))</f>
        <v>0.13384734537709814</v>
      </c>
      <c r="J72" s="308">
        <f>IF(parameters!$B$33="B",'consumption scenario B'!J59,IF(parameters!$B$33="C",'consumption scenario C'!J59,'consumption scenario A'!J59))</f>
        <v>0.147774079401124</v>
      </c>
      <c r="K72" s="308">
        <f>IF(parameters!$B$33="B",'consumption scenario B'!K59,IF(parameters!$B$33="C",'consumption scenario C'!K59,'consumption scenario A'!K59))</f>
        <v>0.14582134568044081</v>
      </c>
      <c r="L72" s="308">
        <f>IF(parameters!$B$33="B",'consumption scenario B'!L59,IF(parameters!$B$33="C",'consumption scenario C'!L59,'consumption scenario A'!L59))</f>
        <v>0.15126427946266485</v>
      </c>
      <c r="M72" s="308">
        <f>IF(parameters!$B$33="B",'consumption scenario B'!M59,IF(parameters!$B$33="C",'consumption scenario C'!M59,'consumption scenario A'!M59))</f>
        <v>0.1380687655730129</v>
      </c>
      <c r="N72" s="308">
        <f>IF(parameters!$B$33="B",'consumption scenario B'!N59,IF(parameters!$B$33="C",'consumption scenario C'!N59,'consumption scenario A'!N59))</f>
        <v>0.11607775898525645</v>
      </c>
      <c r="O72" s="308">
        <f>IF(parameters!$B$33="B",'consumption scenario B'!O59,IF(parameters!$B$33="C",'consumption scenario C'!O59,'consumption scenario A'!O59))</f>
        <v>0.12373124811838079</v>
      </c>
      <c r="P72" s="308">
        <f>IF(parameters!$B$33="B",'consumption scenario B'!P59,IF(parameters!$B$33="C",'consumption scenario C'!P59,'consumption scenario A'!P59))</f>
        <v>0.1192672481183808</v>
      </c>
      <c r="Q72" s="308">
        <f>IF(parameters!$B$33="B",'consumption scenario B'!Q59,IF(parameters!$B$33="C",'consumption scenario C'!Q59,'consumption scenario A'!Q59))</f>
        <v>0.1148032481183808</v>
      </c>
      <c r="R72" s="308">
        <f>IF(parameters!$B$33="B",'consumption scenario B'!R59,IF(parameters!$B$33="C",'consumption scenario C'!R59,'consumption scenario A'!R59))</f>
        <v>9.9406228176310119E-2</v>
      </c>
      <c r="S72" s="308">
        <f>IF(parameters!$B$33="B",'consumption scenario B'!S59,IF(parameters!$B$33="C",'consumption scenario C'!S59,'consumption scenario A'!S59))</f>
        <v>9.9406228176310119E-2</v>
      </c>
      <c r="T72" s="308">
        <f>IF(parameters!$B$33="B",'consumption scenario B'!T59,IF(parameters!$B$33="C",'consumption scenario C'!T59,'consumption scenario A'!T59))</f>
        <v>7.7950756462839027E-2</v>
      </c>
      <c r="U72" s="308">
        <f>IF(parameters!$B$33="B",'consumption scenario B'!U59,IF(parameters!$B$33="C",'consumption scenario C'!U59,'consumption scenario A'!U59))</f>
        <v>6.8348227041470977E-2</v>
      </c>
      <c r="V72" s="308">
        <f>IF(parameters!$B$33="B",'consumption scenario B'!V59,IF(parameters!$B$33="C",'consumption scenario C'!V59,'consumption scenario A'!V59))</f>
        <v>6.8348227041470977E-2</v>
      </c>
      <c r="W72" s="308">
        <f>IF(parameters!$B$33="B",'consumption scenario B'!W59,IF(parameters!$B$33="C",'consumption scenario C'!W59,'consumption scenario A'!W59))</f>
        <v>5.2630435850607171E-2</v>
      </c>
      <c r="X72" s="308">
        <f>IF(parameters!$B$33="B",'consumption scenario B'!X59,IF(parameters!$B$33="C",'consumption scenario C'!X59,'consumption scenario A'!X59))</f>
        <v>5.2630435850607171E-2</v>
      </c>
      <c r="Y72" s="308">
        <f>IF(parameters!$B$33="B",'consumption scenario B'!Y59,IF(parameters!$B$33="C",'consumption scenario C'!Y59,'consumption scenario A'!Y59))</f>
        <v>5.2630435850607171E-2</v>
      </c>
      <c r="Z72" s="308">
        <f>IF(parameters!$B$33="B",'consumption scenario B'!Z59,IF(parameters!$B$33="C",'consumption scenario C'!Z59,'consumption scenario A'!Z59))</f>
        <v>4.285407234915542E-2</v>
      </c>
      <c r="AA72" s="308">
        <f>IF(parameters!$B$33="B",'consumption scenario B'!AA59,IF(parameters!$B$33="C",'consumption scenario C'!AA59,'consumption scenario A'!AA59))</f>
        <v>4.285407234915542E-2</v>
      </c>
      <c r="AB72" s="308">
        <f>IF(parameters!$B$33="B",'consumption scenario B'!AB59,IF(parameters!$B$33="C",'consumption scenario C'!AB59,'consumption scenario A'!AB59))</f>
        <v>4.285407234915542E-2</v>
      </c>
      <c r="AC72" s="308">
        <f>IF(parameters!$B$33="B",'consumption scenario B'!AC59,IF(parameters!$B$33="C",'consumption scenario C'!AC59,'consumption scenario A'!AC59))</f>
        <v>4.285407234915542E-2</v>
      </c>
      <c r="AD72" s="308">
        <f>IF(parameters!$B$33="B",'consumption scenario B'!AD59,IF(parameters!$B$33="C",'consumption scenario C'!AD59,'consumption scenario A'!AD59))</f>
        <v>4.285407234915542E-2</v>
      </c>
      <c r="AE72" s="308">
        <f>IF(parameters!$B$33="B",'consumption scenario B'!AE59,IF(parameters!$B$33="C",'consumption scenario C'!AE59,'consumption scenario A'!AE59))</f>
        <v>4.285407234915542E-2</v>
      </c>
      <c r="AF72" s="308">
        <f>IF(parameters!$B$33="B",'consumption scenario B'!AF59,IF(parameters!$B$33="C",'consumption scenario C'!AF59,'consumption scenario A'!AF59))</f>
        <v>4.285407234915542E-2</v>
      </c>
      <c r="AG72" s="308">
        <f>IF(parameters!$B$33="B",'consumption scenario B'!AG59,IF(parameters!$B$33="C",'consumption scenario C'!AG59,'consumption scenario A'!AG59))</f>
        <v>4.285407234915542E-2</v>
      </c>
      <c r="AH72" s="308">
        <f>IF(parameters!$B$33="B",'consumption scenario B'!AH59,IF(parameters!$B$33="C",'consumption scenario C'!AH59,'consumption scenario A'!AH59))</f>
        <v>4.285407234915542E-2</v>
      </c>
      <c r="AI72" s="308">
        <f>IF(parameters!$B$33="B",'consumption scenario B'!AI59,IF(parameters!$B$33="C",'consumption scenario C'!AI59,'consumption scenario A'!AI59))</f>
        <v>4.285407234915542E-2</v>
      </c>
      <c r="AJ72" s="308">
        <f>IF(parameters!$B$33="B",'consumption scenario B'!AJ59,IF(parameters!$B$33="C",'consumption scenario C'!AJ59,'consumption scenario A'!AJ59))</f>
        <v>4.285407234915542E-2</v>
      </c>
      <c r="AK72" s="308">
        <f>IF(parameters!$B$33="B",'consumption scenario B'!AK59,IF(parameters!$B$33="C",'consumption scenario C'!AK59,'consumption scenario A'!AK59))</f>
        <v>4.285407234915542E-2</v>
      </c>
      <c r="AL72" s="308">
        <f>IF(parameters!$B$33="B",'consumption scenario B'!AL59,IF(parameters!$B$33="C",'consumption scenario C'!AL59,'consumption scenario A'!AL59))</f>
        <v>4.285407234915542E-2</v>
      </c>
      <c r="AM72" s="308">
        <f>IF(parameters!$B$33="B",'consumption scenario B'!AM59,IF(parameters!$B$33="C",'consumption scenario C'!AM59,'consumption scenario A'!AM59))</f>
        <v>4.285407234915542E-2</v>
      </c>
      <c r="AN72" s="308">
        <f>IF(parameters!$B$33="B",'consumption scenario B'!AN59,IF(parameters!$B$33="C",'consumption scenario C'!AN59,'consumption scenario A'!AN59))</f>
        <v>4.285407234915542E-2</v>
      </c>
      <c r="AO72" s="308">
        <f>IF(parameters!$B$33="B",'consumption scenario B'!AO59,IF(parameters!$B$33="C",'consumption scenario C'!AO59,'consumption scenario A'!AO59))</f>
        <v>4.285407234915542E-2</v>
      </c>
      <c r="AP72" s="308">
        <f>IF(parameters!$B$33="B",'consumption scenario B'!AP59,IF(parameters!$B$33="C",'consumption scenario C'!AP59,'consumption scenario A'!AP59))</f>
        <v>4.285407234915542E-2</v>
      </c>
      <c r="AQ72" s="308">
        <f>IF(parameters!$B$33="B",'consumption scenario B'!AQ59,IF(parameters!$B$33="C",'consumption scenario C'!AQ59,'consumption scenario A'!AQ59))</f>
        <v>4.285407234915542E-2</v>
      </c>
      <c r="AR72" s="308">
        <f>IF(parameters!$B$33="B",'consumption scenario B'!AR59,IF(parameters!$B$33="C",'consumption scenario C'!AR59,'consumption scenario A'!AR59))</f>
        <v>4.285407234915542E-2</v>
      </c>
      <c r="AS72" s="308">
        <f>IF(parameters!$B$33="B",'consumption scenario B'!AS59,IF(parameters!$B$33="C",'consumption scenario C'!AS59,'consumption scenario A'!AS59))</f>
        <v>4.285407234915542E-2</v>
      </c>
      <c r="AT72" s="308">
        <f>IF(parameters!$B$33="B",'consumption scenario B'!AT59,IF(parameters!$B$33="C",'consumption scenario C'!AT59,'consumption scenario A'!AT59))</f>
        <v>4.285407234915542E-2</v>
      </c>
      <c r="AU72" s="308">
        <f>IF(parameters!$B$33="B",'consumption scenario B'!AU59,IF(parameters!$B$33="C",'consumption scenario C'!AU59,'consumption scenario A'!AU59))</f>
        <v>4.285407234915542E-2</v>
      </c>
    </row>
    <row r="73" spans="1:47" s="230" customFormat="1">
      <c r="A73" s="383" t="s">
        <v>393</v>
      </c>
      <c r="B73" s="308">
        <f>IF(parameters!$B$33="B",'consumption scenario B'!B60,IF(parameters!$B$33="C",'consumption scenario C'!B60,'consumption scenario A'!B60))</f>
        <v>6.3460039434900681E-2</v>
      </c>
      <c r="C73" s="308">
        <f>IF(parameters!$B$33="B",'consumption scenario B'!C60,IF(parameters!$B$33="C",'consumption scenario C'!C60,'consumption scenario A'!C60))</f>
        <v>5.2083846100893581E-2</v>
      </c>
      <c r="D73" s="308">
        <f>IF(parameters!$B$33="B",'consumption scenario B'!D60,IF(parameters!$B$33="C",'consumption scenario C'!D60,'consumption scenario A'!D60))</f>
        <v>7.1380310094665556E-2</v>
      </c>
      <c r="E73" s="308">
        <f>IF(parameters!$B$33="B",'consumption scenario B'!E60,IF(parameters!$B$33="C",'consumption scenario C'!E60,'consumption scenario A'!E60))</f>
        <v>8.2793252002603471E-2</v>
      </c>
      <c r="F73" s="308">
        <f>IF(parameters!$B$33="B",'consumption scenario B'!F60,IF(parameters!$B$33="C",'consumption scenario C'!F60,'consumption scenario A'!F60))</f>
        <v>0.11228449273090349</v>
      </c>
      <c r="G73" s="308">
        <f>IF(parameters!$B$33="B",'consumption scenario B'!G60,IF(parameters!$B$33="C",'consumption scenario C'!G60,'consumption scenario A'!G60))</f>
        <v>0.11831655880145736</v>
      </c>
      <c r="H73" s="308">
        <f>IF(parameters!$B$33="B",'consumption scenario B'!H60,IF(parameters!$B$33="C",'consumption scenario C'!H60,'consumption scenario A'!H60))</f>
        <v>6.2391137116694979E-2</v>
      </c>
      <c r="I73" s="308">
        <f>IF(parameters!$B$33="B",'consumption scenario B'!I60,IF(parameters!$B$33="C",'consumption scenario C'!I60,'consumption scenario A'!I60))</f>
        <v>7.6450212788032365E-2</v>
      </c>
      <c r="J73" s="308">
        <f>IF(parameters!$B$33="B",'consumption scenario B'!J60,IF(parameters!$B$33="C",'consumption scenario C'!J60,'consumption scenario A'!J60))</f>
        <v>0.11813893240177065</v>
      </c>
      <c r="K73" s="308">
        <f>IF(parameters!$B$33="B",'consumption scenario B'!K60,IF(parameters!$B$33="C",'consumption scenario C'!K60,'consumption scenario A'!K60))</f>
        <v>9.3812913829426164E-2</v>
      </c>
      <c r="L73" s="308">
        <f>IF(parameters!$B$33="B",'consumption scenario B'!L60,IF(parameters!$B$33="C",'consumption scenario C'!L60,'consumption scenario A'!L60))</f>
        <v>0.11767080130174574</v>
      </c>
      <c r="M73" s="308">
        <f>IF(parameters!$B$33="B",'consumption scenario B'!M60,IF(parameters!$B$33="C",'consumption scenario C'!M60,'consumption scenario A'!M60))</f>
        <v>0.10222464113641812</v>
      </c>
      <c r="N73" s="308">
        <f>IF(parameters!$B$33="B",'consumption scenario B'!N60,IF(parameters!$B$33="C",'consumption scenario C'!N60,'consumption scenario A'!N60))</f>
        <v>8.3741046001379604E-2</v>
      </c>
      <c r="O73" s="308">
        <f>IF(parameters!$B$33="B",'consumption scenario B'!O60,IF(parameters!$B$33="C",'consumption scenario C'!O60,'consumption scenario A'!O60))</f>
        <v>7.8418968293970492E-2</v>
      </c>
      <c r="P73" s="308">
        <f>IF(parameters!$B$33="B",'consumption scenario B'!P60,IF(parameters!$B$33="C",'consumption scenario C'!P60,'consumption scenario A'!P60))</f>
        <v>7.2280968293970502E-2</v>
      </c>
      <c r="Q73" s="308">
        <f>IF(parameters!$B$33="B",'consumption scenario B'!Q60,IF(parameters!$B$33="C",'consumption scenario C'!Q60,'consumption scenario A'!Q60))</f>
        <v>6.6142968293970497E-2</v>
      </c>
      <c r="R73" s="308">
        <f>IF(parameters!$B$33="B",'consumption scenario B'!R60,IF(parameters!$B$33="C",'consumption scenario C'!R60,'consumption scenario A'!R60))</f>
        <v>7.6648226691945806E-2</v>
      </c>
      <c r="S73" s="308">
        <f>IF(parameters!$B$33="B",'consumption scenario B'!S60,IF(parameters!$B$33="C",'consumption scenario C'!S60,'consumption scenario A'!S60))</f>
        <v>7.6648226691945806E-2</v>
      </c>
      <c r="T73" s="308">
        <f>IF(parameters!$B$33="B",'consumption scenario B'!T60,IF(parameters!$B$33="C",'consumption scenario C'!T60,'consumption scenario A'!T60))</f>
        <v>9.1287116246449529E-2</v>
      </c>
      <c r="U73" s="308">
        <f>IF(parameters!$B$33="B",'consumption scenario B'!U60,IF(parameters!$B$33="C",'consumption scenario C'!U60,'consumption scenario A'!U60))</f>
        <v>9.7786003511830893E-2</v>
      </c>
      <c r="V73" s="308">
        <f>IF(parameters!$B$33="B",'consumption scenario B'!V60,IF(parameters!$B$33="C",'consumption scenario C'!V60,'consumption scenario A'!V60))</f>
        <v>9.7786003511830893E-2</v>
      </c>
      <c r="W73" s="308">
        <f>IF(parameters!$B$33="B",'consumption scenario B'!W60,IF(parameters!$B$33="C",'consumption scenario C'!W60,'consumption scenario A'!W60))</f>
        <v>0.10785020144271565</v>
      </c>
      <c r="X73" s="308">
        <f>IF(parameters!$B$33="B",'consumption scenario B'!X60,IF(parameters!$B$33="C",'consumption scenario C'!X60,'consumption scenario A'!X60))</f>
        <v>0.10785020144271565</v>
      </c>
      <c r="Y73" s="308">
        <f>IF(parameters!$B$33="B",'consumption scenario B'!Y60,IF(parameters!$B$33="C",'consumption scenario C'!Y60,'consumption scenario A'!Y60))</f>
        <v>0.10785020144271565</v>
      </c>
      <c r="Z73" s="308">
        <f>IF(parameters!$B$33="B",'consumption scenario B'!Z60,IF(parameters!$B$33="C",'consumption scenario C'!Z60,'consumption scenario A'!Z60))</f>
        <v>0.11411006684798192</v>
      </c>
      <c r="AA73" s="308">
        <f>IF(parameters!$B$33="B",'consumption scenario B'!AA60,IF(parameters!$B$33="C",'consumption scenario C'!AA60,'consumption scenario A'!AA60))</f>
        <v>0.11411006684798192</v>
      </c>
      <c r="AB73" s="308">
        <f>IF(parameters!$B$33="B",'consumption scenario B'!AB60,IF(parameters!$B$33="C",'consumption scenario C'!AB60,'consumption scenario A'!AB60))</f>
        <v>0.11411006684798192</v>
      </c>
      <c r="AC73" s="308">
        <f>IF(parameters!$B$33="B",'consumption scenario B'!AC60,IF(parameters!$B$33="C",'consumption scenario C'!AC60,'consumption scenario A'!AC60))</f>
        <v>0.11411006684798192</v>
      </c>
      <c r="AD73" s="308">
        <f>IF(parameters!$B$33="B",'consumption scenario B'!AD60,IF(parameters!$B$33="C",'consumption scenario C'!AD60,'consumption scenario A'!AD60))</f>
        <v>0.11411006684798192</v>
      </c>
      <c r="AE73" s="308">
        <f>IF(parameters!$B$33="B",'consumption scenario B'!AE60,IF(parameters!$B$33="C",'consumption scenario C'!AE60,'consumption scenario A'!AE60))</f>
        <v>0.11411006684798192</v>
      </c>
      <c r="AF73" s="308">
        <f>IF(parameters!$B$33="B",'consumption scenario B'!AF60,IF(parameters!$B$33="C",'consumption scenario C'!AF60,'consumption scenario A'!AF60))</f>
        <v>0.11411006684798192</v>
      </c>
      <c r="AG73" s="308">
        <f>IF(parameters!$B$33="B",'consumption scenario B'!AG60,IF(parameters!$B$33="C",'consumption scenario C'!AG60,'consumption scenario A'!AG60))</f>
        <v>0.11411006684798192</v>
      </c>
      <c r="AH73" s="308">
        <f>IF(parameters!$B$33="B",'consumption scenario B'!AH60,IF(parameters!$B$33="C",'consumption scenario C'!AH60,'consumption scenario A'!AH60))</f>
        <v>0.11411006684798192</v>
      </c>
      <c r="AI73" s="308">
        <f>IF(parameters!$B$33="B",'consumption scenario B'!AI60,IF(parameters!$B$33="C",'consumption scenario C'!AI60,'consumption scenario A'!AI60))</f>
        <v>0.11411006684798192</v>
      </c>
      <c r="AJ73" s="308">
        <f>IF(parameters!$B$33="B",'consumption scenario B'!AJ60,IF(parameters!$B$33="C",'consumption scenario C'!AJ60,'consumption scenario A'!AJ60))</f>
        <v>0.11411006684798192</v>
      </c>
      <c r="AK73" s="308">
        <f>IF(parameters!$B$33="B",'consumption scenario B'!AK60,IF(parameters!$B$33="C",'consumption scenario C'!AK60,'consumption scenario A'!AK60))</f>
        <v>0.11411006684798192</v>
      </c>
      <c r="AL73" s="308">
        <f>IF(parameters!$B$33="B",'consumption scenario B'!AL60,IF(parameters!$B$33="C",'consumption scenario C'!AL60,'consumption scenario A'!AL60))</f>
        <v>0.11411006684798192</v>
      </c>
      <c r="AM73" s="308">
        <f>IF(parameters!$B$33="B",'consumption scenario B'!AM60,IF(parameters!$B$33="C",'consumption scenario C'!AM60,'consumption scenario A'!AM60))</f>
        <v>0.11411006684798192</v>
      </c>
      <c r="AN73" s="308">
        <f>IF(parameters!$B$33="B",'consumption scenario B'!AN60,IF(parameters!$B$33="C",'consumption scenario C'!AN60,'consumption scenario A'!AN60))</f>
        <v>0.11411006684798192</v>
      </c>
      <c r="AO73" s="308">
        <f>IF(parameters!$B$33="B",'consumption scenario B'!AO60,IF(parameters!$B$33="C",'consumption scenario C'!AO60,'consumption scenario A'!AO60))</f>
        <v>0.11411006684798192</v>
      </c>
      <c r="AP73" s="308">
        <f>IF(parameters!$B$33="B",'consumption scenario B'!AP60,IF(parameters!$B$33="C",'consumption scenario C'!AP60,'consumption scenario A'!AP60))</f>
        <v>0.11411006684798192</v>
      </c>
      <c r="AQ73" s="308">
        <f>IF(parameters!$B$33="B",'consumption scenario B'!AQ60,IF(parameters!$B$33="C",'consumption scenario C'!AQ60,'consumption scenario A'!AQ60))</f>
        <v>0.11411006684798192</v>
      </c>
      <c r="AR73" s="308">
        <f>IF(parameters!$B$33="B",'consumption scenario B'!AR60,IF(parameters!$B$33="C",'consumption scenario C'!AR60,'consumption scenario A'!AR60))</f>
        <v>0.11411006684798192</v>
      </c>
      <c r="AS73" s="308">
        <f>IF(parameters!$B$33="B",'consumption scenario B'!AS60,IF(parameters!$B$33="C",'consumption scenario C'!AS60,'consumption scenario A'!AS60))</f>
        <v>0.11411006684798192</v>
      </c>
      <c r="AT73" s="308">
        <f>IF(parameters!$B$33="B",'consumption scenario B'!AT60,IF(parameters!$B$33="C",'consumption scenario C'!AT60,'consumption scenario A'!AT60))</f>
        <v>0.11411006684798192</v>
      </c>
      <c r="AU73" s="308">
        <f>IF(parameters!$B$33="B",'consumption scenario B'!AU60,IF(parameters!$B$33="C",'consumption scenario C'!AU60,'consumption scenario A'!AU60))</f>
        <v>0.11411006684798192</v>
      </c>
    </row>
    <row r="74" spans="1:47" s="230" customFormat="1">
      <c r="A74" s="383" t="s">
        <v>394</v>
      </c>
      <c r="B74" s="308">
        <f>IF(parameters!$B$33="B",'consumption scenario B'!B61,IF(parameters!$B$33="C",'consumption scenario C'!B61,'consumption scenario A'!B61))</f>
        <v>3.1705263572331638E-2</v>
      </c>
      <c r="C74" s="308">
        <f>IF(parameters!$B$33="B",'consumption scenario B'!C61,IF(parameters!$B$33="C",'consumption scenario C'!C61,'consumption scenario A'!C61))</f>
        <v>3.1644319659083285E-2</v>
      </c>
      <c r="D74" s="308">
        <f>IF(parameters!$B$33="B",'consumption scenario B'!D61,IF(parameters!$B$33="C",'consumption scenario C'!D61,'consumption scenario A'!D61))</f>
        <v>2.443320621631288E-2</v>
      </c>
      <c r="E74" s="308">
        <f>IF(parameters!$B$33="B",'consumption scenario B'!E61,IF(parameters!$B$33="C",'consumption scenario C'!E61,'consumption scenario A'!E61))</f>
        <v>1.8331428718513114E-2</v>
      </c>
      <c r="F74" s="308">
        <f>IF(parameters!$B$33="B",'consumption scenario B'!F61,IF(parameters!$B$33="C",'consumption scenario C'!F61,'consumption scenario A'!F61))</f>
        <v>2.1010896514468837E-2</v>
      </c>
      <c r="G74" s="308">
        <f>IF(parameters!$B$33="B",'consumption scenario B'!G61,IF(parameters!$B$33="C",'consumption scenario C'!G61,'consumption scenario A'!G61))</f>
        <v>1.9557756702993961E-2</v>
      </c>
      <c r="H74" s="308">
        <f>IF(parameters!$B$33="B",'consumption scenario B'!H61,IF(parameters!$B$33="C",'consumption scenario C'!H61,'consumption scenario A'!H61))</f>
        <v>1.4478201728221231E-2</v>
      </c>
      <c r="I74" s="308">
        <f>IF(parameters!$B$33="B",'consumption scenario B'!I61,IF(parameters!$B$33="C",'consumption scenario C'!I61,'consumption scenario A'!I61))</f>
        <v>5.3683677687399733E-3</v>
      </c>
      <c r="J74" s="308">
        <f>IF(parameters!$B$33="B",'consumption scenario B'!J61,IF(parameters!$B$33="C",'consumption scenario C'!J61,'consumption scenario A'!J61))</f>
        <v>1.2336356954421038E-2</v>
      </c>
      <c r="K74" s="308">
        <f>IF(parameters!$B$33="B",'consumption scenario B'!K61,IF(parameters!$B$33="C",'consumption scenario C'!K61,'consumption scenario A'!K61))</f>
        <v>1.0333425362330442E-2</v>
      </c>
      <c r="L74" s="308">
        <f>IF(parameters!$B$33="B",'consumption scenario B'!L61,IF(parameters!$B$33="C",'consumption scenario C'!L61,'consumption scenario A'!L61))</f>
        <v>0</v>
      </c>
      <c r="M74" s="308">
        <f>IF(parameters!$B$33="B",'consumption scenario B'!M61,IF(parameters!$B$33="C",'consumption scenario C'!M61,'consumption scenario A'!M61))</f>
        <v>0</v>
      </c>
      <c r="N74" s="308">
        <f>IF(parameters!$B$33="B",'consumption scenario B'!N61,IF(parameters!$B$33="C",'consumption scenario C'!N61,'consumption scenario A'!N61))</f>
        <v>0</v>
      </c>
      <c r="O74" s="308">
        <f>IF(parameters!$B$33="B",'consumption scenario B'!O61,IF(parameters!$B$33="C",'consumption scenario C'!O61,'consumption scenario A'!O61))</f>
        <v>9.3810078819085256E-3</v>
      </c>
      <c r="P74" s="308">
        <f>IF(parameters!$B$33="B",'consumption scenario B'!P61,IF(parameters!$B$33="C",'consumption scenario C'!P61,'consumption scenario A'!P61))</f>
        <v>9.3810078819085256E-3</v>
      </c>
      <c r="Q74" s="308">
        <f>IF(parameters!$B$33="B",'consumption scenario B'!Q61,IF(parameters!$B$33="C",'consumption scenario C'!Q61,'consumption scenario A'!Q61))</f>
        <v>9.3810078819085256E-3</v>
      </c>
      <c r="R74" s="308">
        <f>IF(parameters!$B$33="B",'consumption scenario B'!R61,IF(parameters!$B$33="C",'consumption scenario C'!R61,'consumption scenario A'!R61))</f>
        <v>9.3810078819085256E-3</v>
      </c>
      <c r="S74" s="308">
        <f>IF(parameters!$B$33="B",'consumption scenario B'!S61,IF(parameters!$B$33="C",'consumption scenario C'!S61,'consumption scenario A'!S61))</f>
        <v>9.3810078819085256E-3</v>
      </c>
      <c r="T74" s="308">
        <f>IF(parameters!$B$33="B",'consumption scenario B'!T61,IF(parameters!$B$33="C",'consumption scenario C'!T61,'consumption scenario A'!T61))</f>
        <v>9.3810078819085256E-3</v>
      </c>
      <c r="U74" s="308">
        <f>IF(parameters!$B$33="B",'consumption scenario B'!U61,IF(parameters!$B$33="C",'consumption scenario C'!U61,'consumption scenario A'!U61))</f>
        <v>9.3810078819085256E-3</v>
      </c>
      <c r="V74" s="308">
        <f>IF(parameters!$B$33="B",'consumption scenario B'!V61,IF(parameters!$B$33="C",'consumption scenario C'!V61,'consumption scenario A'!V61))</f>
        <v>9.3810078819085256E-3</v>
      </c>
      <c r="W74" s="308">
        <f>IF(parameters!$B$33="B",'consumption scenario B'!W61,IF(parameters!$B$33="C",'consumption scenario C'!W61,'consumption scenario A'!W61))</f>
        <v>9.3810078819085256E-3</v>
      </c>
      <c r="X74" s="308">
        <f>IF(parameters!$B$33="B",'consumption scenario B'!X61,IF(parameters!$B$33="C",'consumption scenario C'!X61,'consumption scenario A'!X61))</f>
        <v>9.3810078819085256E-3</v>
      </c>
      <c r="Y74" s="308">
        <f>IF(parameters!$B$33="B",'consumption scenario B'!Y61,IF(parameters!$B$33="C",'consumption scenario C'!Y61,'consumption scenario A'!Y61))</f>
        <v>9.3810078819085256E-3</v>
      </c>
      <c r="Z74" s="308">
        <f>IF(parameters!$B$33="B",'consumption scenario B'!Z61,IF(parameters!$B$33="C",'consumption scenario C'!Z61,'consumption scenario A'!Z61))</f>
        <v>9.3810078819085256E-3</v>
      </c>
      <c r="AA74" s="308">
        <f>IF(parameters!$B$33="B",'consumption scenario B'!AA61,IF(parameters!$B$33="C",'consumption scenario C'!AA61,'consumption scenario A'!AA61))</f>
        <v>9.3810078819085256E-3</v>
      </c>
      <c r="AB74" s="308">
        <f>IF(parameters!$B$33="B",'consumption scenario B'!AB61,IF(parameters!$B$33="C",'consumption scenario C'!AB61,'consumption scenario A'!AB61))</f>
        <v>9.3810078819085256E-3</v>
      </c>
      <c r="AC74" s="308">
        <f>IF(parameters!$B$33="B",'consumption scenario B'!AC61,IF(parameters!$B$33="C",'consumption scenario C'!AC61,'consumption scenario A'!AC61))</f>
        <v>9.3810078819085256E-3</v>
      </c>
      <c r="AD74" s="308">
        <f>IF(parameters!$B$33="B",'consumption scenario B'!AD61,IF(parameters!$B$33="C",'consumption scenario C'!AD61,'consumption scenario A'!AD61))</f>
        <v>9.3810078819085256E-3</v>
      </c>
      <c r="AE74" s="308">
        <f>IF(parameters!$B$33="B",'consumption scenario B'!AE61,IF(parameters!$B$33="C",'consumption scenario C'!AE61,'consumption scenario A'!AE61))</f>
        <v>9.3810078819085256E-3</v>
      </c>
      <c r="AF74" s="308">
        <f>IF(parameters!$B$33="B",'consumption scenario B'!AF61,IF(parameters!$B$33="C",'consumption scenario C'!AF61,'consumption scenario A'!AF61))</f>
        <v>9.3810078819085256E-3</v>
      </c>
      <c r="AG74" s="308">
        <f>IF(parameters!$B$33="B",'consumption scenario B'!AG61,IF(parameters!$B$33="C",'consumption scenario C'!AG61,'consumption scenario A'!AG61))</f>
        <v>9.3810078819085256E-3</v>
      </c>
      <c r="AH74" s="308">
        <f>IF(parameters!$B$33="B",'consumption scenario B'!AH61,IF(parameters!$B$33="C",'consumption scenario C'!AH61,'consumption scenario A'!AH61))</f>
        <v>9.3810078819085256E-3</v>
      </c>
      <c r="AI74" s="308">
        <f>IF(parameters!$B$33="B",'consumption scenario B'!AI61,IF(parameters!$B$33="C",'consumption scenario C'!AI61,'consumption scenario A'!AI61))</f>
        <v>9.3810078819085256E-3</v>
      </c>
      <c r="AJ74" s="308">
        <f>IF(parameters!$B$33="B",'consumption scenario B'!AJ61,IF(parameters!$B$33="C",'consumption scenario C'!AJ61,'consumption scenario A'!AJ61))</f>
        <v>9.3810078819085256E-3</v>
      </c>
      <c r="AK74" s="308">
        <f>IF(parameters!$B$33="B",'consumption scenario B'!AK61,IF(parameters!$B$33="C",'consumption scenario C'!AK61,'consumption scenario A'!AK61))</f>
        <v>9.3810078819085256E-3</v>
      </c>
      <c r="AL74" s="308">
        <f>IF(parameters!$B$33="B",'consumption scenario B'!AL61,IF(parameters!$B$33="C",'consumption scenario C'!AL61,'consumption scenario A'!AL61))</f>
        <v>9.3810078819085256E-3</v>
      </c>
      <c r="AM74" s="308">
        <f>IF(parameters!$B$33="B",'consumption scenario B'!AM61,IF(parameters!$B$33="C",'consumption scenario C'!AM61,'consumption scenario A'!AM61))</f>
        <v>9.3810078819085256E-3</v>
      </c>
      <c r="AN74" s="308">
        <f>IF(parameters!$B$33="B",'consumption scenario B'!AN61,IF(parameters!$B$33="C",'consumption scenario C'!AN61,'consumption scenario A'!AN61))</f>
        <v>9.3810078819085256E-3</v>
      </c>
      <c r="AO74" s="308">
        <f>IF(parameters!$B$33="B",'consumption scenario B'!AO61,IF(parameters!$B$33="C",'consumption scenario C'!AO61,'consumption scenario A'!AO61))</f>
        <v>9.3810078819085256E-3</v>
      </c>
      <c r="AP74" s="308">
        <f>IF(parameters!$B$33="B",'consumption scenario B'!AP61,IF(parameters!$B$33="C",'consumption scenario C'!AP61,'consumption scenario A'!AP61))</f>
        <v>9.3810078819085256E-3</v>
      </c>
      <c r="AQ74" s="308">
        <f>IF(parameters!$B$33="B",'consumption scenario B'!AQ61,IF(parameters!$B$33="C",'consumption scenario C'!AQ61,'consumption scenario A'!AQ61))</f>
        <v>9.3810078819085256E-3</v>
      </c>
      <c r="AR74" s="308">
        <f>IF(parameters!$B$33="B",'consumption scenario B'!AR61,IF(parameters!$B$33="C",'consumption scenario C'!AR61,'consumption scenario A'!AR61))</f>
        <v>9.3810078819085256E-3</v>
      </c>
      <c r="AS74" s="308">
        <f>IF(parameters!$B$33="B",'consumption scenario B'!AS61,IF(parameters!$B$33="C",'consumption scenario C'!AS61,'consumption scenario A'!AS61))</f>
        <v>9.3810078819085256E-3</v>
      </c>
      <c r="AT74" s="308">
        <f>IF(parameters!$B$33="B",'consumption scenario B'!AT61,IF(parameters!$B$33="C",'consumption scenario C'!AT61,'consumption scenario A'!AT61))</f>
        <v>9.3810078819085256E-3</v>
      </c>
      <c r="AU74" s="308">
        <f>IF(parameters!$B$33="B",'consumption scenario B'!AU61,IF(parameters!$B$33="C",'consumption scenario C'!AU61,'consumption scenario A'!AU61))</f>
        <v>9.3810078819085256E-3</v>
      </c>
    </row>
    <row r="75" spans="1:47" s="230" customFormat="1">
      <c r="A75" s="383" t="s">
        <v>395</v>
      </c>
      <c r="B75" s="308">
        <f>IF(parameters!$B$33="B",'consumption scenario B'!B62,IF(parameters!$B$33="C",'consumption scenario C'!B62,'consumption scenario A'!B62))</f>
        <v>5.2709437643101535E-4</v>
      </c>
      <c r="C75" s="308">
        <f>IF(parameters!$B$33="B",'consumption scenario B'!C62,IF(parameters!$B$33="C",'consumption scenario C'!C62,'consumption scenario A'!C62))</f>
        <v>7.1182717775411812E-4</v>
      </c>
      <c r="D75" s="308">
        <f>IF(parameters!$B$33="B",'consumption scenario B'!D62,IF(parameters!$B$33="C",'consumption scenario C'!D62,'consumption scenario A'!D62))</f>
        <v>7.8450837860507443E-4</v>
      </c>
      <c r="E75" s="308">
        <f>IF(parameters!$B$33="B",'consumption scenario B'!E62,IF(parameters!$B$33="C",'consumption scenario C'!E62,'consumption scenario A'!E62))</f>
        <v>7.8398006222402583E-4</v>
      </c>
      <c r="F75" s="308">
        <f>IF(parameters!$B$33="B",'consumption scenario B'!F62,IF(parameters!$B$33="C",'consumption scenario C'!F62,'consumption scenario A'!F62))</f>
        <v>1.0617143960275869E-3</v>
      </c>
      <c r="G75" s="308">
        <f>IF(parameters!$B$33="B",'consumption scenario B'!G62,IF(parameters!$B$33="C",'consumption scenario C'!G62,'consumption scenario A'!G62))</f>
        <v>9.1900213334896103E-4</v>
      </c>
      <c r="H75" s="308">
        <f>IF(parameters!$B$33="B",'consumption scenario B'!H62,IF(parameters!$B$33="C",'consumption scenario C'!H62,'consumption scenario A'!H62))</f>
        <v>7.5230271045485266E-4</v>
      </c>
      <c r="I75" s="308">
        <f>IF(parameters!$B$33="B",'consumption scenario B'!I62,IF(parameters!$B$33="C",'consumption scenario C'!I62,'consumption scenario A'!I62))</f>
        <v>7.4555115730218745E-4</v>
      </c>
      <c r="J75" s="308">
        <f>IF(parameters!$B$33="B",'consumption scenario B'!J62,IF(parameters!$B$33="C",'consumption scenario C'!J62,'consumption scenario A'!J62))</f>
        <v>7.075488201951129E-4</v>
      </c>
      <c r="K75" s="308">
        <f>IF(parameters!$B$33="B",'consumption scenario B'!K62,IF(parameters!$B$33="C",'consumption scenario C'!K62,'consumption scenario A'!K62))</f>
        <v>6.5016534241318816E-4</v>
      </c>
      <c r="L75" s="308">
        <f>IF(parameters!$B$33="B",'consumption scenario B'!L62,IF(parameters!$B$33="C",'consumption scenario C'!L62,'consumption scenario A'!L62))</f>
        <v>5.333664907916666E-4</v>
      </c>
      <c r="M75" s="308">
        <f>IF(parameters!$B$33="B",'consumption scenario B'!M62,IF(parameters!$B$33="C",'consumption scenario C'!M62,'consumption scenario A'!M62))</f>
        <v>7.0767476992851508E-4</v>
      </c>
      <c r="N75" s="308">
        <f>IF(parameters!$B$33="B",'consumption scenario B'!N62,IF(parameters!$B$33="C",'consumption scenario C'!N62,'consumption scenario A'!N62))</f>
        <v>1.0979239385978455E-3</v>
      </c>
      <c r="O75" s="308">
        <f>IF(parameters!$B$33="B",'consumption scenario B'!O62,IF(parameters!$B$33="C",'consumption scenario C'!O62,'consumption scenario A'!O62))</f>
        <v>7.3996231116258489E-4</v>
      </c>
      <c r="P75" s="308">
        <f>IF(parameters!$B$33="B",'consumption scenario B'!P62,IF(parameters!$B$33="C",'consumption scenario C'!P62,'consumption scenario A'!P62))</f>
        <v>7.3996231116258489E-4</v>
      </c>
      <c r="Q75" s="308">
        <f>IF(parameters!$B$33="B",'consumption scenario B'!Q62,IF(parameters!$B$33="C",'consumption scenario C'!Q62,'consumption scenario A'!Q62))</f>
        <v>7.3996231116258489E-4</v>
      </c>
      <c r="R75" s="308">
        <f>IF(parameters!$B$33="B",'consumption scenario B'!R62,IF(parameters!$B$33="C",'consumption scenario C'!R62,'consumption scenario A'!R62))</f>
        <v>7.3996231116258489E-4</v>
      </c>
      <c r="S75" s="308">
        <f>IF(parameters!$B$33="B",'consumption scenario B'!S62,IF(parameters!$B$33="C",'consumption scenario C'!S62,'consumption scenario A'!S62))</f>
        <v>7.3996231116258489E-4</v>
      </c>
      <c r="T75" s="308">
        <f>IF(parameters!$B$33="B",'consumption scenario B'!T62,IF(parameters!$B$33="C",'consumption scenario C'!T62,'consumption scenario A'!T62))</f>
        <v>7.3996231116258489E-4</v>
      </c>
      <c r="U75" s="308">
        <f>IF(parameters!$B$33="B",'consumption scenario B'!U62,IF(parameters!$B$33="C",'consumption scenario C'!U62,'consumption scenario A'!U62))</f>
        <v>7.3996231116258489E-4</v>
      </c>
      <c r="V75" s="308">
        <f>IF(parameters!$B$33="B",'consumption scenario B'!V62,IF(parameters!$B$33="C",'consumption scenario C'!V62,'consumption scenario A'!V62))</f>
        <v>7.3996231116258489E-4</v>
      </c>
      <c r="W75" s="308">
        <f>IF(parameters!$B$33="B",'consumption scenario B'!W62,IF(parameters!$B$33="C",'consumption scenario C'!W62,'consumption scenario A'!W62))</f>
        <v>7.3996231116258489E-4</v>
      </c>
      <c r="X75" s="308">
        <f>IF(parameters!$B$33="B",'consumption scenario B'!X62,IF(parameters!$B$33="C",'consumption scenario C'!X62,'consumption scenario A'!X62))</f>
        <v>7.3996231116258489E-4</v>
      </c>
      <c r="Y75" s="308">
        <f>IF(parameters!$B$33="B",'consumption scenario B'!Y62,IF(parameters!$B$33="C",'consumption scenario C'!Y62,'consumption scenario A'!Y62))</f>
        <v>7.3996231116258489E-4</v>
      </c>
      <c r="Z75" s="308">
        <f>IF(parameters!$B$33="B",'consumption scenario B'!Z62,IF(parameters!$B$33="C",'consumption scenario C'!Z62,'consumption scenario A'!Z62))</f>
        <v>7.3996231116258489E-4</v>
      </c>
      <c r="AA75" s="308">
        <f>IF(parameters!$B$33="B",'consumption scenario B'!AA62,IF(parameters!$B$33="C",'consumption scenario C'!AA62,'consumption scenario A'!AA62))</f>
        <v>7.3996231116258489E-4</v>
      </c>
      <c r="AB75" s="308">
        <f>IF(parameters!$B$33="B",'consumption scenario B'!AB62,IF(parameters!$B$33="C",'consumption scenario C'!AB62,'consumption scenario A'!AB62))</f>
        <v>7.3996231116258489E-4</v>
      </c>
      <c r="AC75" s="308">
        <f>IF(parameters!$B$33="B",'consumption scenario B'!AC62,IF(parameters!$B$33="C",'consumption scenario C'!AC62,'consumption scenario A'!AC62))</f>
        <v>7.3996231116258489E-4</v>
      </c>
      <c r="AD75" s="308">
        <f>IF(parameters!$B$33="B",'consumption scenario B'!AD62,IF(parameters!$B$33="C",'consumption scenario C'!AD62,'consumption scenario A'!AD62))</f>
        <v>7.3996231116258489E-4</v>
      </c>
      <c r="AE75" s="308">
        <f>IF(parameters!$B$33="B",'consumption scenario B'!AE62,IF(parameters!$B$33="C",'consumption scenario C'!AE62,'consumption scenario A'!AE62))</f>
        <v>7.3996231116258489E-4</v>
      </c>
      <c r="AF75" s="308">
        <f>IF(parameters!$B$33="B",'consumption scenario B'!AF62,IF(parameters!$B$33="C",'consumption scenario C'!AF62,'consumption scenario A'!AF62))</f>
        <v>7.3996231116258489E-4</v>
      </c>
      <c r="AG75" s="308">
        <f>IF(parameters!$B$33="B",'consumption scenario B'!AG62,IF(parameters!$B$33="C",'consumption scenario C'!AG62,'consumption scenario A'!AG62))</f>
        <v>7.3996231116258489E-4</v>
      </c>
      <c r="AH75" s="308">
        <f>IF(parameters!$B$33="B",'consumption scenario B'!AH62,IF(parameters!$B$33="C",'consumption scenario C'!AH62,'consumption scenario A'!AH62))</f>
        <v>7.3996231116258489E-4</v>
      </c>
      <c r="AI75" s="308">
        <f>IF(parameters!$B$33="B",'consumption scenario B'!AI62,IF(parameters!$B$33="C",'consumption scenario C'!AI62,'consumption scenario A'!AI62))</f>
        <v>7.3996231116258489E-4</v>
      </c>
      <c r="AJ75" s="308">
        <f>IF(parameters!$B$33="B",'consumption scenario B'!AJ62,IF(parameters!$B$33="C",'consumption scenario C'!AJ62,'consumption scenario A'!AJ62))</f>
        <v>7.3996231116258489E-4</v>
      </c>
      <c r="AK75" s="308">
        <f>IF(parameters!$B$33="B",'consumption scenario B'!AK62,IF(parameters!$B$33="C",'consumption scenario C'!AK62,'consumption scenario A'!AK62))</f>
        <v>7.3996231116258489E-4</v>
      </c>
      <c r="AL75" s="308">
        <f>IF(parameters!$B$33="B",'consumption scenario B'!AL62,IF(parameters!$B$33="C",'consumption scenario C'!AL62,'consumption scenario A'!AL62))</f>
        <v>7.3996231116258489E-4</v>
      </c>
      <c r="AM75" s="308">
        <f>IF(parameters!$B$33="B",'consumption scenario B'!AM62,IF(parameters!$B$33="C",'consumption scenario C'!AM62,'consumption scenario A'!AM62))</f>
        <v>7.3996231116258489E-4</v>
      </c>
      <c r="AN75" s="308">
        <f>IF(parameters!$B$33="B",'consumption scenario B'!AN62,IF(parameters!$B$33="C",'consumption scenario C'!AN62,'consumption scenario A'!AN62))</f>
        <v>7.3996231116258489E-4</v>
      </c>
      <c r="AO75" s="308">
        <f>IF(parameters!$B$33="B",'consumption scenario B'!AO62,IF(parameters!$B$33="C",'consumption scenario C'!AO62,'consumption scenario A'!AO62))</f>
        <v>7.3996231116258489E-4</v>
      </c>
      <c r="AP75" s="308">
        <f>IF(parameters!$B$33="B",'consumption scenario B'!AP62,IF(parameters!$B$33="C",'consumption scenario C'!AP62,'consumption scenario A'!AP62))</f>
        <v>7.3996231116258489E-4</v>
      </c>
      <c r="AQ75" s="308">
        <f>IF(parameters!$B$33="B",'consumption scenario B'!AQ62,IF(parameters!$B$33="C",'consumption scenario C'!AQ62,'consumption scenario A'!AQ62))</f>
        <v>7.3996231116258489E-4</v>
      </c>
      <c r="AR75" s="308">
        <f>IF(parameters!$B$33="B",'consumption scenario B'!AR62,IF(parameters!$B$33="C",'consumption scenario C'!AR62,'consumption scenario A'!AR62))</f>
        <v>7.3996231116258489E-4</v>
      </c>
      <c r="AS75" s="308">
        <f>IF(parameters!$B$33="B",'consumption scenario B'!AS62,IF(parameters!$B$33="C",'consumption scenario C'!AS62,'consumption scenario A'!AS62))</f>
        <v>7.3996231116258489E-4</v>
      </c>
      <c r="AT75" s="308">
        <f>IF(parameters!$B$33="B",'consumption scenario B'!AT62,IF(parameters!$B$33="C",'consumption scenario C'!AT62,'consumption scenario A'!AT62))</f>
        <v>7.3996231116258489E-4</v>
      </c>
      <c r="AU75" s="308">
        <f>IF(parameters!$B$33="B",'consumption scenario B'!AU62,IF(parameters!$B$33="C",'consumption scenario C'!AU62,'consumption scenario A'!AU62))</f>
        <v>7.3996231116258489E-4</v>
      </c>
    </row>
    <row r="76" spans="1:47" s="230" customFormat="1">
      <c r="A76" s="383" t="s">
        <v>396</v>
      </c>
      <c r="B76" s="308">
        <f>IF(parameters!$B$33="B",'consumption scenario B'!B63,IF(parameters!$B$33="C",'consumption scenario C'!B63,'consumption scenario A'!B63))</f>
        <v>5.2473935503038555E-2</v>
      </c>
      <c r="C76" s="308">
        <f>IF(parameters!$B$33="B",'consumption scenario B'!C63,IF(parameters!$B$33="C",'consumption scenario C'!C63,'consumption scenario A'!C63))</f>
        <v>5.1623675476377369E-2</v>
      </c>
      <c r="D76" s="308">
        <f>IF(parameters!$B$33="B",'consumption scenario B'!D63,IF(parameters!$B$33="C",'consumption scenario C'!D63,'consumption scenario A'!D63))</f>
        <v>4.8998488500467688E-2</v>
      </c>
      <c r="E76" s="308">
        <f>IF(parameters!$B$33="B",'consumption scenario B'!E63,IF(parameters!$B$33="C",'consumption scenario C'!E63,'consumption scenario A'!E63))</f>
        <v>5.6987135137738953E-2</v>
      </c>
      <c r="F76" s="308">
        <f>IF(parameters!$B$33="B",'consumption scenario B'!F63,IF(parameters!$B$33="C",'consumption scenario C'!F63,'consumption scenario A'!F63))</f>
        <v>4.1108509403607239E-2</v>
      </c>
      <c r="G76" s="308">
        <f>IF(parameters!$B$33="B",'consumption scenario B'!G63,IF(parameters!$B$33="C",'consumption scenario C'!G63,'consumption scenario A'!G63))</f>
        <v>6.1332206404646573E-2</v>
      </c>
      <c r="H76" s="308">
        <f>IF(parameters!$B$33="B",'consumption scenario B'!H63,IF(parameters!$B$33="C",'consumption scenario C'!H63,'consumption scenario A'!H63))</f>
        <v>2.6235788852649596E-2</v>
      </c>
      <c r="I76" s="308">
        <f>IF(parameters!$B$33="B",'consumption scenario B'!I63,IF(parameters!$B$33="C",'consumption scenario C'!I63,'consumption scenario A'!I63))</f>
        <v>4.6746665879421445E-2</v>
      </c>
      <c r="J76" s="308">
        <f>IF(parameters!$B$33="B",'consumption scenario B'!J63,IF(parameters!$B$33="C",'consumption scenario C'!J63,'consumption scenario A'!J63))</f>
        <v>4.6478941790418171E-2</v>
      </c>
      <c r="K76" s="308">
        <f>IF(parameters!$B$33="B",'consumption scenario B'!K63,IF(parameters!$B$33="C",'consumption scenario C'!K63,'consumption scenario A'!K63))</f>
        <v>4.9432570308524083E-2</v>
      </c>
      <c r="L76" s="308">
        <f>IF(parameters!$B$33="B",'consumption scenario B'!L63,IF(parameters!$B$33="C",'consumption scenario C'!L63,'consumption scenario A'!L63))</f>
        <v>4.4081045603367099E-2</v>
      </c>
      <c r="M76" s="308">
        <f>IF(parameters!$B$33="B",'consumption scenario B'!M63,IF(parameters!$B$33="C",'consumption scenario C'!M63,'consumption scenario A'!M63))</f>
        <v>4.8231650677883778E-2</v>
      </c>
      <c r="N76" s="308">
        <f>IF(parameters!$B$33="B",'consumption scenario B'!N63,IF(parameters!$B$33="C",'consumption scenario C'!N63,'consumption scenario A'!N63))</f>
        <v>3.9687033462008636E-2</v>
      </c>
      <c r="O76" s="308">
        <f>IF(parameters!$B$33="B",'consumption scenario B'!O63,IF(parameters!$B$33="C",'consumption scenario C'!O63,'consumption scenario A'!O63))</f>
        <v>4.3742327742272734E-2</v>
      </c>
      <c r="P76" s="308">
        <f>IF(parameters!$B$33="B",'consumption scenario B'!P63,IF(parameters!$B$33="C",'consumption scenario C'!P63,'consumption scenario A'!P63))</f>
        <v>4.3184327742272731E-2</v>
      </c>
      <c r="Q76" s="308">
        <f>IF(parameters!$B$33="B",'consumption scenario B'!Q63,IF(parameters!$B$33="C",'consumption scenario C'!Q63,'consumption scenario A'!Q63))</f>
        <v>4.2626327742272735E-2</v>
      </c>
      <c r="R76" s="308">
        <f>IF(parameters!$B$33="B",'consumption scenario B'!R63,IF(parameters!$B$33="C",'consumption scenario C'!R63,'consumption scenario A'!R63))</f>
        <v>4.2706520554471016E-2</v>
      </c>
      <c r="S76" s="308">
        <f>IF(parameters!$B$33="B",'consumption scenario B'!S63,IF(parameters!$B$33="C",'consumption scenario C'!S63,'consumption scenario A'!S63))</f>
        <v>4.2706520554471016E-2</v>
      </c>
      <c r="T76" s="308">
        <f>IF(parameters!$B$33="B",'consumption scenario B'!T63,IF(parameters!$B$33="C",'consumption scenario C'!T63,'consumption scenario A'!T63))</f>
        <v>4.2818267802978677E-2</v>
      </c>
      <c r="U76" s="308">
        <f>IF(parameters!$B$33="B",'consumption scenario B'!U63,IF(parameters!$B$33="C",'consumption scenario C'!U63,'consumption scenario A'!U63))</f>
        <v>4.2864936765798965E-2</v>
      </c>
      <c r="V76" s="308">
        <f>IF(parameters!$B$33="B",'consumption scenario B'!V63,IF(parameters!$B$33="C",'consumption scenario C'!V63,'consumption scenario A'!V63))</f>
        <v>4.2864936765798965E-2</v>
      </c>
      <c r="W76" s="308">
        <f>IF(parameters!$B$33="B",'consumption scenario B'!W63,IF(parameters!$B$33="C",'consumption scenario C'!W63,'consumption scenario A'!W63))</f>
        <v>4.2905033171898109E-2</v>
      </c>
      <c r="X76" s="308">
        <f>IF(parameters!$B$33="B",'consumption scenario B'!X63,IF(parameters!$B$33="C",'consumption scenario C'!X63,'consumption scenario A'!X63))</f>
        <v>4.2905033171898109E-2</v>
      </c>
      <c r="Y76" s="308">
        <f>IF(parameters!$B$33="B",'consumption scenario B'!Y63,IF(parameters!$B$33="C",'consumption scenario C'!Y63,'consumption scenario A'!Y63))</f>
        <v>4.2905033171898109E-2</v>
      </c>
      <c r="Z76" s="308">
        <f>IF(parameters!$B$33="B",'consumption scenario B'!Z63,IF(parameters!$B$33="C",'consumption scenario C'!Z63,'consumption scenario A'!Z63))</f>
        <v>4.2929972874707935E-2</v>
      </c>
      <c r="AA76" s="308">
        <f>IF(parameters!$B$33="B",'consumption scenario B'!AA63,IF(parameters!$B$33="C",'consumption scenario C'!AA63,'consumption scenario A'!AA63))</f>
        <v>4.2929972874707935E-2</v>
      </c>
      <c r="AB76" s="308">
        <f>IF(parameters!$B$33="B",'consumption scenario B'!AB63,IF(parameters!$B$33="C",'consumption scenario C'!AB63,'consumption scenario A'!AB63))</f>
        <v>4.2929972874707935E-2</v>
      </c>
      <c r="AC76" s="308">
        <f>IF(parameters!$B$33="B",'consumption scenario B'!AC63,IF(parameters!$B$33="C",'consumption scenario C'!AC63,'consumption scenario A'!AC63))</f>
        <v>4.2929972874707935E-2</v>
      </c>
      <c r="AD76" s="308">
        <f>IF(parameters!$B$33="B",'consumption scenario B'!AD63,IF(parameters!$B$33="C",'consumption scenario C'!AD63,'consumption scenario A'!AD63))</f>
        <v>4.2929972874707935E-2</v>
      </c>
      <c r="AE76" s="308">
        <f>IF(parameters!$B$33="B",'consumption scenario B'!AE63,IF(parameters!$B$33="C",'consumption scenario C'!AE63,'consumption scenario A'!AE63))</f>
        <v>4.2929972874707935E-2</v>
      </c>
      <c r="AF76" s="308">
        <f>IF(parameters!$B$33="B",'consumption scenario B'!AF63,IF(parameters!$B$33="C",'consumption scenario C'!AF63,'consumption scenario A'!AF63))</f>
        <v>4.2929972874707935E-2</v>
      </c>
      <c r="AG76" s="308">
        <f>IF(parameters!$B$33="B",'consumption scenario B'!AG63,IF(parameters!$B$33="C",'consumption scenario C'!AG63,'consumption scenario A'!AG63))</f>
        <v>4.2929972874707935E-2</v>
      </c>
      <c r="AH76" s="308">
        <f>IF(parameters!$B$33="B",'consumption scenario B'!AH63,IF(parameters!$B$33="C",'consumption scenario C'!AH63,'consumption scenario A'!AH63))</f>
        <v>4.2929972874707935E-2</v>
      </c>
      <c r="AI76" s="308">
        <f>IF(parameters!$B$33="B",'consumption scenario B'!AI63,IF(parameters!$B$33="C",'consumption scenario C'!AI63,'consumption scenario A'!AI63))</f>
        <v>4.2929972874707935E-2</v>
      </c>
      <c r="AJ76" s="308">
        <f>IF(parameters!$B$33="B",'consumption scenario B'!AJ63,IF(parameters!$B$33="C",'consumption scenario C'!AJ63,'consumption scenario A'!AJ63))</f>
        <v>4.2929972874707935E-2</v>
      </c>
      <c r="AK76" s="308">
        <f>IF(parameters!$B$33="B",'consumption scenario B'!AK63,IF(parameters!$B$33="C",'consumption scenario C'!AK63,'consumption scenario A'!AK63))</f>
        <v>4.2929972874707935E-2</v>
      </c>
      <c r="AL76" s="308">
        <f>IF(parameters!$B$33="B",'consumption scenario B'!AL63,IF(parameters!$B$33="C",'consumption scenario C'!AL63,'consumption scenario A'!AL63))</f>
        <v>4.2929972874707935E-2</v>
      </c>
      <c r="AM76" s="308">
        <f>IF(parameters!$B$33="B",'consumption scenario B'!AM63,IF(parameters!$B$33="C",'consumption scenario C'!AM63,'consumption scenario A'!AM63))</f>
        <v>4.2929972874707935E-2</v>
      </c>
      <c r="AN76" s="308">
        <f>IF(parameters!$B$33="B",'consumption scenario B'!AN63,IF(parameters!$B$33="C",'consumption scenario C'!AN63,'consumption scenario A'!AN63))</f>
        <v>4.2929972874707935E-2</v>
      </c>
      <c r="AO76" s="308">
        <f>IF(parameters!$B$33="B",'consumption scenario B'!AO63,IF(parameters!$B$33="C",'consumption scenario C'!AO63,'consumption scenario A'!AO63))</f>
        <v>4.2929972874707935E-2</v>
      </c>
      <c r="AP76" s="308">
        <f>IF(parameters!$B$33="B",'consumption scenario B'!AP63,IF(parameters!$B$33="C",'consumption scenario C'!AP63,'consumption scenario A'!AP63))</f>
        <v>4.2929972874707935E-2</v>
      </c>
      <c r="AQ76" s="308">
        <f>IF(parameters!$B$33="B",'consumption scenario B'!AQ63,IF(parameters!$B$33="C",'consumption scenario C'!AQ63,'consumption scenario A'!AQ63))</f>
        <v>4.2929972874707935E-2</v>
      </c>
      <c r="AR76" s="308">
        <f>IF(parameters!$B$33="B",'consumption scenario B'!AR63,IF(parameters!$B$33="C",'consumption scenario C'!AR63,'consumption scenario A'!AR63))</f>
        <v>4.2929972874707935E-2</v>
      </c>
      <c r="AS76" s="308">
        <f>IF(parameters!$B$33="B",'consumption scenario B'!AS63,IF(parameters!$B$33="C",'consumption scenario C'!AS63,'consumption scenario A'!AS63))</f>
        <v>4.2929972874707935E-2</v>
      </c>
      <c r="AT76" s="308">
        <f>IF(parameters!$B$33="B",'consumption scenario B'!AT63,IF(parameters!$B$33="C",'consumption scenario C'!AT63,'consumption scenario A'!AT63))</f>
        <v>4.2929972874707935E-2</v>
      </c>
      <c r="AU76" s="308">
        <f>IF(parameters!$B$33="B",'consumption scenario B'!AU63,IF(parameters!$B$33="C",'consumption scenario C'!AU63,'consumption scenario A'!AU63))</f>
        <v>4.2929972874707935E-2</v>
      </c>
    </row>
    <row r="77" spans="1:47" s="230" customFormat="1">
      <c r="A77" s="383" t="s">
        <v>243</v>
      </c>
      <c r="B77" s="308">
        <f>IF(parameters!$B$33="B",'consumption scenario B'!B64,IF(parameters!$B$33="C",'consumption scenario C'!B64,'consumption scenario A'!B64))</f>
        <v>0.65947597669635838</v>
      </c>
      <c r="C77" s="308">
        <f>IF(parameters!$B$33="B",'consumption scenario B'!C64,IF(parameters!$B$33="C",'consumption scenario C'!C64,'consumption scenario A'!C64))</f>
        <v>0.68183374790741358</v>
      </c>
      <c r="D77" s="308">
        <f>IF(parameters!$B$33="B",'consumption scenario B'!D64,IF(parameters!$B$33="C",'consumption scenario C'!D64,'consumption scenario A'!D64))</f>
        <v>0.67052971020389363</v>
      </c>
      <c r="E77" s="308">
        <f>IF(parameters!$B$33="B",'consumption scenario B'!E64,IF(parameters!$B$33="C",'consumption scenario C'!E64,'consumption scenario A'!E64))</f>
        <v>0.65281192951749456</v>
      </c>
      <c r="F77" s="308">
        <f>IF(parameters!$B$33="B",'consumption scenario B'!F64,IF(parameters!$B$33="C",'consumption scenario C'!F64,'consumption scenario A'!F64))</f>
        <v>0.64376284587438182</v>
      </c>
      <c r="G77" s="308">
        <f>IF(parameters!$B$33="B",'consumption scenario B'!G64,IF(parameters!$B$33="C",'consumption scenario C'!G64,'consumption scenario A'!G64))</f>
        <v>0.60322481669586725</v>
      </c>
      <c r="H77" s="308">
        <f>IF(parameters!$B$33="B",'consumption scenario B'!H64,IF(parameters!$B$33="C",'consumption scenario C'!H64,'consumption scenario A'!H64))</f>
        <v>0.73373002968949896</v>
      </c>
      <c r="I77" s="308">
        <f>IF(parameters!$B$33="B",'consumption scenario B'!I64,IF(parameters!$B$33="C",'consumption scenario C'!I64,'consumption scenario A'!I64))</f>
        <v>0.69485785965413127</v>
      </c>
      <c r="J77" s="308">
        <f>IF(parameters!$B$33="B",'consumption scenario B'!J64,IF(parameters!$B$33="C",'consumption scenario C'!J64,'consumption scenario A'!J64))</f>
        <v>0.63596816340219686</v>
      </c>
      <c r="K77" s="308">
        <f>IF(parameters!$B$33="B",'consumption scenario B'!K64,IF(parameters!$B$33="C",'consumption scenario C'!K64,'consumption scenario A'!K64))</f>
        <v>0.65070798217051784</v>
      </c>
      <c r="L77" s="308">
        <f>IF(parameters!$B$33="B",'consumption scenario B'!L64,IF(parameters!$B$33="C",'consumption scenario C'!L64,'consumption scenario A'!L64))</f>
        <v>0.62619566318968123</v>
      </c>
      <c r="M77" s="308">
        <f>IF(parameters!$B$33="B",'consumption scenario B'!M64,IF(parameters!$B$33="C",'consumption scenario C'!M64,'consumption scenario A'!M64))</f>
        <v>0.6368912385248412</v>
      </c>
      <c r="N77" s="308">
        <f>IF(parameters!$B$33="B",'consumption scenario B'!N64,IF(parameters!$B$33="C",'consumption scenario C'!N64,'consumption scenario A'!N64))</f>
        <v>0.67681656462700568</v>
      </c>
      <c r="O77" s="308">
        <f>IF(parameters!$B$33="B",'consumption scenario B'!O64,IF(parameters!$B$33="C",'consumption scenario C'!O64,'consumption scenario A'!O64))</f>
        <v>0.650837893113558</v>
      </c>
      <c r="P77" s="308">
        <f>IF(parameters!$B$33="B",'consumption scenario B'!P64,IF(parameters!$B$33="C",'consumption scenario C'!P64,'consumption scenario A'!P64))</f>
        <v>0.650837893113558</v>
      </c>
      <c r="Q77" s="308">
        <f>IF(parameters!$B$33="B",'consumption scenario B'!Q64,IF(parameters!$B$33="C",'consumption scenario C'!Q64,'consumption scenario A'!Q64))</f>
        <v>0.650837893113558</v>
      </c>
      <c r="R77" s="308">
        <f>IF(parameters!$B$33="B",'consumption scenario B'!R64,IF(parameters!$B$33="C",'consumption scenario C'!R64,'consumption scenario A'!R64))</f>
        <v>0.65564946184545503</v>
      </c>
      <c r="S77" s="308">
        <f>IF(parameters!$B$33="B",'consumption scenario B'!S64,IF(parameters!$B$33="C",'consumption scenario C'!S64,'consumption scenario A'!S64))</f>
        <v>0.65564946184545503</v>
      </c>
      <c r="T77" s="308">
        <f>IF(parameters!$B$33="B",'consumption scenario B'!T64,IF(parameters!$B$33="C",'consumption scenario C'!T64,'consumption scenario A'!T64))</f>
        <v>0.66235429675591473</v>
      </c>
      <c r="U77" s="308">
        <f>IF(parameters!$B$33="B",'consumption scenario B'!U64,IF(parameters!$B$33="C",'consumption scenario C'!U64,'consumption scenario A'!U64))</f>
        <v>0.66534706109309383</v>
      </c>
      <c r="V77" s="308">
        <f>IF(parameters!$B$33="B",'consumption scenario B'!V64,IF(parameters!$B$33="C",'consumption scenario C'!V64,'consumption scenario A'!V64))</f>
        <v>0.66534706109309383</v>
      </c>
      <c r="W77" s="308">
        <f>IF(parameters!$B$33="B",'consumption scenario B'!W64,IF(parameters!$B$33="C",'consumption scenario C'!W64,'consumption scenario A'!W64))</f>
        <v>0.67015862982499097</v>
      </c>
      <c r="X77" s="308">
        <f>IF(parameters!$B$33="B",'consumption scenario B'!X64,IF(parameters!$B$33="C",'consumption scenario C'!X64,'consumption scenario A'!X64))</f>
        <v>0.67015862982499097</v>
      </c>
      <c r="Y77" s="308">
        <f>IF(parameters!$B$33="B",'consumption scenario B'!Y64,IF(parameters!$B$33="C",'consumption scenario C'!Y64,'consumption scenario A'!Y64))</f>
        <v>0.67015862982499097</v>
      </c>
      <c r="Z77" s="308">
        <f>IF(parameters!$B$33="B",'consumption scenario B'!Z64,IF(parameters!$B$33="C",'consumption scenario C'!Z64,'consumption scenario A'!Z64))</f>
        <v>0.67315139416217007</v>
      </c>
      <c r="AA77" s="308">
        <f>IF(parameters!$B$33="B",'consumption scenario B'!AA64,IF(parameters!$B$33="C",'consumption scenario C'!AA64,'consumption scenario A'!AA64))</f>
        <v>0.67315139416217007</v>
      </c>
      <c r="AB77" s="308">
        <f>IF(parameters!$B$33="B",'consumption scenario B'!AB64,IF(parameters!$B$33="C",'consumption scenario C'!AB64,'consumption scenario A'!AB64))</f>
        <v>0.67315139416217007</v>
      </c>
      <c r="AC77" s="308">
        <f>IF(parameters!$B$33="B",'consumption scenario B'!AC64,IF(parameters!$B$33="C",'consumption scenario C'!AC64,'consumption scenario A'!AC64))</f>
        <v>0.67315139416217007</v>
      </c>
      <c r="AD77" s="308">
        <f>IF(parameters!$B$33="B",'consumption scenario B'!AD64,IF(parameters!$B$33="C",'consumption scenario C'!AD64,'consumption scenario A'!AD64))</f>
        <v>0.67315139416217007</v>
      </c>
      <c r="AE77" s="308">
        <f>IF(parameters!$B$33="B",'consumption scenario B'!AE64,IF(parameters!$B$33="C",'consumption scenario C'!AE64,'consumption scenario A'!AE64))</f>
        <v>0.67315139416217007</v>
      </c>
      <c r="AF77" s="308">
        <f>IF(parameters!$B$33="B",'consumption scenario B'!AF64,IF(parameters!$B$33="C",'consumption scenario C'!AF64,'consumption scenario A'!AF64))</f>
        <v>0.67315139416217007</v>
      </c>
      <c r="AG77" s="308">
        <f>IF(parameters!$B$33="B",'consumption scenario B'!AG64,IF(parameters!$B$33="C",'consumption scenario C'!AG64,'consumption scenario A'!AG64))</f>
        <v>0.67315139416217007</v>
      </c>
      <c r="AH77" s="308">
        <f>IF(parameters!$B$33="B",'consumption scenario B'!AH64,IF(parameters!$B$33="C",'consumption scenario C'!AH64,'consumption scenario A'!AH64))</f>
        <v>0.67315139416217007</v>
      </c>
      <c r="AI77" s="308">
        <f>IF(parameters!$B$33="B",'consumption scenario B'!AI64,IF(parameters!$B$33="C",'consumption scenario C'!AI64,'consumption scenario A'!AI64))</f>
        <v>0.67315139416217007</v>
      </c>
      <c r="AJ77" s="308">
        <f>IF(parameters!$B$33="B",'consumption scenario B'!AJ64,IF(parameters!$B$33="C",'consumption scenario C'!AJ64,'consumption scenario A'!AJ64))</f>
        <v>0.67315139416217007</v>
      </c>
      <c r="AK77" s="308">
        <f>IF(parameters!$B$33="B",'consumption scenario B'!AK64,IF(parameters!$B$33="C",'consumption scenario C'!AK64,'consumption scenario A'!AK64))</f>
        <v>0.67315139416217007</v>
      </c>
      <c r="AL77" s="308">
        <f>IF(parameters!$B$33="B",'consumption scenario B'!AL64,IF(parameters!$B$33="C",'consumption scenario C'!AL64,'consumption scenario A'!AL64))</f>
        <v>0.67315139416217007</v>
      </c>
      <c r="AM77" s="308">
        <f>IF(parameters!$B$33="B",'consumption scenario B'!AM64,IF(parameters!$B$33="C",'consumption scenario C'!AM64,'consumption scenario A'!AM64))</f>
        <v>0.67315139416217007</v>
      </c>
      <c r="AN77" s="308">
        <f>IF(parameters!$B$33="B",'consumption scenario B'!AN64,IF(parameters!$B$33="C",'consumption scenario C'!AN64,'consumption scenario A'!AN64))</f>
        <v>0.67315139416217007</v>
      </c>
      <c r="AO77" s="308">
        <f>IF(parameters!$B$33="B",'consumption scenario B'!AO64,IF(parameters!$B$33="C",'consumption scenario C'!AO64,'consumption scenario A'!AO64))</f>
        <v>0.67315139416217007</v>
      </c>
      <c r="AP77" s="308">
        <f>IF(parameters!$B$33="B",'consumption scenario B'!AP64,IF(parameters!$B$33="C",'consumption scenario C'!AP64,'consumption scenario A'!AP64))</f>
        <v>0.67315139416217007</v>
      </c>
      <c r="AQ77" s="308">
        <f>IF(parameters!$B$33="B",'consumption scenario B'!AQ64,IF(parameters!$B$33="C",'consumption scenario C'!AQ64,'consumption scenario A'!AQ64))</f>
        <v>0.67315139416217007</v>
      </c>
      <c r="AR77" s="308">
        <f>IF(parameters!$B$33="B",'consumption scenario B'!AR64,IF(parameters!$B$33="C",'consumption scenario C'!AR64,'consumption scenario A'!AR64))</f>
        <v>0.67315139416217007</v>
      </c>
      <c r="AS77" s="308">
        <f>IF(parameters!$B$33="B",'consumption scenario B'!AS64,IF(parameters!$B$33="C",'consumption scenario C'!AS64,'consumption scenario A'!AS64))</f>
        <v>0.67315139416217007</v>
      </c>
      <c r="AT77" s="308">
        <f>IF(parameters!$B$33="B",'consumption scenario B'!AT64,IF(parameters!$B$33="C",'consumption scenario C'!AT64,'consumption scenario A'!AT64))</f>
        <v>0.67315139416217007</v>
      </c>
      <c r="AU77" s="308">
        <f>IF(parameters!$B$33="B",'consumption scenario B'!AU64,IF(parameters!$B$33="C",'consumption scenario C'!AU64,'consumption scenario A'!AU64))</f>
        <v>0.67315139416217007</v>
      </c>
    </row>
    <row r="78" spans="1:47" s="230" customFormat="1">
      <c r="A78" s="383" t="s">
        <v>397</v>
      </c>
      <c r="B78" s="308">
        <f>IF(parameters!$B$33="B",'consumption scenario B'!B65,IF(parameters!$B$33="C",'consumption scenario C'!B65,'consumption scenario A'!B65))</f>
        <v>6.9958899913413674E-3</v>
      </c>
      <c r="C78" s="308">
        <f>IF(parameters!$B$33="B",'consumption scenario B'!C65,IF(parameters!$B$33="C",'consumption scenario C'!C65,'consumption scenario A'!C65))</f>
        <v>4.491971322373914E-3</v>
      </c>
      <c r="D78" s="308">
        <f>IF(parameters!$B$33="B",'consumption scenario B'!D65,IF(parameters!$B$33="C",'consumption scenario C'!D65,'consumption scenario A'!D65))</f>
        <v>5.2210093982710476E-3</v>
      </c>
      <c r="E78" s="308">
        <f>IF(parameters!$B$33="B",'consumption scenario B'!E65,IF(parameters!$B$33="C",'consumption scenario C'!E65,'consumption scenario A'!E65))</f>
        <v>4.65461977481464E-3</v>
      </c>
      <c r="F78" s="308">
        <f>IF(parameters!$B$33="B",'consumption scenario B'!F65,IF(parameters!$B$33="C",'consumption scenario C'!F65,'consumption scenario A'!F65))</f>
        <v>5.0078614945081052E-3</v>
      </c>
      <c r="G78" s="308">
        <f>IF(parameters!$B$33="B",'consumption scenario B'!G65,IF(parameters!$B$33="C",'consumption scenario C'!G65,'consumption scenario A'!G65))</f>
        <v>5.5607354900667335E-3</v>
      </c>
      <c r="H78" s="308">
        <f>IF(parameters!$B$33="B",'consumption scenario B'!H65,IF(parameters!$B$33="C",'consumption scenario C'!H65,'consumption scenario A'!H65))</f>
        <v>4.9051469486321962E-3</v>
      </c>
      <c r="I78" s="308">
        <f>IF(parameters!$B$33="B",'consumption scenario B'!I65,IF(parameters!$B$33="C",'consumption scenario C'!I65,'consumption scenario A'!I65))</f>
        <v>3.4289364429422329E-3</v>
      </c>
      <c r="J78" s="308">
        <f>IF(parameters!$B$33="B",'consumption scenario B'!J65,IF(parameters!$B$33="C",'consumption scenario C'!J65,'consumption scenario A'!J65))</f>
        <v>2.8578791645998201E-3</v>
      </c>
      <c r="K78" s="308">
        <f>IF(parameters!$B$33="B",'consumption scenario B'!K65,IF(parameters!$B$33="C",'consumption scenario C'!K65,'consumption scenario A'!K65))</f>
        <v>3.2731184687870823E-3</v>
      </c>
      <c r="L78" s="308">
        <f>IF(parameters!$B$33="B",'consumption scenario B'!L65,IF(parameters!$B$33="C",'consumption scenario C'!L65,'consumption scenario A'!L65))</f>
        <v>4.5448241558907476E-3</v>
      </c>
      <c r="M78" s="308">
        <f>IF(parameters!$B$33="B",'consumption scenario B'!M65,IF(parameters!$B$33="C",'consumption scenario C'!M65,'consumption scenario A'!M65))</f>
        <v>7.7258879043987736E-3</v>
      </c>
      <c r="N78" s="308">
        <f>IF(parameters!$B$33="B",'consumption scenario B'!N65,IF(parameters!$B$33="C",'consumption scenario C'!N65,'consumption scenario A'!N65))</f>
        <v>5.9797635488444186E-3</v>
      </c>
      <c r="O78" s="308">
        <f>IF(parameters!$B$33="B",'consumption scenario B'!O65,IF(parameters!$B$33="C",'consumption scenario C'!O65,'consumption scenario A'!O65))</f>
        <v>5.7599999999999995E-3</v>
      </c>
      <c r="P78" s="308">
        <f>IF(parameters!$B$33="B",'consumption scenario B'!P65,IF(parameters!$B$33="C",'consumption scenario C'!P65,'consumption scenario A'!P65))</f>
        <v>6.4799999999999996E-3</v>
      </c>
      <c r="Q78" s="308">
        <f>IF(parameters!$B$33="B",'consumption scenario B'!Q65,IF(parameters!$B$33="C",'consumption scenario C'!Q65,'consumption scenario A'!Q65))</f>
        <v>7.1999999999999998E-3</v>
      </c>
      <c r="R78" s="308">
        <f>IF(parameters!$B$33="B",'consumption scenario B'!R65,IF(parameters!$B$33="C",'consumption scenario C'!R65,'consumption scenario A'!R65))</f>
        <v>7.1999999999999998E-3</v>
      </c>
      <c r="S78" s="308">
        <f>IF(parameters!$B$33="B",'consumption scenario B'!S65,IF(parameters!$B$33="C",'consumption scenario C'!S65,'consumption scenario A'!S65))</f>
        <v>7.1999999999999998E-3</v>
      </c>
      <c r="T78" s="308">
        <f>IF(parameters!$B$33="B",'consumption scenario B'!T65,IF(parameters!$B$33="C",'consumption scenario C'!T65,'consumption scenario A'!T65))</f>
        <v>7.1999999999999998E-3</v>
      </c>
      <c r="U78" s="308">
        <f>IF(parameters!$B$33="B",'consumption scenario B'!U65,IF(parameters!$B$33="C",'consumption scenario C'!U65,'consumption scenario A'!U65))</f>
        <v>7.1999999999999998E-3</v>
      </c>
      <c r="V78" s="308">
        <f>IF(parameters!$B$33="B",'consumption scenario B'!V65,IF(parameters!$B$33="C",'consumption scenario C'!V65,'consumption scenario A'!V65))</f>
        <v>7.1999999999999998E-3</v>
      </c>
      <c r="W78" s="308">
        <f>IF(parameters!$B$33="B",'consumption scenario B'!W65,IF(parameters!$B$33="C",'consumption scenario C'!W65,'consumption scenario A'!W65))</f>
        <v>7.1999999999999998E-3</v>
      </c>
      <c r="X78" s="308">
        <f>IF(parameters!$B$33="B",'consumption scenario B'!X65,IF(parameters!$B$33="C",'consumption scenario C'!X65,'consumption scenario A'!X65))</f>
        <v>7.1999999999999998E-3</v>
      </c>
      <c r="Y78" s="308">
        <f>IF(parameters!$B$33="B",'consumption scenario B'!Y65,IF(parameters!$B$33="C",'consumption scenario C'!Y65,'consumption scenario A'!Y65))</f>
        <v>7.1999999999999998E-3</v>
      </c>
      <c r="Z78" s="308">
        <f>IF(parameters!$B$33="B",'consumption scenario B'!Z65,IF(parameters!$B$33="C",'consumption scenario C'!Z65,'consumption scenario A'!Z65))</f>
        <v>7.1999999999999998E-3</v>
      </c>
      <c r="AA78" s="308">
        <f>IF(parameters!$B$33="B",'consumption scenario B'!AA65,IF(parameters!$B$33="C",'consumption scenario C'!AA65,'consumption scenario A'!AA65))</f>
        <v>7.1999999999999998E-3</v>
      </c>
      <c r="AB78" s="308">
        <f>IF(parameters!$B$33="B",'consumption scenario B'!AB65,IF(parameters!$B$33="C",'consumption scenario C'!AB65,'consumption scenario A'!AB65))</f>
        <v>7.1999999999999998E-3</v>
      </c>
      <c r="AC78" s="308">
        <f>IF(parameters!$B$33="B",'consumption scenario B'!AC65,IF(parameters!$B$33="C",'consumption scenario C'!AC65,'consumption scenario A'!AC65))</f>
        <v>7.1999999999999998E-3</v>
      </c>
      <c r="AD78" s="308">
        <f>IF(parameters!$B$33="B",'consumption scenario B'!AD65,IF(parameters!$B$33="C",'consumption scenario C'!AD65,'consumption scenario A'!AD65))</f>
        <v>7.1999999999999998E-3</v>
      </c>
      <c r="AE78" s="308">
        <f>IF(parameters!$B$33="B",'consumption scenario B'!AE65,IF(parameters!$B$33="C",'consumption scenario C'!AE65,'consumption scenario A'!AE65))</f>
        <v>7.1999999999999998E-3</v>
      </c>
      <c r="AF78" s="308">
        <f>IF(parameters!$B$33="B",'consumption scenario B'!AF65,IF(parameters!$B$33="C",'consumption scenario C'!AF65,'consumption scenario A'!AF65))</f>
        <v>7.1999999999999998E-3</v>
      </c>
      <c r="AG78" s="308">
        <f>IF(parameters!$B$33="B",'consumption scenario B'!AG65,IF(parameters!$B$33="C",'consumption scenario C'!AG65,'consumption scenario A'!AG65))</f>
        <v>7.1999999999999998E-3</v>
      </c>
      <c r="AH78" s="308">
        <f>IF(parameters!$B$33="B",'consumption scenario B'!AH65,IF(parameters!$B$33="C",'consumption scenario C'!AH65,'consumption scenario A'!AH65))</f>
        <v>7.1999999999999998E-3</v>
      </c>
      <c r="AI78" s="308">
        <f>IF(parameters!$B$33="B",'consumption scenario B'!AI65,IF(parameters!$B$33="C",'consumption scenario C'!AI65,'consumption scenario A'!AI65))</f>
        <v>7.1999999999999998E-3</v>
      </c>
      <c r="AJ78" s="308">
        <f>IF(parameters!$B$33="B",'consumption scenario B'!AJ65,IF(parameters!$B$33="C",'consumption scenario C'!AJ65,'consumption scenario A'!AJ65))</f>
        <v>7.1999999999999998E-3</v>
      </c>
      <c r="AK78" s="308">
        <f>IF(parameters!$B$33="B",'consumption scenario B'!AK65,IF(parameters!$B$33="C",'consumption scenario C'!AK65,'consumption scenario A'!AK65))</f>
        <v>7.1999999999999998E-3</v>
      </c>
      <c r="AL78" s="308">
        <f>IF(parameters!$B$33="B",'consumption scenario B'!AL65,IF(parameters!$B$33="C",'consumption scenario C'!AL65,'consumption scenario A'!AL65))</f>
        <v>7.1999999999999998E-3</v>
      </c>
      <c r="AM78" s="308">
        <f>IF(parameters!$B$33="B",'consumption scenario B'!AM65,IF(parameters!$B$33="C",'consumption scenario C'!AM65,'consumption scenario A'!AM65))</f>
        <v>7.1999999999999998E-3</v>
      </c>
      <c r="AN78" s="308">
        <f>IF(parameters!$B$33="B",'consumption scenario B'!AN65,IF(parameters!$B$33="C",'consumption scenario C'!AN65,'consumption scenario A'!AN65))</f>
        <v>7.1999999999999998E-3</v>
      </c>
      <c r="AO78" s="308">
        <f>IF(parameters!$B$33="B",'consumption scenario B'!AO65,IF(parameters!$B$33="C",'consumption scenario C'!AO65,'consumption scenario A'!AO65))</f>
        <v>7.1999999999999998E-3</v>
      </c>
      <c r="AP78" s="308">
        <f>IF(parameters!$B$33="B",'consumption scenario B'!AP65,IF(parameters!$B$33="C",'consumption scenario C'!AP65,'consumption scenario A'!AP65))</f>
        <v>7.1999999999999998E-3</v>
      </c>
      <c r="AQ78" s="308">
        <f>IF(parameters!$B$33="B",'consumption scenario B'!AQ65,IF(parameters!$B$33="C",'consumption scenario C'!AQ65,'consumption scenario A'!AQ65))</f>
        <v>7.1999999999999998E-3</v>
      </c>
      <c r="AR78" s="308">
        <f>IF(parameters!$B$33="B",'consumption scenario B'!AR65,IF(parameters!$B$33="C",'consumption scenario C'!AR65,'consumption scenario A'!AR65))</f>
        <v>7.1999999999999998E-3</v>
      </c>
      <c r="AS78" s="308">
        <f>IF(parameters!$B$33="B",'consumption scenario B'!AS65,IF(parameters!$B$33="C",'consumption scenario C'!AS65,'consumption scenario A'!AS65))</f>
        <v>7.1999999999999998E-3</v>
      </c>
      <c r="AT78" s="308">
        <f>IF(parameters!$B$33="B",'consumption scenario B'!AT65,IF(parameters!$B$33="C",'consumption scenario C'!AT65,'consumption scenario A'!AT65))</f>
        <v>7.1999999999999998E-3</v>
      </c>
      <c r="AU78" s="308">
        <f>IF(parameters!$B$33="B",'consumption scenario B'!AU65,IF(parameters!$B$33="C",'consumption scenario C'!AU65,'consumption scenario A'!AU65))</f>
        <v>7.1999999999999998E-3</v>
      </c>
    </row>
    <row r="79" spans="1:47" s="230" customFormat="1">
      <c r="A79" s="383" t="s">
        <v>398</v>
      </c>
      <c r="B79" s="308">
        <f>IF(parameters!$B$33="B",'consumption scenario B'!B66,IF(parameters!$B$33="C",'consumption scenario C'!B66,'consumption scenario A'!B66))</f>
        <v>0</v>
      </c>
      <c r="C79" s="308">
        <f>IF(parameters!$B$33="B",'consumption scenario B'!C66,IF(parameters!$B$33="C",'consumption scenario C'!C66,'consumption scenario A'!C66))</f>
        <v>1.647058439204055E-4</v>
      </c>
      <c r="D79" s="308">
        <f>IF(parameters!$B$33="B",'consumption scenario B'!D66,IF(parameters!$B$33="C",'consumption scenario C'!D66,'consumption scenario A'!D66))</f>
        <v>1.2672518529265126E-4</v>
      </c>
      <c r="E79" s="308">
        <f>IF(parameters!$B$33="B",'consumption scenario B'!E66,IF(parameters!$B$33="C",'consumption scenario C'!E66,'consumption scenario A'!E66))</f>
        <v>1.8906175257190543E-4</v>
      </c>
      <c r="F79" s="308">
        <f>IF(parameters!$B$33="B",'consumption scenario B'!F66,IF(parameters!$B$33="C",'consumption scenario C'!F66,'consumption scenario A'!F66))</f>
        <v>2.164519940101673E-4</v>
      </c>
      <c r="G79" s="308">
        <f>IF(parameters!$B$33="B",'consumption scenario B'!G66,IF(parameters!$B$33="C",'consumption scenario C'!G66,'consumption scenario A'!G66))</f>
        <v>1.9623690612093891E-4</v>
      </c>
      <c r="H79" s="308">
        <f>IF(parameters!$B$33="B",'consumption scenario B'!H66,IF(parameters!$B$33="C",'consumption scenario C'!H66,'consumption scenario A'!H66))</f>
        <v>1.9874598756994066E-4</v>
      </c>
      <c r="I79" s="308">
        <f>IF(parameters!$B$33="B",'consumption scenario B'!I66,IF(parameters!$B$33="C",'consumption scenario C'!I66,'consumption scenario A'!I66))</f>
        <v>1.8758244395432374E-4</v>
      </c>
      <c r="J79" s="308">
        <f>IF(parameters!$B$33="B",'consumption scenario B'!J66,IF(parameters!$B$33="C",'consumption scenario C'!J66,'consumption scenario A'!J66))</f>
        <v>1.7672567922348721E-4</v>
      </c>
      <c r="K79" s="308">
        <f>IF(parameters!$B$33="B",'consumption scenario B'!K66,IF(parameters!$B$33="C",'consumption scenario C'!K66,'consumption scenario A'!K66))</f>
        <v>1.9514548124748826E-4</v>
      </c>
      <c r="L79" s="308">
        <f>IF(parameters!$B$33="B",'consumption scenario B'!L66,IF(parameters!$B$33="C",'consumption scenario C'!L66,'consumption scenario A'!L66))</f>
        <v>1.8211768711012903E-4</v>
      </c>
      <c r="M79" s="308">
        <f>IF(parameters!$B$33="B",'consumption scenario B'!M66,IF(parameters!$B$33="C",'consumption scenario C'!M66,'consumption scenario A'!M66))</f>
        <v>0</v>
      </c>
      <c r="N79" s="308">
        <f>IF(parameters!$B$33="B",'consumption scenario B'!N66,IF(parameters!$B$33="C",'consumption scenario C'!N66,'consumption scenario A'!N66))</f>
        <v>0</v>
      </c>
      <c r="O79" s="308">
        <f>IF(parameters!$B$33="B",'consumption scenario B'!O66,IF(parameters!$B$33="C",'consumption scenario C'!O66,'consumption scenario A'!O66))</f>
        <v>1.2293595967897714E-4</v>
      </c>
      <c r="P79" s="308">
        <f>IF(parameters!$B$33="B",'consumption scenario B'!P66,IF(parameters!$B$33="C",'consumption scenario C'!P66,'consumption scenario A'!P66))</f>
        <v>1.2293595967897714E-4</v>
      </c>
      <c r="Q79" s="308">
        <f>IF(parameters!$B$33="B",'consumption scenario B'!Q66,IF(parameters!$B$33="C",'consumption scenario C'!Q66,'consumption scenario A'!Q66))</f>
        <v>1.2293595967897714E-4</v>
      </c>
      <c r="R79" s="308">
        <f>IF(parameters!$B$33="B",'consumption scenario B'!R66,IF(parameters!$B$33="C",'consumption scenario C'!R66,'consumption scenario A'!R66))</f>
        <v>1.2293595967897714E-4</v>
      </c>
      <c r="S79" s="308">
        <f>IF(parameters!$B$33="B",'consumption scenario B'!S66,IF(parameters!$B$33="C",'consumption scenario C'!S66,'consumption scenario A'!S66))</f>
        <v>1.2293595967897714E-4</v>
      </c>
      <c r="T79" s="308">
        <f>IF(parameters!$B$33="B",'consumption scenario B'!T66,IF(parameters!$B$33="C",'consumption scenario C'!T66,'consumption scenario A'!T66))</f>
        <v>1.2293595967897714E-4</v>
      </c>
      <c r="U79" s="308">
        <f>IF(parameters!$B$33="B",'consumption scenario B'!U66,IF(parameters!$B$33="C",'consumption scenario C'!U66,'consumption scenario A'!U66))</f>
        <v>1.2293595967897714E-4</v>
      </c>
      <c r="V79" s="308">
        <f>IF(parameters!$B$33="B",'consumption scenario B'!V66,IF(parameters!$B$33="C",'consumption scenario C'!V66,'consumption scenario A'!V66))</f>
        <v>1.2293595967897714E-4</v>
      </c>
      <c r="W79" s="308">
        <f>IF(parameters!$B$33="B",'consumption scenario B'!W66,IF(parameters!$B$33="C",'consumption scenario C'!W66,'consumption scenario A'!W66))</f>
        <v>1.2293595967897714E-4</v>
      </c>
      <c r="X79" s="308">
        <f>IF(parameters!$B$33="B",'consumption scenario B'!X66,IF(parameters!$B$33="C",'consumption scenario C'!X66,'consumption scenario A'!X66))</f>
        <v>1.2293595967897714E-4</v>
      </c>
      <c r="Y79" s="308">
        <f>IF(parameters!$B$33="B",'consumption scenario B'!Y66,IF(parameters!$B$33="C",'consumption scenario C'!Y66,'consumption scenario A'!Y66))</f>
        <v>1.2293595967897714E-4</v>
      </c>
      <c r="Z79" s="308">
        <f>IF(parameters!$B$33="B",'consumption scenario B'!Z66,IF(parameters!$B$33="C",'consumption scenario C'!Z66,'consumption scenario A'!Z66))</f>
        <v>1.2293595967897714E-4</v>
      </c>
      <c r="AA79" s="308">
        <f>IF(parameters!$B$33="B",'consumption scenario B'!AA66,IF(parameters!$B$33="C",'consumption scenario C'!AA66,'consumption scenario A'!AA66))</f>
        <v>1.2293595967897714E-4</v>
      </c>
      <c r="AB79" s="308">
        <f>IF(parameters!$B$33="B",'consumption scenario B'!AB66,IF(parameters!$B$33="C",'consumption scenario C'!AB66,'consumption scenario A'!AB66))</f>
        <v>1.2293595967897714E-4</v>
      </c>
      <c r="AC79" s="308">
        <f>IF(parameters!$B$33="B",'consumption scenario B'!AC66,IF(parameters!$B$33="C",'consumption scenario C'!AC66,'consumption scenario A'!AC66))</f>
        <v>1.2293595967897714E-4</v>
      </c>
      <c r="AD79" s="308">
        <f>IF(parameters!$B$33="B",'consumption scenario B'!AD66,IF(parameters!$B$33="C",'consumption scenario C'!AD66,'consumption scenario A'!AD66))</f>
        <v>1.2293595967897714E-4</v>
      </c>
      <c r="AE79" s="308">
        <f>IF(parameters!$B$33="B",'consumption scenario B'!AE66,IF(parameters!$B$33="C",'consumption scenario C'!AE66,'consumption scenario A'!AE66))</f>
        <v>1.2293595967897714E-4</v>
      </c>
      <c r="AF79" s="308">
        <f>IF(parameters!$B$33="B",'consumption scenario B'!AF66,IF(parameters!$B$33="C",'consumption scenario C'!AF66,'consumption scenario A'!AF66))</f>
        <v>1.2293595967897714E-4</v>
      </c>
      <c r="AG79" s="308">
        <f>IF(parameters!$B$33="B",'consumption scenario B'!AG66,IF(parameters!$B$33="C",'consumption scenario C'!AG66,'consumption scenario A'!AG66))</f>
        <v>1.2293595967897714E-4</v>
      </c>
      <c r="AH79" s="308">
        <f>IF(parameters!$B$33="B",'consumption scenario B'!AH66,IF(parameters!$B$33="C",'consumption scenario C'!AH66,'consumption scenario A'!AH66))</f>
        <v>1.2293595967897714E-4</v>
      </c>
      <c r="AI79" s="308">
        <f>IF(parameters!$B$33="B",'consumption scenario B'!AI66,IF(parameters!$B$33="C",'consumption scenario C'!AI66,'consumption scenario A'!AI66))</f>
        <v>1.2293595967897714E-4</v>
      </c>
      <c r="AJ79" s="308">
        <f>IF(parameters!$B$33="B",'consumption scenario B'!AJ66,IF(parameters!$B$33="C",'consumption scenario C'!AJ66,'consumption scenario A'!AJ66))</f>
        <v>1.2293595967897714E-4</v>
      </c>
      <c r="AK79" s="308">
        <f>IF(parameters!$B$33="B",'consumption scenario B'!AK66,IF(parameters!$B$33="C",'consumption scenario C'!AK66,'consumption scenario A'!AK66))</f>
        <v>1.2293595967897714E-4</v>
      </c>
      <c r="AL79" s="308">
        <f>IF(parameters!$B$33="B",'consumption scenario B'!AL66,IF(parameters!$B$33="C",'consumption scenario C'!AL66,'consumption scenario A'!AL66))</f>
        <v>1.2293595967897714E-4</v>
      </c>
      <c r="AM79" s="308">
        <f>IF(parameters!$B$33="B",'consumption scenario B'!AM66,IF(parameters!$B$33="C",'consumption scenario C'!AM66,'consumption scenario A'!AM66))</f>
        <v>1.2293595967897714E-4</v>
      </c>
      <c r="AN79" s="308">
        <f>IF(parameters!$B$33="B",'consumption scenario B'!AN66,IF(parameters!$B$33="C",'consumption scenario C'!AN66,'consumption scenario A'!AN66))</f>
        <v>1.2293595967897714E-4</v>
      </c>
      <c r="AO79" s="308">
        <f>IF(parameters!$B$33="B",'consumption scenario B'!AO66,IF(parameters!$B$33="C",'consumption scenario C'!AO66,'consumption scenario A'!AO66))</f>
        <v>1.2293595967897714E-4</v>
      </c>
      <c r="AP79" s="308">
        <f>IF(parameters!$B$33="B",'consumption scenario B'!AP66,IF(parameters!$B$33="C",'consumption scenario C'!AP66,'consumption scenario A'!AP66))</f>
        <v>1.2293595967897714E-4</v>
      </c>
      <c r="AQ79" s="308">
        <f>IF(parameters!$B$33="B",'consumption scenario B'!AQ66,IF(parameters!$B$33="C",'consumption scenario C'!AQ66,'consumption scenario A'!AQ66))</f>
        <v>1.2293595967897714E-4</v>
      </c>
      <c r="AR79" s="308">
        <f>IF(parameters!$B$33="B",'consumption scenario B'!AR66,IF(parameters!$B$33="C",'consumption scenario C'!AR66,'consumption scenario A'!AR66))</f>
        <v>1.2293595967897714E-4</v>
      </c>
      <c r="AS79" s="308">
        <f>IF(parameters!$B$33="B",'consumption scenario B'!AS66,IF(parameters!$B$33="C",'consumption scenario C'!AS66,'consumption scenario A'!AS66))</f>
        <v>1.2293595967897714E-4</v>
      </c>
      <c r="AT79" s="308">
        <f>IF(parameters!$B$33="B",'consumption scenario B'!AT66,IF(parameters!$B$33="C",'consumption scenario C'!AT66,'consumption scenario A'!AT66))</f>
        <v>1.2293595967897714E-4</v>
      </c>
      <c r="AU79" s="308">
        <f>IF(parameters!$B$33="B",'consumption scenario B'!AU66,IF(parameters!$B$33="C",'consumption scenario C'!AU66,'consumption scenario A'!AU66))</f>
        <v>1.2293595967897714E-4</v>
      </c>
    </row>
    <row r="80" spans="1:47" s="230" customFormat="1">
      <c r="A80" s="383" t="s">
        <v>399</v>
      </c>
      <c r="B80" s="308">
        <f>IF(parameters!$B$33="B",'consumption scenario B'!B67,IF(parameters!$B$33="C",'consumption scenario C'!B67,'consumption scenario A'!B67))</f>
        <v>5.1557964091804333E-3</v>
      </c>
      <c r="C80" s="308">
        <f>IF(parameters!$B$33="B",'consumption scenario B'!C67,IF(parameters!$B$33="C",'consumption scenario C'!C67,'consumption scenario A'!C67))</f>
        <v>9.9215200687948289E-3</v>
      </c>
      <c r="D80" s="308">
        <f>IF(parameters!$B$33="B",'consumption scenario B'!D67,IF(parameters!$B$33="C",'consumption scenario C'!D67,'consumption scenario A'!D67))</f>
        <v>6.1796152784450737E-3</v>
      </c>
      <c r="E80" s="308">
        <f>IF(parameters!$B$33="B",'consumption scenario B'!E67,IF(parameters!$B$33="C",'consumption scenario C'!E67,'consumption scenario A'!E67))</f>
        <v>1.1332353833410377E-2</v>
      </c>
      <c r="F80" s="308">
        <f>IF(parameters!$B$33="B",'consumption scenario B'!F67,IF(parameters!$B$33="C",'consumption scenario C'!F67,'consumption scenario A'!F67))</f>
        <v>6.615925995702425E-3</v>
      </c>
      <c r="G80" s="308">
        <f>IF(parameters!$B$33="B",'consumption scenario B'!G67,IF(parameters!$B$33="C",'consumption scenario C'!G67,'consumption scenario A'!G67))</f>
        <v>6.4067475516769376E-3</v>
      </c>
      <c r="H80" s="308">
        <f>IF(parameters!$B$33="B",'consumption scenario B'!H67,IF(parameters!$B$33="C",'consumption scenario C'!H67,'consumption scenario A'!H67))</f>
        <v>1.1170492693989642E-2</v>
      </c>
      <c r="I80" s="308">
        <f>IF(parameters!$B$33="B",'consumption scenario B'!I67,IF(parameters!$B$33="C",'consumption scenario C'!I67,'consumption scenario A'!I67))</f>
        <v>3.3219463293768882E-2</v>
      </c>
      <c r="J80" s="308">
        <f>IF(parameters!$B$33="B",'consumption scenario B'!J67,IF(parameters!$B$33="C",'consumption scenario C'!J67,'consumption scenario A'!J67))</f>
        <v>3.1313177472848411E-2</v>
      </c>
      <c r="K80" s="308">
        <f>IF(parameters!$B$33="B",'consumption scenario B'!K67,IF(parameters!$B$33="C",'consumption scenario C'!K67,'consumption scenario A'!K67))</f>
        <v>4.0799999999999996E-2</v>
      </c>
      <c r="L80" s="308">
        <f>IF(parameters!$B$33="B",'consumption scenario B'!L67,IF(parameters!$B$33="C",'consumption scenario C'!L67,'consumption scenario A'!L67))</f>
        <v>5.099999999999999E-2</v>
      </c>
      <c r="M80" s="308">
        <f>IF(parameters!$B$33="B",'consumption scenario B'!M67,IF(parameters!$B$33="C",'consumption scenario C'!M67,'consumption scenario A'!M67))</f>
        <v>6.1199999999999991E-2</v>
      </c>
      <c r="N80" s="308">
        <f>IF(parameters!$B$33="B",'consumption scenario B'!N67,IF(parameters!$B$33="C",'consumption scenario C'!N67,'consumption scenario A'!N67))</f>
        <v>7.1399999999999991E-2</v>
      </c>
      <c r="O80" s="308">
        <f>IF(parameters!$B$33="B",'consumption scenario B'!O67,IF(parameters!$B$33="C",'consumption scenario C'!O67,'consumption scenario A'!O67))</f>
        <v>8.1599999999999992E-2</v>
      </c>
      <c r="P80" s="308">
        <f>IF(parameters!$B$33="B",'consumption scenario B'!P67,IF(parameters!$B$33="C",'consumption scenario C'!P67,'consumption scenario A'!P67))</f>
        <v>9.1799999999999993E-2</v>
      </c>
      <c r="Q80" s="308">
        <f>IF(parameters!$B$33="B",'consumption scenario B'!Q67,IF(parameters!$B$33="C",'consumption scenario C'!Q67,'consumption scenario A'!Q67))</f>
        <v>0.10199999999999999</v>
      </c>
      <c r="R80" s="308">
        <f>IF(parameters!$B$33="B",'consumption scenario B'!R67,IF(parameters!$B$33="C",'consumption scenario C'!R67,'consumption scenario A'!R67))</f>
        <v>0.10199999999999999</v>
      </c>
      <c r="S80" s="308">
        <f>IF(parameters!$B$33="B",'consumption scenario B'!S67,IF(parameters!$B$33="C",'consumption scenario C'!S67,'consumption scenario A'!S67))</f>
        <v>0.10199999999999999</v>
      </c>
      <c r="T80" s="308">
        <f>IF(parameters!$B$33="B",'consumption scenario B'!T67,IF(parameters!$B$33="C",'consumption scenario C'!T67,'consumption scenario A'!T67))</f>
        <v>0.10199999999999998</v>
      </c>
      <c r="U80" s="308">
        <f>IF(parameters!$B$33="B",'consumption scenario B'!U67,IF(parameters!$B$33="C",'consumption scenario C'!U67,'consumption scenario A'!U67))</f>
        <v>0.10199999999999998</v>
      </c>
      <c r="V80" s="308">
        <f>IF(parameters!$B$33="B",'consumption scenario B'!V67,IF(parameters!$B$33="C",'consumption scenario C'!V67,'consumption scenario A'!V67))</f>
        <v>0.10199999999999998</v>
      </c>
      <c r="W80" s="308">
        <f>IF(parameters!$B$33="B",'consumption scenario B'!W67,IF(parameters!$B$33="C",'consumption scenario C'!W67,'consumption scenario A'!W67))</f>
        <v>0.10199999999999999</v>
      </c>
      <c r="X80" s="308">
        <f>IF(parameters!$B$33="B",'consumption scenario B'!X67,IF(parameters!$B$33="C",'consumption scenario C'!X67,'consumption scenario A'!X67))</f>
        <v>0.10199999999999999</v>
      </c>
      <c r="Y80" s="308">
        <f>IF(parameters!$B$33="B",'consumption scenario B'!Y67,IF(parameters!$B$33="C",'consumption scenario C'!Y67,'consumption scenario A'!Y67))</f>
        <v>0.10199999999999999</v>
      </c>
      <c r="Z80" s="308">
        <f>IF(parameters!$B$33="B",'consumption scenario B'!Z67,IF(parameters!$B$33="C",'consumption scenario C'!Z67,'consumption scenario A'!Z67))</f>
        <v>0.10199999999999999</v>
      </c>
      <c r="AA80" s="308">
        <f>IF(parameters!$B$33="B",'consumption scenario B'!AA67,IF(parameters!$B$33="C",'consumption scenario C'!AA67,'consumption scenario A'!AA67))</f>
        <v>0.10199999999999999</v>
      </c>
      <c r="AB80" s="308">
        <f>IF(parameters!$B$33="B",'consumption scenario B'!AB67,IF(parameters!$B$33="C",'consumption scenario C'!AB67,'consumption scenario A'!AB67))</f>
        <v>0.10199999999999999</v>
      </c>
      <c r="AC80" s="308">
        <f>IF(parameters!$B$33="B",'consumption scenario B'!AC67,IF(parameters!$B$33="C",'consumption scenario C'!AC67,'consumption scenario A'!AC67))</f>
        <v>0.10199999999999999</v>
      </c>
      <c r="AD80" s="308">
        <f>IF(parameters!$B$33="B",'consumption scenario B'!AD67,IF(parameters!$B$33="C",'consumption scenario C'!AD67,'consumption scenario A'!AD67))</f>
        <v>0.10199999999999999</v>
      </c>
      <c r="AE80" s="308">
        <f>IF(parameters!$B$33="B",'consumption scenario B'!AE67,IF(parameters!$B$33="C",'consumption scenario C'!AE67,'consumption scenario A'!AE67))</f>
        <v>0.10199999999999999</v>
      </c>
      <c r="AF80" s="308">
        <f>IF(parameters!$B$33="B",'consumption scenario B'!AF67,IF(parameters!$B$33="C",'consumption scenario C'!AF67,'consumption scenario A'!AF67))</f>
        <v>0.10199999999999999</v>
      </c>
      <c r="AG80" s="308">
        <f>IF(parameters!$B$33="B",'consumption scenario B'!AG67,IF(parameters!$B$33="C",'consumption scenario C'!AG67,'consumption scenario A'!AG67))</f>
        <v>0.10199999999999999</v>
      </c>
      <c r="AH80" s="308">
        <f>IF(parameters!$B$33="B",'consumption scenario B'!AH67,IF(parameters!$B$33="C",'consumption scenario C'!AH67,'consumption scenario A'!AH67))</f>
        <v>0.10199999999999999</v>
      </c>
      <c r="AI80" s="308">
        <f>IF(parameters!$B$33="B",'consumption scenario B'!AI67,IF(parameters!$B$33="C",'consumption scenario C'!AI67,'consumption scenario A'!AI67))</f>
        <v>0.10199999999999999</v>
      </c>
      <c r="AJ80" s="308">
        <f>IF(parameters!$B$33="B",'consumption scenario B'!AJ67,IF(parameters!$B$33="C",'consumption scenario C'!AJ67,'consumption scenario A'!AJ67))</f>
        <v>0.10199999999999999</v>
      </c>
      <c r="AK80" s="308">
        <f>IF(parameters!$B$33="B",'consumption scenario B'!AK67,IF(parameters!$B$33="C",'consumption scenario C'!AK67,'consumption scenario A'!AK67))</f>
        <v>0.10199999999999999</v>
      </c>
      <c r="AL80" s="308">
        <f>IF(parameters!$B$33="B",'consumption scenario B'!AL67,IF(parameters!$B$33="C",'consumption scenario C'!AL67,'consumption scenario A'!AL67))</f>
        <v>0.10199999999999999</v>
      </c>
      <c r="AM80" s="308">
        <f>IF(parameters!$B$33="B",'consumption scenario B'!AM67,IF(parameters!$B$33="C",'consumption scenario C'!AM67,'consumption scenario A'!AM67))</f>
        <v>0.10199999999999999</v>
      </c>
      <c r="AN80" s="308">
        <f>IF(parameters!$B$33="B",'consumption scenario B'!AN67,IF(parameters!$B$33="C",'consumption scenario C'!AN67,'consumption scenario A'!AN67))</f>
        <v>0.10199999999999999</v>
      </c>
      <c r="AO80" s="308">
        <f>IF(parameters!$B$33="B",'consumption scenario B'!AO67,IF(parameters!$B$33="C",'consumption scenario C'!AO67,'consumption scenario A'!AO67))</f>
        <v>0.10199999999999999</v>
      </c>
      <c r="AP80" s="308">
        <f>IF(parameters!$B$33="B",'consumption scenario B'!AP67,IF(parameters!$B$33="C",'consumption scenario C'!AP67,'consumption scenario A'!AP67))</f>
        <v>0.10199999999999999</v>
      </c>
      <c r="AQ80" s="308">
        <f>IF(parameters!$B$33="B",'consumption scenario B'!AQ67,IF(parameters!$B$33="C",'consumption scenario C'!AQ67,'consumption scenario A'!AQ67))</f>
        <v>0.10199999999999999</v>
      </c>
      <c r="AR80" s="308">
        <f>IF(parameters!$B$33="B",'consumption scenario B'!AR67,IF(parameters!$B$33="C",'consumption scenario C'!AR67,'consumption scenario A'!AR67))</f>
        <v>0.10199999999999999</v>
      </c>
      <c r="AS80" s="308">
        <f>IF(parameters!$B$33="B",'consumption scenario B'!AS67,IF(parameters!$B$33="C",'consumption scenario C'!AS67,'consumption scenario A'!AS67))</f>
        <v>0.10199999999999999</v>
      </c>
      <c r="AT80" s="308">
        <f>IF(parameters!$B$33="B",'consumption scenario B'!AT67,IF(parameters!$B$33="C",'consumption scenario C'!AT67,'consumption scenario A'!AT67))</f>
        <v>0.10199999999999999</v>
      </c>
      <c r="AU80" s="308">
        <f>IF(parameters!$B$33="B",'consumption scenario B'!AU67,IF(parameters!$B$33="C",'consumption scenario C'!AU67,'consumption scenario A'!AU67))</f>
        <v>0.10199999999999999</v>
      </c>
    </row>
    <row r="81" spans="1:54" s="230" customFormat="1">
      <c r="A81" s="383" t="s">
        <v>249</v>
      </c>
      <c r="B81" s="308">
        <f>IF(parameters!$B$33="B",'consumption scenario B'!B68,IF(parameters!$B$33="C",'consumption scenario C'!B68,'consumption scenario A'!B68))</f>
        <v>0</v>
      </c>
      <c r="C81" s="308">
        <f>IF(parameters!$B$33="B",'consumption scenario B'!C68,IF(parameters!$B$33="C",'consumption scenario C'!C68,'consumption scenario A'!C68))</f>
        <v>0</v>
      </c>
      <c r="D81" s="308">
        <f>IF(parameters!$B$33="B",'consumption scenario B'!D68,IF(parameters!$B$33="C",'consumption scenario C'!D68,'consumption scenario A'!D68))</f>
        <v>0</v>
      </c>
      <c r="E81" s="308">
        <f>IF(parameters!$B$33="B",'consumption scenario B'!E68,IF(parameters!$B$33="C",'consumption scenario C'!E68,'consumption scenario A'!E68))</f>
        <v>0</v>
      </c>
      <c r="F81" s="308">
        <f>IF(parameters!$B$33="B",'consumption scenario B'!F68,IF(parameters!$B$33="C",'consumption scenario C'!F68,'consumption scenario A'!F68))</f>
        <v>0</v>
      </c>
      <c r="G81" s="308">
        <f>IF(parameters!$B$33="B",'consumption scenario B'!G68,IF(parameters!$B$33="C",'consumption scenario C'!G68,'consumption scenario A'!G68))</f>
        <v>0</v>
      </c>
      <c r="H81" s="308">
        <f>IF(parameters!$B$33="B",'consumption scenario B'!H68,IF(parameters!$B$33="C",'consumption scenario C'!H68,'consumption scenario A'!H68))</f>
        <v>0</v>
      </c>
      <c r="I81" s="308">
        <f>IF(parameters!$B$33="B",'consumption scenario B'!I68,IF(parameters!$B$33="C",'consumption scenario C'!I68,'consumption scenario A'!I68))</f>
        <v>4.8000000000000001E-4</v>
      </c>
      <c r="J81" s="308">
        <f>IF(parameters!$B$33="B",'consumption scenario B'!J68,IF(parameters!$B$33="C",'consumption scenario C'!J68,'consumption scenario A'!J68))</f>
        <v>7.1999999999999994E-4</v>
      </c>
      <c r="K81" s="308">
        <f>IF(parameters!$B$33="B",'consumption scenario B'!K68,IF(parameters!$B$33="C",'consumption scenario C'!K68,'consumption scenario A'!K68))</f>
        <v>9.5999999999999992E-4</v>
      </c>
      <c r="L81" s="308">
        <f>IF(parameters!$B$33="B",'consumption scenario B'!L68,IF(parameters!$B$33="C",'consumption scenario C'!L68,'consumption scenario A'!L68))</f>
        <v>1.1999999999999999E-3</v>
      </c>
      <c r="M81" s="308">
        <f>IF(parameters!$B$33="B",'consumption scenario B'!M68,IF(parameters!$B$33="C",'consumption scenario C'!M68,'consumption scenario A'!M68))</f>
        <v>1.4399999999999999E-3</v>
      </c>
      <c r="N81" s="308">
        <f>IF(parameters!$B$33="B",'consumption scenario B'!N68,IF(parameters!$B$33="C",'consumption scenario C'!N68,'consumption scenario A'!N68))</f>
        <v>1.6799999999999999E-3</v>
      </c>
      <c r="O81" s="308">
        <f>IF(parameters!$B$33="B",'consumption scenario B'!O68,IF(parameters!$B$33="C",'consumption scenario C'!O68,'consumption scenario A'!O68))</f>
        <v>1.9199999999999998E-3</v>
      </c>
      <c r="P81" s="308">
        <f>IF(parameters!$B$33="B",'consumption scenario B'!P68,IF(parameters!$B$33="C",'consumption scenario C'!P68,'consumption scenario A'!P68))</f>
        <v>2.1599999999999996E-3</v>
      </c>
      <c r="Q81" s="308">
        <f>IF(parameters!$B$33="B",'consumption scenario B'!Q68,IF(parameters!$B$33="C",'consumption scenario C'!Q68,'consumption scenario A'!Q68))</f>
        <v>2.3999999999999998E-3</v>
      </c>
      <c r="R81" s="308">
        <f>IF(parameters!$B$33="B",'consumption scenario B'!R68,IF(parameters!$B$33="C",'consumption scenario C'!R68,'consumption scenario A'!R68))</f>
        <v>2.3999999999999998E-3</v>
      </c>
      <c r="S81" s="308">
        <f>IF(parameters!$B$33="B",'consumption scenario B'!S68,IF(parameters!$B$33="C",'consumption scenario C'!S68,'consumption scenario A'!S68))</f>
        <v>2.3999999999999998E-3</v>
      </c>
      <c r="T81" s="308">
        <f>IF(parameters!$B$33="B",'consumption scenario B'!T68,IF(parameters!$B$33="C",'consumption scenario C'!T68,'consumption scenario A'!T68))</f>
        <v>2.3999999999999998E-3</v>
      </c>
      <c r="U81" s="308">
        <f>IF(parameters!$B$33="B",'consumption scenario B'!U68,IF(parameters!$B$33="C",'consumption scenario C'!U68,'consumption scenario A'!U68))</f>
        <v>2.4642088559872735E-3</v>
      </c>
      <c r="V81" s="308">
        <f>IF(parameters!$B$33="B",'consumption scenario B'!V68,IF(parameters!$B$33="C",'consumption scenario C'!V68,'consumption scenario A'!V68))</f>
        <v>2.4642088559872735E-3</v>
      </c>
      <c r="W81" s="308">
        <f>IF(parameters!$B$33="B",'consumption scenario B'!W68,IF(parameters!$B$33="C",'consumption scenario C'!W68,'consumption scenario A'!W68))</f>
        <v>3.2661369779701213E-3</v>
      </c>
      <c r="X81" s="308">
        <f>IF(parameters!$B$33="B",'consumption scenario B'!X68,IF(parameters!$B$33="C",'consumption scenario C'!X68,'consumption scenario A'!X68))</f>
        <v>3.2661369779701213E-3</v>
      </c>
      <c r="Y81" s="308">
        <f>IF(parameters!$B$33="B",'consumption scenario B'!Y68,IF(parameters!$B$33="C",'consumption scenario C'!Y68,'consumption scenario A'!Y68))</f>
        <v>3.2661369779701213E-3</v>
      </c>
      <c r="Z81" s="308">
        <f>IF(parameters!$B$33="B",'consumption scenario B'!Z68,IF(parameters!$B$33="C",'consumption scenario C'!Z68,'consumption scenario A'!Z68))</f>
        <v>3.7649310341666391E-3</v>
      </c>
      <c r="AA81" s="308">
        <f>IF(parameters!$B$33="B",'consumption scenario B'!AA68,IF(parameters!$B$33="C",'consumption scenario C'!AA68,'consumption scenario A'!AA68))</f>
        <v>3.7649310341666391E-3</v>
      </c>
      <c r="AB81" s="308">
        <f>IF(parameters!$B$33="B",'consumption scenario B'!AB68,IF(parameters!$B$33="C",'consumption scenario C'!AB68,'consumption scenario A'!AB68))</f>
        <v>3.7649310341666391E-3</v>
      </c>
      <c r="AC81" s="308">
        <f>IF(parameters!$B$33="B",'consumption scenario B'!AC68,IF(parameters!$B$33="C",'consumption scenario C'!AC68,'consumption scenario A'!AC68))</f>
        <v>3.7649310341666391E-3</v>
      </c>
      <c r="AD81" s="308">
        <f>IF(parameters!$B$33="B",'consumption scenario B'!AD68,IF(parameters!$B$33="C",'consumption scenario C'!AD68,'consumption scenario A'!AD68))</f>
        <v>3.7649310341666391E-3</v>
      </c>
      <c r="AE81" s="308">
        <f>IF(parameters!$B$33="B",'consumption scenario B'!AE68,IF(parameters!$B$33="C",'consumption scenario C'!AE68,'consumption scenario A'!AE68))</f>
        <v>3.7649310341666391E-3</v>
      </c>
      <c r="AF81" s="308">
        <f>IF(parameters!$B$33="B",'consumption scenario B'!AF68,IF(parameters!$B$33="C",'consumption scenario C'!AF68,'consumption scenario A'!AF68))</f>
        <v>3.7649310341666391E-3</v>
      </c>
      <c r="AG81" s="308">
        <f>IF(parameters!$B$33="B",'consumption scenario B'!AG68,IF(parameters!$B$33="C",'consumption scenario C'!AG68,'consumption scenario A'!AG68))</f>
        <v>3.7649310341666391E-3</v>
      </c>
      <c r="AH81" s="308">
        <f>IF(parameters!$B$33="B",'consumption scenario B'!AH68,IF(parameters!$B$33="C",'consumption scenario C'!AH68,'consumption scenario A'!AH68))</f>
        <v>3.7649310341666391E-3</v>
      </c>
      <c r="AI81" s="308">
        <f>IF(parameters!$B$33="B",'consumption scenario B'!AI68,IF(parameters!$B$33="C",'consumption scenario C'!AI68,'consumption scenario A'!AI68))</f>
        <v>3.7649310341666391E-3</v>
      </c>
      <c r="AJ81" s="308">
        <f>IF(parameters!$B$33="B",'consumption scenario B'!AJ68,IF(parameters!$B$33="C",'consumption scenario C'!AJ68,'consumption scenario A'!AJ68))</f>
        <v>3.7649310341666391E-3</v>
      </c>
      <c r="AK81" s="308">
        <f>IF(parameters!$B$33="B",'consumption scenario B'!AK68,IF(parameters!$B$33="C",'consumption scenario C'!AK68,'consumption scenario A'!AK68))</f>
        <v>3.7649310341666391E-3</v>
      </c>
      <c r="AL81" s="308">
        <f>IF(parameters!$B$33="B",'consumption scenario B'!AL68,IF(parameters!$B$33="C",'consumption scenario C'!AL68,'consumption scenario A'!AL68))</f>
        <v>3.7649310341666391E-3</v>
      </c>
      <c r="AM81" s="308">
        <f>IF(parameters!$B$33="B",'consumption scenario B'!AM68,IF(parameters!$B$33="C",'consumption scenario C'!AM68,'consumption scenario A'!AM68))</f>
        <v>3.7649310341666391E-3</v>
      </c>
      <c r="AN81" s="308">
        <f>IF(parameters!$B$33="B",'consumption scenario B'!AN68,IF(parameters!$B$33="C",'consumption scenario C'!AN68,'consumption scenario A'!AN68))</f>
        <v>3.7649310341666391E-3</v>
      </c>
      <c r="AO81" s="308">
        <f>IF(parameters!$B$33="B",'consumption scenario B'!AO68,IF(parameters!$B$33="C",'consumption scenario C'!AO68,'consumption scenario A'!AO68))</f>
        <v>3.7649310341666391E-3</v>
      </c>
      <c r="AP81" s="308">
        <f>IF(parameters!$B$33="B",'consumption scenario B'!AP68,IF(parameters!$B$33="C",'consumption scenario C'!AP68,'consumption scenario A'!AP68))</f>
        <v>3.7649310341666391E-3</v>
      </c>
      <c r="AQ81" s="308">
        <f>IF(parameters!$B$33="B",'consumption scenario B'!AQ68,IF(parameters!$B$33="C",'consumption scenario C'!AQ68,'consumption scenario A'!AQ68))</f>
        <v>3.7649310341666391E-3</v>
      </c>
      <c r="AR81" s="308">
        <f>IF(parameters!$B$33="B",'consumption scenario B'!AR68,IF(parameters!$B$33="C",'consumption scenario C'!AR68,'consumption scenario A'!AR68))</f>
        <v>3.7649310341666391E-3</v>
      </c>
      <c r="AS81" s="308">
        <f>IF(parameters!$B$33="B",'consumption scenario B'!AS68,IF(parameters!$B$33="C",'consumption scenario C'!AS68,'consumption scenario A'!AS68))</f>
        <v>3.7649310341666391E-3</v>
      </c>
      <c r="AT81" s="308">
        <f>IF(parameters!$B$33="B",'consumption scenario B'!AT68,IF(parameters!$B$33="C",'consumption scenario C'!AT68,'consumption scenario A'!AT68))</f>
        <v>3.7649310341666391E-3</v>
      </c>
      <c r="AU81" s="308">
        <f>IF(parameters!$B$33="B",'consumption scenario B'!AU68,IF(parameters!$B$33="C",'consumption scenario C'!AU68,'consumption scenario A'!AU68))</f>
        <v>3.7649310341666391E-3</v>
      </c>
    </row>
    <row r="82" spans="1:54" s="230" customFormat="1">
      <c r="A82" s="383" t="s">
        <v>354</v>
      </c>
      <c r="B82" s="308">
        <f>IF(parameters!$B$33="B",'consumption scenario B'!B69,IF(parameters!$B$33="C",'consumption scenario C'!B69,'consumption scenario A'!B69))</f>
        <v>9.592633848641679E-4</v>
      </c>
      <c r="C82" s="308">
        <f>IF(parameters!$B$33="B",'consumption scenario B'!C69,IF(parameters!$B$33="C",'consumption scenario C'!C69,'consumption scenario A'!C69))</f>
        <v>6.6179805189737096E-4</v>
      </c>
      <c r="D82" s="308">
        <f>IF(parameters!$B$33="B",'consumption scenario B'!D69,IF(parameters!$B$33="C",'consumption scenario C'!D69,'consumption scenario A'!D69))</f>
        <v>5.5542676186193815E-4</v>
      </c>
      <c r="E82" s="308">
        <f>IF(parameters!$B$33="B",'consumption scenario B'!E69,IF(parameters!$B$33="C",'consumption scenario C'!E69,'consumption scenario A'!E69))</f>
        <v>2.5830910345953057E-4</v>
      </c>
      <c r="F82" s="308">
        <f>IF(parameters!$B$33="B",'consumption scenario B'!F69,IF(parameters!$B$33="C",'consumption scenario C'!F69,'consumption scenario A'!F69))</f>
        <v>1.8068367152797817E-4</v>
      </c>
      <c r="G82" s="308">
        <f>IF(parameters!$B$33="B",'consumption scenario B'!G69,IF(parameters!$B$33="C",'consumption scenario C'!G69,'consumption scenario A'!G69))</f>
        <v>2.1218061970037025E-4</v>
      </c>
      <c r="H82" s="308">
        <f>IF(parameters!$B$33="B",'consumption scenario B'!H69,IF(parameters!$B$33="C",'consumption scenario C'!H69,'consumption scenario A'!H69))</f>
        <v>5.4013262840766458E-4</v>
      </c>
      <c r="I82" s="308">
        <f>IF(parameters!$B$33="B",'consumption scenario B'!I69,IF(parameters!$B$33="C",'consumption scenario C'!I69,'consumption scenario A'!I69))</f>
        <v>9.2300684908240842E-4</v>
      </c>
      <c r="J82" s="308">
        <f>IF(parameters!$B$33="B",'consumption scenario B'!J69,IF(parameters!$B$33="C",'consumption scenario C'!J69,'consumption scenario A'!J69))</f>
        <v>6.6516882400011375E-4</v>
      </c>
      <c r="K82" s="308">
        <f>IF(parameters!$B$33="B",'consumption scenario B'!K69,IF(parameters!$B$33="C",'consumption scenario C'!K69,'consumption scenario A'!K69))</f>
        <v>1.1378056921532269E-3</v>
      </c>
      <c r="L82" s="308">
        <f>IF(parameters!$B$33="B",'consumption scenario B'!L69,IF(parameters!$B$33="C",'consumption scenario C'!L69,'consumption scenario A'!L69))</f>
        <v>1.5073479589894744E-3</v>
      </c>
      <c r="M82" s="308">
        <f>IF(parameters!$B$33="B",'consumption scenario B'!M69,IF(parameters!$B$33="C",'consumption scenario C'!M69,'consumption scenario A'!M69))</f>
        <v>1.6943692538730864E-3</v>
      </c>
      <c r="N82" s="308">
        <f>IF(parameters!$B$33="B",'consumption scenario B'!N69,IF(parameters!$B$33="C",'consumption scenario C'!N69,'consumption scenario A'!N69))</f>
        <v>1.292764921153633E-3</v>
      </c>
      <c r="O82" s="308">
        <f>IF(parameters!$B$33="B",'consumption scenario B'!O69,IF(parameters!$B$33="C",'consumption scenario C'!O69,'consumption scenario A'!O69))</f>
        <v>1.1933598960928769E-3</v>
      </c>
      <c r="P82" s="308">
        <f>IF(parameters!$B$33="B",'consumption scenario B'!P69,IF(parameters!$B$33="C",'consumption scenario C'!P69,'consumption scenario A'!P69))</f>
        <v>1.1933598960928769E-3</v>
      </c>
      <c r="Q82" s="308">
        <f>IF(parameters!$B$33="B",'consumption scenario B'!Q69,IF(parameters!$B$33="C",'consumption scenario C'!Q69,'consumption scenario A'!Q69))</f>
        <v>1.1933598960928769E-3</v>
      </c>
      <c r="R82" s="308">
        <f>IF(parameters!$B$33="B",'consumption scenario B'!R69,IF(parameters!$B$33="C",'consumption scenario C'!R69,'consumption scenario A'!R69))</f>
        <v>1.1933598960928769E-3</v>
      </c>
      <c r="S82" s="308">
        <f>IF(parameters!$B$33="B",'consumption scenario B'!S69,IF(parameters!$B$33="C",'consumption scenario C'!S69,'consumption scenario A'!S69))</f>
        <v>1.1933598960928769E-3</v>
      </c>
      <c r="T82" s="308">
        <f>IF(parameters!$B$33="B",'consumption scenario B'!T69,IF(parameters!$B$33="C",'consumption scenario C'!T69,'consumption scenario A'!T69))</f>
        <v>1.1933598960928769E-3</v>
      </c>
      <c r="U82" s="308">
        <f>IF(parameters!$B$33="B",'consumption scenario B'!U69,IF(parameters!$B$33="C",'consumption scenario C'!U69,'consumption scenario A'!U69))</f>
        <v>1.1933598960928769E-3</v>
      </c>
      <c r="V82" s="308">
        <f>IF(parameters!$B$33="B",'consumption scenario B'!V69,IF(parameters!$B$33="C",'consumption scenario C'!V69,'consumption scenario A'!V69))</f>
        <v>1.1933598960928769E-3</v>
      </c>
      <c r="W82" s="308">
        <f>IF(parameters!$B$33="B",'consumption scenario B'!W69,IF(parameters!$B$33="C",'consumption scenario C'!W69,'consumption scenario A'!W69))</f>
        <v>1.1933598960928769E-3</v>
      </c>
      <c r="X82" s="308">
        <f>IF(parameters!$B$33="B",'consumption scenario B'!X69,IF(parameters!$B$33="C",'consumption scenario C'!X69,'consumption scenario A'!X69))</f>
        <v>1.1933598960928769E-3</v>
      </c>
      <c r="Y82" s="308">
        <f>IF(parameters!$B$33="B",'consumption scenario B'!Y69,IF(parameters!$B$33="C",'consumption scenario C'!Y69,'consumption scenario A'!Y69))</f>
        <v>1.1933598960928769E-3</v>
      </c>
      <c r="Z82" s="308">
        <f>IF(parameters!$B$33="B",'consumption scenario B'!Z69,IF(parameters!$B$33="C",'consumption scenario C'!Z69,'consumption scenario A'!Z69))</f>
        <v>1.1933598960928769E-3</v>
      </c>
      <c r="AA82" s="308">
        <f>IF(parameters!$B$33="B",'consumption scenario B'!AA69,IF(parameters!$B$33="C",'consumption scenario C'!AA69,'consumption scenario A'!AA69))</f>
        <v>1.1933598960928769E-3</v>
      </c>
      <c r="AB82" s="308">
        <f>IF(parameters!$B$33="B",'consumption scenario B'!AB69,IF(parameters!$B$33="C",'consumption scenario C'!AB69,'consumption scenario A'!AB69))</f>
        <v>1.1933598960928769E-3</v>
      </c>
      <c r="AC82" s="308">
        <f>IF(parameters!$B$33="B",'consumption scenario B'!AC69,IF(parameters!$B$33="C",'consumption scenario C'!AC69,'consumption scenario A'!AC69))</f>
        <v>1.1933598960928769E-3</v>
      </c>
      <c r="AD82" s="308">
        <f>IF(parameters!$B$33="B",'consumption scenario B'!AD69,IF(parameters!$B$33="C",'consumption scenario C'!AD69,'consumption scenario A'!AD69))</f>
        <v>1.1933598960928769E-3</v>
      </c>
      <c r="AE82" s="308">
        <f>IF(parameters!$B$33="B",'consumption scenario B'!AE69,IF(parameters!$B$33="C",'consumption scenario C'!AE69,'consumption scenario A'!AE69))</f>
        <v>1.1933598960928769E-3</v>
      </c>
      <c r="AF82" s="308">
        <f>IF(parameters!$B$33="B",'consumption scenario B'!AF69,IF(parameters!$B$33="C",'consumption scenario C'!AF69,'consumption scenario A'!AF69))</f>
        <v>1.1933598960928769E-3</v>
      </c>
      <c r="AG82" s="308">
        <f>IF(parameters!$B$33="B",'consumption scenario B'!AG69,IF(parameters!$B$33="C",'consumption scenario C'!AG69,'consumption scenario A'!AG69))</f>
        <v>1.1933598960928769E-3</v>
      </c>
      <c r="AH82" s="308">
        <f>IF(parameters!$B$33="B",'consumption scenario B'!AH69,IF(parameters!$B$33="C",'consumption scenario C'!AH69,'consumption scenario A'!AH69))</f>
        <v>1.1933598960928769E-3</v>
      </c>
      <c r="AI82" s="308">
        <f>IF(parameters!$B$33="B",'consumption scenario B'!AI69,IF(parameters!$B$33="C",'consumption scenario C'!AI69,'consumption scenario A'!AI69))</f>
        <v>1.1933598960928769E-3</v>
      </c>
      <c r="AJ82" s="308">
        <f>IF(parameters!$B$33="B",'consumption scenario B'!AJ69,IF(parameters!$B$33="C",'consumption scenario C'!AJ69,'consumption scenario A'!AJ69))</f>
        <v>1.1933598960928769E-3</v>
      </c>
      <c r="AK82" s="308">
        <f>IF(parameters!$B$33="B",'consumption scenario B'!AK69,IF(parameters!$B$33="C",'consumption scenario C'!AK69,'consumption scenario A'!AK69))</f>
        <v>1.1933598960928769E-3</v>
      </c>
      <c r="AL82" s="308">
        <f>IF(parameters!$B$33="B",'consumption scenario B'!AL69,IF(parameters!$B$33="C",'consumption scenario C'!AL69,'consumption scenario A'!AL69))</f>
        <v>1.1933598960928769E-3</v>
      </c>
      <c r="AM82" s="308">
        <f>IF(parameters!$B$33="B",'consumption scenario B'!AM69,IF(parameters!$B$33="C",'consumption scenario C'!AM69,'consumption scenario A'!AM69))</f>
        <v>1.1933598960928769E-3</v>
      </c>
      <c r="AN82" s="308">
        <f>IF(parameters!$B$33="B",'consumption scenario B'!AN69,IF(parameters!$B$33="C",'consumption scenario C'!AN69,'consumption scenario A'!AN69))</f>
        <v>1.1933598960928769E-3</v>
      </c>
      <c r="AO82" s="308">
        <f>IF(parameters!$B$33="B",'consumption scenario B'!AO69,IF(parameters!$B$33="C",'consumption scenario C'!AO69,'consumption scenario A'!AO69))</f>
        <v>1.1933598960928769E-3</v>
      </c>
      <c r="AP82" s="308">
        <f>IF(parameters!$B$33="B",'consumption scenario B'!AP69,IF(parameters!$B$33="C",'consumption scenario C'!AP69,'consumption scenario A'!AP69))</f>
        <v>1.1933598960928769E-3</v>
      </c>
      <c r="AQ82" s="308">
        <f>IF(parameters!$B$33="B",'consumption scenario B'!AQ69,IF(parameters!$B$33="C",'consumption scenario C'!AQ69,'consumption scenario A'!AQ69))</f>
        <v>1.1933598960928769E-3</v>
      </c>
      <c r="AR82" s="308">
        <f>IF(parameters!$B$33="B",'consumption scenario B'!AR69,IF(parameters!$B$33="C",'consumption scenario C'!AR69,'consumption scenario A'!AR69))</f>
        <v>1.1933598960928769E-3</v>
      </c>
      <c r="AS82" s="308">
        <f>IF(parameters!$B$33="B",'consumption scenario B'!AS69,IF(parameters!$B$33="C",'consumption scenario C'!AS69,'consumption scenario A'!AS69))</f>
        <v>1.1933598960928769E-3</v>
      </c>
      <c r="AT82" s="308">
        <f>IF(parameters!$B$33="B",'consumption scenario B'!AT69,IF(parameters!$B$33="C",'consumption scenario C'!AT69,'consumption scenario A'!AT69))</f>
        <v>1.1933598960928769E-3</v>
      </c>
      <c r="AU82" s="308">
        <f>IF(parameters!$B$33="B",'consumption scenario B'!AU69,IF(parameters!$B$33="C",'consumption scenario C'!AU69,'consumption scenario A'!AU69))</f>
        <v>1.1933598960928769E-3</v>
      </c>
    </row>
    <row r="83" spans="1:54" s="230" customFormat="1">
      <c r="A83" s="383" t="s">
        <v>353</v>
      </c>
      <c r="B83" s="308">
        <f>IF(parameters!$B$33="B",'consumption scenario B'!B70,IF(parameters!$B$33="C",'consumption scenario C'!B70,'consumption scenario A'!B70))</f>
        <v>1.7988273821387636E-3</v>
      </c>
      <c r="C83" s="308">
        <f>IF(parameters!$B$33="B",'consumption scenario B'!C70,IF(parameters!$B$33="C",'consumption scenario C'!C70,'consumption scenario A'!C70))</f>
        <v>3.7971039237130817E-3</v>
      </c>
      <c r="D83" s="308">
        <f>IF(parameters!$B$33="B",'consumption scenario B'!D70,IF(parameters!$B$33="C",'consumption scenario C'!D70,'consumption scenario A'!D70))</f>
        <v>3.2678155152453536E-3</v>
      </c>
      <c r="E83" s="308">
        <f>IF(parameters!$B$33="B",'consumption scenario B'!E70,IF(parameters!$B$33="C",'consumption scenario C'!E70,'consumption scenario A'!E70))</f>
        <v>3.1014176230452096E-3</v>
      </c>
      <c r="F83" s="308">
        <f>IF(parameters!$B$33="B",'consumption scenario B'!F70,IF(parameters!$B$33="C",'consumption scenario C'!F70,'consumption scenario A'!F70))</f>
        <v>3.3325198104813083E-3</v>
      </c>
      <c r="G83" s="308">
        <f>IF(parameters!$B$33="B",'consumption scenario B'!G70,IF(parameters!$B$33="C",'consumption scenario C'!G70,'consumption scenario A'!G70))</f>
        <v>3.757657773227268E-3</v>
      </c>
      <c r="H83" s="308">
        <f>IF(parameters!$B$33="B",'consumption scenario B'!H70,IF(parameters!$B$33="C",'consumption scenario C'!H70,'consumption scenario A'!H70))</f>
        <v>3.6984032984225127E-3</v>
      </c>
      <c r="I83" s="308">
        <f>IF(parameters!$B$33="B",'consumption scenario B'!I70,IF(parameters!$B$33="C",'consumption scenario C'!I70,'consumption scenario A'!I70))</f>
        <v>3.343485915486194E-3</v>
      </c>
      <c r="J83" s="308">
        <f>IF(parameters!$B$33="B",'consumption scenario B'!J70,IF(parameters!$B$33="C",'consumption scenario C'!J70,'consumption scenario A'!J70))</f>
        <v>2.4301587792292067E-3</v>
      </c>
      <c r="K83" s="308">
        <f>IF(parameters!$B$33="B",'consumption scenario B'!K70,IF(parameters!$B$33="C",'consumption scenario C'!K70,'consumption scenario A'!K70))</f>
        <v>2.2222026885845405E-3</v>
      </c>
      <c r="L83" s="308">
        <f>IF(parameters!$B$33="B",'consumption scenario B'!L70,IF(parameters!$B$33="C",'consumption scenario C'!L70,'consumption scenario A'!L70))</f>
        <v>1.2535607064825709E-3</v>
      </c>
      <c r="M83" s="308">
        <f>IF(parameters!$B$33="B",'consumption scenario B'!M70,IF(parameters!$B$33="C",'consumption scenario C'!M70,'consumption scenario A'!M70))</f>
        <v>1.2658171108505154E-3</v>
      </c>
      <c r="N83" s="308">
        <f>IF(parameters!$B$33="B",'consumption scenario B'!N70,IF(parameters!$B$33="C",'consumption scenario C'!N70,'consumption scenario A'!N70))</f>
        <v>1.8524568626935116E-3</v>
      </c>
      <c r="O83" s="308">
        <f>IF(parameters!$B$33="B",'consumption scenario B'!O70,IF(parameters!$B$33="C",'consumption scenario C'!O70,'consumption scenario A'!O70))</f>
        <v>2.0591872218044594E-3</v>
      </c>
      <c r="P83" s="308">
        <f>IF(parameters!$B$33="B",'consumption scenario B'!P70,IF(parameters!$B$33="C",'consumption scenario C'!P70,'consumption scenario A'!P70))</f>
        <v>2.0591872218044594E-3</v>
      </c>
      <c r="Q83" s="308">
        <f>IF(parameters!$B$33="B",'consumption scenario B'!Q70,IF(parameters!$B$33="C",'consumption scenario C'!Q70,'consumption scenario A'!Q70))</f>
        <v>2.0591872218044594E-3</v>
      </c>
      <c r="R83" s="308">
        <f>IF(parameters!$B$33="B",'consumption scenario B'!R70,IF(parameters!$B$33="C",'consumption scenario C'!R70,'consumption scenario A'!R70))</f>
        <v>2.0591872218044594E-3</v>
      </c>
      <c r="S83" s="308">
        <f>IF(parameters!$B$33="B",'consumption scenario B'!S70,IF(parameters!$B$33="C",'consumption scenario C'!S70,'consumption scenario A'!S70))</f>
        <v>2.0591872218044594E-3</v>
      </c>
      <c r="T83" s="308">
        <f>IF(parameters!$B$33="B",'consumption scenario B'!T70,IF(parameters!$B$33="C",'consumption scenario C'!T70,'consumption scenario A'!T70))</f>
        <v>2.0591872218044594E-3</v>
      </c>
      <c r="U83" s="308">
        <f>IF(parameters!$B$33="B",'consumption scenario B'!U70,IF(parameters!$B$33="C",'consumption scenario C'!U70,'consumption scenario A'!U70))</f>
        <v>2.0591872218044594E-3</v>
      </c>
      <c r="V83" s="308">
        <f>IF(parameters!$B$33="B",'consumption scenario B'!V70,IF(parameters!$B$33="C",'consumption scenario C'!V70,'consumption scenario A'!V70))</f>
        <v>2.0591872218044594E-3</v>
      </c>
      <c r="W83" s="308">
        <f>IF(parameters!$B$33="B",'consumption scenario B'!W70,IF(parameters!$B$33="C",'consumption scenario C'!W70,'consumption scenario A'!W70))</f>
        <v>2.0591872218044594E-3</v>
      </c>
      <c r="X83" s="308">
        <f>IF(parameters!$B$33="B",'consumption scenario B'!X70,IF(parameters!$B$33="C",'consumption scenario C'!X70,'consumption scenario A'!X70))</f>
        <v>2.0591872218044594E-3</v>
      </c>
      <c r="Y83" s="308">
        <f>IF(parameters!$B$33="B",'consumption scenario B'!Y70,IF(parameters!$B$33="C",'consumption scenario C'!Y70,'consumption scenario A'!Y70))</f>
        <v>2.0591872218044594E-3</v>
      </c>
      <c r="Z83" s="308">
        <f>IF(parameters!$B$33="B",'consumption scenario B'!Z70,IF(parameters!$B$33="C",'consumption scenario C'!Z70,'consumption scenario A'!Z70))</f>
        <v>2.0591872218044594E-3</v>
      </c>
      <c r="AA83" s="308">
        <f>IF(parameters!$B$33="B",'consumption scenario B'!AA70,IF(parameters!$B$33="C",'consumption scenario C'!AA70,'consumption scenario A'!AA70))</f>
        <v>2.0591872218044594E-3</v>
      </c>
      <c r="AB83" s="308">
        <f>IF(parameters!$B$33="B",'consumption scenario B'!AB70,IF(parameters!$B$33="C",'consumption scenario C'!AB70,'consumption scenario A'!AB70))</f>
        <v>2.0591872218044594E-3</v>
      </c>
      <c r="AC83" s="308">
        <f>IF(parameters!$B$33="B",'consumption scenario B'!AC70,IF(parameters!$B$33="C",'consumption scenario C'!AC70,'consumption scenario A'!AC70))</f>
        <v>2.0591872218044594E-3</v>
      </c>
      <c r="AD83" s="308">
        <f>IF(parameters!$B$33="B",'consumption scenario B'!AD70,IF(parameters!$B$33="C",'consumption scenario C'!AD70,'consumption scenario A'!AD70))</f>
        <v>2.0591872218044594E-3</v>
      </c>
      <c r="AE83" s="308">
        <f>IF(parameters!$B$33="B",'consumption scenario B'!AE70,IF(parameters!$B$33="C",'consumption scenario C'!AE70,'consumption scenario A'!AE70))</f>
        <v>2.0591872218044594E-3</v>
      </c>
      <c r="AF83" s="308">
        <f>IF(parameters!$B$33="B",'consumption scenario B'!AF70,IF(parameters!$B$33="C",'consumption scenario C'!AF70,'consumption scenario A'!AF70))</f>
        <v>2.0591872218044594E-3</v>
      </c>
      <c r="AG83" s="308">
        <f>IF(parameters!$B$33="B",'consumption scenario B'!AG70,IF(parameters!$B$33="C",'consumption scenario C'!AG70,'consumption scenario A'!AG70))</f>
        <v>2.0591872218044594E-3</v>
      </c>
      <c r="AH83" s="308">
        <f>IF(parameters!$B$33="B",'consumption scenario B'!AH70,IF(parameters!$B$33="C",'consumption scenario C'!AH70,'consumption scenario A'!AH70))</f>
        <v>2.0591872218044594E-3</v>
      </c>
      <c r="AI83" s="308">
        <f>IF(parameters!$B$33="B",'consumption scenario B'!AI70,IF(parameters!$B$33="C",'consumption scenario C'!AI70,'consumption scenario A'!AI70))</f>
        <v>2.0591872218044594E-3</v>
      </c>
      <c r="AJ83" s="308">
        <f>IF(parameters!$B$33="B",'consumption scenario B'!AJ70,IF(parameters!$B$33="C",'consumption scenario C'!AJ70,'consumption scenario A'!AJ70))</f>
        <v>2.0591872218044594E-3</v>
      </c>
      <c r="AK83" s="308">
        <f>IF(parameters!$B$33="B",'consumption scenario B'!AK70,IF(parameters!$B$33="C",'consumption scenario C'!AK70,'consumption scenario A'!AK70))</f>
        <v>2.0591872218044594E-3</v>
      </c>
      <c r="AL83" s="308">
        <f>IF(parameters!$B$33="B",'consumption scenario B'!AL70,IF(parameters!$B$33="C",'consumption scenario C'!AL70,'consumption scenario A'!AL70))</f>
        <v>2.0591872218044594E-3</v>
      </c>
      <c r="AM83" s="308">
        <f>IF(parameters!$B$33="B",'consumption scenario B'!AM70,IF(parameters!$B$33="C",'consumption scenario C'!AM70,'consumption scenario A'!AM70))</f>
        <v>2.0591872218044594E-3</v>
      </c>
      <c r="AN83" s="308">
        <f>IF(parameters!$B$33="B",'consumption scenario B'!AN70,IF(parameters!$B$33="C",'consumption scenario C'!AN70,'consumption scenario A'!AN70))</f>
        <v>2.0591872218044594E-3</v>
      </c>
      <c r="AO83" s="308">
        <f>IF(parameters!$B$33="B",'consumption scenario B'!AO70,IF(parameters!$B$33="C",'consumption scenario C'!AO70,'consumption scenario A'!AO70))</f>
        <v>2.0591872218044594E-3</v>
      </c>
      <c r="AP83" s="308">
        <f>IF(parameters!$B$33="B",'consumption scenario B'!AP70,IF(parameters!$B$33="C",'consumption scenario C'!AP70,'consumption scenario A'!AP70))</f>
        <v>2.0591872218044594E-3</v>
      </c>
      <c r="AQ83" s="308">
        <f>IF(parameters!$B$33="B",'consumption scenario B'!AQ70,IF(parameters!$B$33="C",'consumption scenario C'!AQ70,'consumption scenario A'!AQ70))</f>
        <v>2.0591872218044594E-3</v>
      </c>
      <c r="AR83" s="308">
        <f>IF(parameters!$B$33="B",'consumption scenario B'!AR70,IF(parameters!$B$33="C",'consumption scenario C'!AR70,'consumption scenario A'!AR70))</f>
        <v>2.0591872218044594E-3</v>
      </c>
      <c r="AS83" s="308">
        <f>IF(parameters!$B$33="B",'consumption scenario B'!AS70,IF(parameters!$B$33="C",'consumption scenario C'!AS70,'consumption scenario A'!AS70))</f>
        <v>2.0591872218044594E-3</v>
      </c>
      <c r="AT83" s="308">
        <f>IF(parameters!$B$33="B",'consumption scenario B'!AT70,IF(parameters!$B$33="C",'consumption scenario C'!AT70,'consumption scenario A'!AT70))</f>
        <v>2.0591872218044594E-3</v>
      </c>
      <c r="AU83" s="308">
        <f>IF(parameters!$B$33="B",'consumption scenario B'!AU70,IF(parameters!$B$33="C",'consumption scenario C'!AU70,'consumption scenario A'!AU70))</f>
        <v>2.0591872218044594E-3</v>
      </c>
    </row>
    <row r="84" spans="1:54" s="230" customFormat="1">
      <c r="A84" s="383" t="s">
        <v>355</v>
      </c>
      <c r="B84" s="308">
        <f>IF(parameters!$B$33="B",'consumption scenario B'!B71,IF(parameters!$B$33="C",'consumption scenario C'!B71,'consumption scenario A'!B71))</f>
        <v>3.7126472073078278E-4</v>
      </c>
      <c r="C84" s="308">
        <f>IF(parameters!$B$33="B",'consumption scenario B'!C71,IF(parameters!$B$33="C",'consumption scenario C'!C71,'consumption scenario A'!C71))</f>
        <v>1.2425532829452244E-4</v>
      </c>
      <c r="D84" s="308">
        <f>IF(parameters!$B$33="B",'consumption scenario B'!D71,IF(parameters!$B$33="C",'consumption scenario C'!D71,'consumption scenario A'!D71))</f>
        <v>1.4636471939059393E-4</v>
      </c>
      <c r="E84" s="308">
        <f>IF(parameters!$B$33="B",'consumption scenario B'!E71,IF(parameters!$B$33="C",'consumption scenario C'!E71,'consumption scenario A'!E71))</f>
        <v>2.1736563262060333E-4</v>
      </c>
      <c r="F84" s="308">
        <f>IF(parameters!$B$33="B",'consumption scenario B'!F71,IF(parameters!$B$33="C",'consumption scenario C'!F71,'consumption scenario A'!F71))</f>
        <v>3.2235988416141811E-4</v>
      </c>
      <c r="G84" s="308">
        <f>IF(parameters!$B$33="B",'consumption scenario B'!G71,IF(parameters!$B$33="C",'consumption scenario C'!G71,'consumption scenario A'!G71))</f>
        <v>3.2192229378798264E-4</v>
      </c>
      <c r="H84" s="308">
        <f>IF(parameters!$B$33="B",'consumption scenario B'!H71,IF(parameters!$B$33="C",'consumption scenario C'!H71,'consumption scenario A'!H71))</f>
        <v>2.9972500167656517E-4</v>
      </c>
      <c r="I84" s="308">
        <f>IF(parameters!$B$33="B",'consumption scenario B'!I71,IF(parameters!$B$33="C",'consumption scenario C'!I71,'consumption scenario A'!I71))</f>
        <v>4.015224300404352E-4</v>
      </c>
      <c r="J84" s="308">
        <f>IF(parameters!$B$33="B",'consumption scenario B'!J71,IF(parameters!$B$33="C",'consumption scenario C'!J71,'consumption scenario A'!J71))</f>
        <v>4.3286730997305067E-4</v>
      </c>
      <c r="K84" s="308">
        <f>IF(parameters!$B$33="B",'consumption scenario B'!K71,IF(parameters!$B$33="C",'consumption scenario C'!K71,'consumption scenario A'!K71))</f>
        <v>6.5332497557524238E-4</v>
      </c>
      <c r="L84" s="308">
        <f>IF(parameters!$B$33="B",'consumption scenario B'!L71,IF(parameters!$B$33="C",'consumption scenario C'!L71,'consumption scenario A'!L71))</f>
        <v>5.6699344327659773E-4</v>
      </c>
      <c r="M84" s="308">
        <f>IF(parameters!$B$33="B",'consumption scenario B'!M71,IF(parameters!$B$33="C",'consumption scenario C'!M71,'consumption scenario A'!M71))</f>
        <v>5.4995504879307155E-4</v>
      </c>
      <c r="N84" s="308">
        <f>IF(parameters!$B$33="B",'consumption scenario B'!N71,IF(parameters!$B$33="C",'consumption scenario C'!N71,'consumption scenario A'!N71))</f>
        <v>3.7468765306014618E-4</v>
      </c>
      <c r="O84" s="308">
        <f>IF(parameters!$B$33="B",'consumption scenario B'!O71,IF(parameters!$B$33="C",'consumption scenario C'!O71,'consumption scenario A'!O71))</f>
        <v>4.931094611706488E-4</v>
      </c>
      <c r="P84" s="308">
        <f>IF(parameters!$B$33="B",'consumption scenario B'!P71,IF(parameters!$B$33="C",'consumption scenario C'!P71,'consumption scenario A'!P71))</f>
        <v>4.9310946117042675E-4</v>
      </c>
      <c r="Q84" s="308">
        <f>IF(parameters!$B$33="B",'consumption scenario B'!Q71,IF(parameters!$B$33="C",'consumption scenario C'!Q71,'consumption scenario A'!Q71))</f>
        <v>4.931094611706488E-4</v>
      </c>
      <c r="R84" s="308">
        <f>IF(parameters!$B$33="B",'consumption scenario B'!R71,IF(parameters!$B$33="C",'consumption scenario C'!R71,'consumption scenario A'!R71))</f>
        <v>4.931094611706488E-4</v>
      </c>
      <c r="S84" s="308">
        <f>IF(parameters!$B$33="B",'consumption scenario B'!S71,IF(parameters!$B$33="C",'consumption scenario C'!S71,'consumption scenario A'!S71))</f>
        <v>4.931094611706488E-4</v>
      </c>
      <c r="T84" s="308">
        <f>IF(parameters!$B$33="B",'consumption scenario B'!T71,IF(parameters!$B$33="C",'consumption scenario C'!T71,'consumption scenario A'!T71))</f>
        <v>4.9310946117075982E-4</v>
      </c>
      <c r="U84" s="308">
        <f>IF(parameters!$B$33="B",'consumption scenario B'!U71,IF(parameters!$B$33="C",'consumption scenario C'!U71,'consumption scenario A'!U71))</f>
        <v>4.931094611706488E-4</v>
      </c>
      <c r="V84" s="308">
        <f>IF(parameters!$B$33="B",'consumption scenario B'!V71,IF(parameters!$B$33="C",'consumption scenario C'!V71,'consumption scenario A'!V71))</f>
        <v>4.931094611706488E-4</v>
      </c>
      <c r="W84" s="308">
        <f>IF(parameters!$B$33="B",'consumption scenario B'!W71,IF(parameters!$B$33="C",'consumption scenario C'!W71,'consumption scenario A'!W71))</f>
        <v>4.931094611706488E-4</v>
      </c>
      <c r="X84" s="308">
        <f>IF(parameters!$B$33="B",'consumption scenario B'!X71,IF(parameters!$B$33="C",'consumption scenario C'!X71,'consumption scenario A'!X71))</f>
        <v>4.931094611706488E-4</v>
      </c>
      <c r="Y84" s="308">
        <f>IF(parameters!$B$33="B",'consumption scenario B'!Y71,IF(parameters!$B$33="C",'consumption scenario C'!Y71,'consumption scenario A'!Y71))</f>
        <v>4.931094611706488E-4</v>
      </c>
      <c r="Z84" s="308">
        <f>IF(parameters!$B$33="B",'consumption scenario B'!Z71,IF(parameters!$B$33="C",'consumption scenario C'!Z71,'consumption scenario A'!Z71))</f>
        <v>4.931094611706488E-4</v>
      </c>
      <c r="AA84" s="308">
        <f>IF(parameters!$B$33="B",'consumption scenario B'!AA71,IF(parameters!$B$33="C",'consumption scenario C'!AA71,'consumption scenario A'!AA71))</f>
        <v>4.931094611706488E-4</v>
      </c>
      <c r="AB84" s="308">
        <f>IF(parameters!$B$33="B",'consumption scenario B'!AB71,IF(parameters!$B$33="C",'consumption scenario C'!AB71,'consumption scenario A'!AB71))</f>
        <v>4.931094611706488E-4</v>
      </c>
      <c r="AC84" s="308">
        <f>IF(parameters!$B$33="B",'consumption scenario B'!AC71,IF(parameters!$B$33="C",'consumption scenario C'!AC71,'consumption scenario A'!AC71))</f>
        <v>4.931094611706488E-4</v>
      </c>
      <c r="AD84" s="308">
        <f>IF(parameters!$B$33="B",'consumption scenario B'!AD71,IF(parameters!$B$33="C",'consumption scenario C'!AD71,'consumption scenario A'!AD71))</f>
        <v>4.931094611706488E-4</v>
      </c>
      <c r="AE84" s="308">
        <f>IF(parameters!$B$33="B",'consumption scenario B'!AE71,IF(parameters!$B$33="C",'consumption scenario C'!AE71,'consumption scenario A'!AE71))</f>
        <v>4.931094611706488E-4</v>
      </c>
      <c r="AF84" s="308">
        <f>IF(parameters!$B$33="B",'consumption scenario B'!AF71,IF(parameters!$B$33="C",'consumption scenario C'!AF71,'consumption scenario A'!AF71))</f>
        <v>4.931094611706488E-4</v>
      </c>
      <c r="AG84" s="308">
        <f>IF(parameters!$B$33="B",'consumption scenario B'!AG71,IF(parameters!$B$33="C",'consumption scenario C'!AG71,'consumption scenario A'!AG71))</f>
        <v>4.931094611706488E-4</v>
      </c>
      <c r="AH84" s="308">
        <f>IF(parameters!$B$33="B",'consumption scenario B'!AH71,IF(parameters!$B$33="C",'consumption scenario C'!AH71,'consumption scenario A'!AH71))</f>
        <v>4.931094611706488E-4</v>
      </c>
      <c r="AI84" s="308">
        <f>IF(parameters!$B$33="B",'consumption scenario B'!AI71,IF(parameters!$B$33="C",'consumption scenario C'!AI71,'consumption scenario A'!AI71))</f>
        <v>4.931094611706488E-4</v>
      </c>
      <c r="AJ84" s="308">
        <f>IF(parameters!$B$33="B",'consumption scenario B'!AJ71,IF(parameters!$B$33="C",'consumption scenario C'!AJ71,'consumption scenario A'!AJ71))</f>
        <v>4.931094611706488E-4</v>
      </c>
      <c r="AK84" s="308">
        <f>IF(parameters!$B$33="B",'consumption scenario B'!AK71,IF(parameters!$B$33="C",'consumption scenario C'!AK71,'consumption scenario A'!AK71))</f>
        <v>4.931094611706488E-4</v>
      </c>
      <c r="AL84" s="308">
        <f>IF(parameters!$B$33="B",'consumption scenario B'!AL71,IF(parameters!$B$33="C",'consumption scenario C'!AL71,'consumption scenario A'!AL71))</f>
        <v>4.931094611706488E-4</v>
      </c>
      <c r="AM84" s="308">
        <f>IF(parameters!$B$33="B",'consumption scenario B'!AM71,IF(parameters!$B$33="C",'consumption scenario C'!AM71,'consumption scenario A'!AM71))</f>
        <v>4.931094611706488E-4</v>
      </c>
      <c r="AN84" s="308">
        <f>IF(parameters!$B$33="B",'consumption scenario B'!AN71,IF(parameters!$B$33="C",'consumption scenario C'!AN71,'consumption scenario A'!AN71))</f>
        <v>4.931094611706488E-4</v>
      </c>
      <c r="AO84" s="308">
        <f>IF(parameters!$B$33="B",'consumption scenario B'!AO71,IF(parameters!$B$33="C",'consumption scenario C'!AO71,'consumption scenario A'!AO71))</f>
        <v>4.931094611706488E-4</v>
      </c>
      <c r="AP84" s="308">
        <f>IF(parameters!$B$33="B",'consumption scenario B'!AP71,IF(parameters!$B$33="C",'consumption scenario C'!AP71,'consumption scenario A'!AP71))</f>
        <v>4.931094611706488E-4</v>
      </c>
      <c r="AQ84" s="308">
        <f>IF(parameters!$B$33="B",'consumption scenario B'!AQ71,IF(parameters!$B$33="C",'consumption scenario C'!AQ71,'consumption scenario A'!AQ71))</f>
        <v>4.931094611706488E-4</v>
      </c>
      <c r="AR84" s="308">
        <f>IF(parameters!$B$33="B",'consumption scenario B'!AR71,IF(parameters!$B$33="C",'consumption scenario C'!AR71,'consumption scenario A'!AR71))</f>
        <v>4.931094611706488E-4</v>
      </c>
      <c r="AS84" s="308">
        <f>IF(parameters!$B$33="B",'consumption scenario B'!AS71,IF(parameters!$B$33="C",'consumption scenario C'!AS71,'consumption scenario A'!AS71))</f>
        <v>4.931094611706488E-4</v>
      </c>
      <c r="AT84" s="308">
        <f>IF(parameters!$B$33="B",'consumption scenario B'!AT71,IF(parameters!$B$33="C",'consumption scenario C'!AT71,'consumption scenario A'!AT71))</f>
        <v>4.931094611706488E-4</v>
      </c>
      <c r="AU84" s="308">
        <f>IF(parameters!$B$33="B",'consumption scenario B'!AU71,IF(parameters!$B$33="C",'consumption scenario C'!AU71,'consumption scenario A'!AU71))</f>
        <v>4.931094611706488E-4</v>
      </c>
    </row>
    <row r="85" spans="1:54" s="398" customFormat="1" ht="12.9" customHeight="1">
      <c r="A85" s="104"/>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row>
    <row r="86" spans="1:54" s="398" customFormat="1" ht="12.9" customHeight="1">
      <c r="A86" s="63" t="s">
        <v>1320</v>
      </c>
      <c r="B86" s="304"/>
      <c r="C86" s="304"/>
      <c r="D86" s="304"/>
      <c r="E86" s="304"/>
      <c r="F86" s="304"/>
      <c r="G86" s="304"/>
      <c r="H86" s="304"/>
      <c r="I86" s="304"/>
      <c r="J86" s="304"/>
      <c r="K86" s="304"/>
      <c r="L86" s="304"/>
      <c r="M86" s="304"/>
      <c r="N86" s="304"/>
      <c r="O86" s="310">
        <f>IF(parameters!$B$32="Yes",IF(parameters!$B$33="B",'consumption scenario B'!O73,IF(parameters!$B$33="C",'consumption scenario C'!O73,'consumption scenario A'!O73)),0)</f>
        <v>9.9688725224071698E-3</v>
      </c>
      <c r="P86" s="310">
        <f>IF(parameters!$B$32="Yes",IF(parameters!$B$33="B",'consumption scenario B'!P73,IF(parameters!$B$33="C",'consumption scenario C'!P73,'consumption scenario A'!P73)),0)</f>
        <v>9.9688725224071698E-3</v>
      </c>
      <c r="Q86" s="310">
        <f>IF(parameters!$B$32="Yes",IF(parameters!$B$33="B",'consumption scenario B'!Q73,IF(parameters!$B$33="C",'consumption scenario C'!Q73,'consumption scenario A'!Q73)),0)</f>
        <v>9.9688725224071698E-3</v>
      </c>
      <c r="R86" s="310">
        <f>IF(parameters!$B$32="Yes",IF(parameters!$B$33="B",'consumption scenario B'!R73,IF(parameters!$B$33="C",'consumption scenario C'!R73,'consumption scenario A'!R73)),0)</f>
        <v>4.9844362612035849E-3</v>
      </c>
      <c r="S86" s="310">
        <f>IF(parameters!$B$32="Yes",IF(parameters!$B$33="B",'consumption scenario B'!S73,IF(parameters!$B$33="C",'consumption scenario C'!S73,'consumption scenario A'!S73)),0)</f>
        <v>4.9844362612035849E-3</v>
      </c>
      <c r="T86" s="310">
        <f>IF(parameters!$B$32="Yes",IF(parameters!$B$33="B",'consumption scenario B'!T73,IF(parameters!$B$33="C",'consumption scenario C'!T73,'consumption scenario A'!T73)),0)</f>
        <v>4.9844362612035849E-3</v>
      </c>
      <c r="U86" s="310">
        <f>IF(parameters!$B$32="Yes",IF(parameters!$B$33="B",'consumption scenario B'!U73,IF(parameters!$B$33="C",'consumption scenario C'!U73,'consumption scenario A'!U73)),0)</f>
        <v>4.9844362612035849E-3</v>
      </c>
      <c r="V86" s="310">
        <f>IF(parameters!$B$32="Yes",IF(parameters!$B$33="B",'consumption scenario B'!V73,IF(parameters!$B$33="C",'consumption scenario C'!V73,'consumption scenario A'!V73)),0)</f>
        <v>4.9844362612035849E-3</v>
      </c>
      <c r="W86" s="310">
        <f>IF(parameters!$B$32="Yes",IF(parameters!$B$33="B",'consumption scenario B'!W73,IF(parameters!$B$33="C",'consumption scenario C'!W73,'consumption scenario A'!W73)),0)</f>
        <v>0</v>
      </c>
      <c r="X86" s="310">
        <f>IF(parameters!$B$32="Yes",IF(parameters!$B$33="B",'consumption scenario B'!X73,IF(parameters!$B$33="C",'consumption scenario C'!X73,'consumption scenario A'!X73)),0)</f>
        <v>0</v>
      </c>
      <c r="Y86" s="310">
        <f>IF(parameters!$B$32="Yes",IF(parameters!$B$33="B",'consumption scenario B'!Y73,IF(parameters!$B$33="C",'consumption scenario C'!Y73,'consumption scenario A'!Y73)),0)</f>
        <v>0</v>
      </c>
      <c r="Z86" s="310">
        <f>IF(parameters!$B$32="Yes",IF(parameters!$B$33="B",'consumption scenario B'!Z73,IF(parameters!$B$33="C",'consumption scenario C'!Z73,'consumption scenario A'!Z73)),0)</f>
        <v>0</v>
      </c>
      <c r="AA86" s="310">
        <f>IF(parameters!$B$32="Yes",IF(parameters!$B$33="B",'consumption scenario B'!AA73,IF(parameters!$B$33="C",'consumption scenario C'!AA73,'consumption scenario A'!AA73)),0)</f>
        <v>0</v>
      </c>
      <c r="AB86" s="310">
        <f>IF(parameters!$B$32="Yes",IF(parameters!$B$33="B",'consumption scenario B'!AB73,IF(parameters!$B$33="C",'consumption scenario C'!AB73,'consumption scenario A'!AB73)),0)</f>
        <v>0</v>
      </c>
      <c r="AC86" s="310">
        <f>IF(parameters!$B$32="Yes",IF(parameters!$B$33="B",'consumption scenario B'!AC73,IF(parameters!$B$33="C",'consumption scenario C'!AC73,'consumption scenario A'!AC73)),0)</f>
        <v>0</v>
      </c>
      <c r="AD86" s="310">
        <f>IF(parameters!$B$32="Yes",IF(parameters!$B$33="B",'consumption scenario B'!AD73,IF(parameters!$B$33="C",'consumption scenario C'!AD73,'consumption scenario A'!AD73)),0)</f>
        <v>0</v>
      </c>
      <c r="AE86" s="310">
        <f>IF(parameters!$B$32="Yes",IF(parameters!$B$33="B",'consumption scenario B'!AE73,IF(parameters!$B$33="C",'consumption scenario C'!AE73,'consumption scenario A'!AE73)),0)</f>
        <v>0</v>
      </c>
      <c r="AF86" s="310">
        <f>IF(parameters!$B$32="Yes",IF(parameters!$B$33="B",'consumption scenario B'!AF73,IF(parameters!$B$33="C",'consumption scenario C'!AF73,'consumption scenario A'!AF73)),0)</f>
        <v>0</v>
      </c>
      <c r="AG86" s="310">
        <f>IF(parameters!$B$32="Yes",IF(parameters!$B$33="B",'consumption scenario B'!AG73,IF(parameters!$B$33="C",'consumption scenario C'!AG73,'consumption scenario A'!AG73)),0)</f>
        <v>0</v>
      </c>
      <c r="AH86" s="310">
        <f>IF(parameters!$B$32="Yes",IF(parameters!$B$33="B",'consumption scenario B'!AH73,IF(parameters!$B$33="C",'consumption scenario C'!AH73,'consumption scenario A'!AH73)),0)</f>
        <v>0</v>
      </c>
      <c r="AI86" s="310">
        <f>IF(parameters!$B$32="Yes",IF(parameters!$B$33="B",'consumption scenario B'!AI73,IF(parameters!$B$33="C",'consumption scenario C'!AI73,'consumption scenario A'!AI73)),0)</f>
        <v>0</v>
      </c>
      <c r="AJ86" s="310">
        <f>IF(parameters!$B$32="Yes",IF(parameters!$B$33="B",'consumption scenario B'!AJ73,IF(parameters!$B$33="C",'consumption scenario C'!AJ73,'consumption scenario A'!AJ73)),0)</f>
        <v>0</v>
      </c>
      <c r="AK86" s="310">
        <f>IF(parameters!$B$32="Yes",IF(parameters!$B$33="B",'consumption scenario B'!AK73,IF(parameters!$B$33="C",'consumption scenario C'!AK73,'consumption scenario A'!AK73)),0)</f>
        <v>0</v>
      </c>
      <c r="AL86" s="310">
        <f>IF(parameters!$B$32="Yes",IF(parameters!$B$33="B",'consumption scenario B'!AL73,IF(parameters!$B$33="C",'consumption scenario C'!AL73,'consumption scenario A'!AL73)),0)</f>
        <v>0</v>
      </c>
      <c r="AM86" s="310">
        <f>IF(parameters!$B$32="Yes",IF(parameters!$B$33="B",'consumption scenario B'!AM73,IF(parameters!$B$33="C",'consumption scenario C'!AM73,'consumption scenario A'!AM73)),0)</f>
        <v>0</v>
      </c>
      <c r="AN86" s="310">
        <f>IF(parameters!$B$32="Yes",IF(parameters!$B$33="B",'consumption scenario B'!AN73,IF(parameters!$B$33="C",'consumption scenario C'!AN73,'consumption scenario A'!AN73)),0)</f>
        <v>0</v>
      </c>
      <c r="AO86" s="310">
        <f>IF(parameters!$B$32="Yes",IF(parameters!$B$33="B",'consumption scenario B'!AO73,IF(parameters!$B$33="C",'consumption scenario C'!AO73,'consumption scenario A'!AO73)),0)</f>
        <v>0</v>
      </c>
      <c r="AP86" s="310">
        <f>IF(parameters!$B$32="Yes",IF(parameters!$B$33="B",'consumption scenario B'!AP73,IF(parameters!$B$33="C",'consumption scenario C'!AP73,'consumption scenario A'!AP73)),0)</f>
        <v>0</v>
      </c>
      <c r="AQ86" s="310">
        <f>IF(parameters!$B$32="Yes",IF(parameters!$B$33="B",'consumption scenario B'!AQ73,IF(parameters!$B$33="C",'consumption scenario C'!AQ73,'consumption scenario A'!AQ73)),0)</f>
        <v>0</v>
      </c>
      <c r="AR86" s="310">
        <f>IF(parameters!$B$32="Yes",IF(parameters!$B$33="B",'consumption scenario B'!AR73,IF(parameters!$B$33="C",'consumption scenario C'!AR73,'consumption scenario A'!AR73)),0)</f>
        <v>0</v>
      </c>
      <c r="AS86" s="310">
        <f>IF(parameters!$B$32="Yes",IF(parameters!$B$33="B",'consumption scenario B'!AS73,IF(parameters!$B$33="C",'consumption scenario C'!AS73,'consumption scenario A'!AS73)),0)</f>
        <v>0</v>
      </c>
      <c r="AT86" s="310">
        <f>IF(parameters!$B$32="Yes",IF(parameters!$B$33="B",'consumption scenario B'!AT73,IF(parameters!$B$33="C",'consumption scenario C'!AT73,'consumption scenario A'!AT73)),0)</f>
        <v>0</v>
      </c>
      <c r="AU86" s="310">
        <f>IF(parameters!$B$32="Yes",IF(parameters!$B$33="B",'consumption scenario B'!AU73,IF(parameters!$B$33="C",'consumption scenario C'!AU73,'consumption scenario A'!AU73)),0)</f>
        <v>0</v>
      </c>
    </row>
    <row r="87" spans="1:54" customFormat="1">
      <c r="A87" s="130"/>
      <c r="B87" s="283"/>
    </row>
    <row r="88" spans="1:54" s="230" customFormat="1">
      <c r="A88" s="104" t="s">
        <v>482</v>
      </c>
      <c r="B88" s="283"/>
      <c r="C88" s="283"/>
      <c r="D88" s="283"/>
      <c r="E88" s="283"/>
      <c r="F88" s="283"/>
      <c r="G88" s="283"/>
      <c r="H88" s="283"/>
      <c r="I88" s="283"/>
      <c r="J88" s="314"/>
      <c r="K88" s="314"/>
      <c r="L88" s="283"/>
      <c r="M88" s="283"/>
      <c r="N88" s="283"/>
      <c r="O88" s="386" t="s">
        <v>1421</v>
      </c>
      <c r="P88" s="283"/>
      <c r="Q88" s="283"/>
      <c r="R88" s="283"/>
      <c r="S88" s="283"/>
      <c r="T88" s="283"/>
      <c r="U88" s="283"/>
      <c r="V88" s="283"/>
      <c r="W88" s="283"/>
      <c r="X88" s="283"/>
      <c r="Y88" s="283"/>
      <c r="Z88" s="386" t="s">
        <v>1422</v>
      </c>
      <c r="AA88" s="283"/>
      <c r="AB88" s="283"/>
      <c r="AC88" s="283"/>
      <c r="AD88" s="283"/>
      <c r="AE88" s="283"/>
      <c r="AF88" s="283"/>
      <c r="AG88" s="283"/>
      <c r="AH88" s="283"/>
      <c r="AI88" s="283"/>
      <c r="AJ88" s="283"/>
      <c r="AK88" s="283"/>
      <c r="AL88" s="283"/>
      <c r="AM88" s="283"/>
      <c r="AN88" s="283"/>
      <c r="AO88" s="283"/>
      <c r="AP88" s="283"/>
      <c r="AQ88" s="283"/>
      <c r="AR88" s="283"/>
      <c r="AS88" s="283"/>
      <c r="AT88" s="283"/>
      <c r="AU88" s="283"/>
    </row>
    <row r="89" spans="1:54" s="230" customFormat="1">
      <c r="A89" s="394" t="s">
        <v>2</v>
      </c>
      <c r="B89" s="317">
        <v>10373</v>
      </c>
      <c r="C89" s="317">
        <v>10351</v>
      </c>
      <c r="D89" s="317">
        <v>10375</v>
      </c>
      <c r="E89" s="317">
        <v>10378</v>
      </c>
      <c r="F89" s="317">
        <v>10414</v>
      </c>
      <c r="G89" s="317">
        <v>10415</v>
      </c>
      <c r="H89" s="317">
        <v>10444</v>
      </c>
      <c r="I89" s="317">
        <v>10498</v>
      </c>
      <c r="J89" s="317">
        <v>10459</v>
      </c>
      <c r="K89" s="317">
        <v>10428</v>
      </c>
      <c r="L89" s="317">
        <v>10495</v>
      </c>
      <c r="M89" s="317">
        <v>10493</v>
      </c>
      <c r="N89" s="317">
        <v>10465</v>
      </c>
      <c r="O89" s="319">
        <f t="shared" ref="O89:X92" si="10">TREND(I89:N89,I$7:N$7,O$7:X$7)</f>
        <v>10473.4</v>
      </c>
      <c r="P89" s="319">
        <f t="shared" si="10"/>
        <v>10487</v>
      </c>
      <c r="Q89" s="319">
        <f t="shared" si="10"/>
        <v>10493.786666666669</v>
      </c>
      <c r="R89" s="319">
        <f t="shared" si="10"/>
        <v>10482.964444444446</v>
      </c>
      <c r="S89" s="319">
        <f t="shared" si="10"/>
        <v>10487.50340740741</v>
      </c>
      <c r="T89" s="319">
        <f t="shared" si="10"/>
        <v>10496.40879012346</v>
      </c>
      <c r="U89" s="319">
        <f t="shared" si="10"/>
        <v>10497.417079835395</v>
      </c>
      <c r="V89" s="319">
        <f t="shared" si="10"/>
        <v>10497.295804663927</v>
      </c>
      <c r="W89" s="319">
        <f t="shared" si="10"/>
        <v>10499.543596744405</v>
      </c>
      <c r="X89" s="319">
        <f t="shared" si="10"/>
        <v>10504.850311501301</v>
      </c>
      <c r="Y89" s="319">
        <f>AVERAGE(O89:X89)</f>
        <v>10492.017010138701</v>
      </c>
      <c r="Z89" s="317">
        <f>AVERAGE(V89:Y89)</f>
        <v>10498.426680762084</v>
      </c>
      <c r="AA89" s="317">
        <f t="shared" ref="AA89:AK89" si="11">Z89</f>
        <v>10498.426680762084</v>
      </c>
      <c r="AB89" s="317">
        <f t="shared" si="11"/>
        <v>10498.426680762084</v>
      </c>
      <c r="AC89" s="317">
        <f t="shared" si="11"/>
        <v>10498.426680762084</v>
      </c>
      <c r="AD89" s="317">
        <f t="shared" si="11"/>
        <v>10498.426680762084</v>
      </c>
      <c r="AE89" s="317">
        <f t="shared" si="11"/>
        <v>10498.426680762084</v>
      </c>
      <c r="AF89" s="317">
        <f t="shared" si="11"/>
        <v>10498.426680762084</v>
      </c>
      <c r="AG89" s="317">
        <f t="shared" si="11"/>
        <v>10498.426680762084</v>
      </c>
      <c r="AH89" s="317">
        <f t="shared" si="11"/>
        <v>10498.426680762084</v>
      </c>
      <c r="AI89" s="317">
        <f t="shared" si="11"/>
        <v>10498.426680762084</v>
      </c>
      <c r="AJ89" s="317">
        <f t="shared" si="11"/>
        <v>10498.426680762084</v>
      </c>
      <c r="AK89" s="317">
        <f t="shared" si="11"/>
        <v>10498.426680762084</v>
      </c>
      <c r="AL89" s="317">
        <f t="shared" ref="AL89:AL92" si="12">AK89</f>
        <v>10498.426680762084</v>
      </c>
      <c r="AM89" s="317">
        <f t="shared" ref="AM89:AM92" si="13">AL89</f>
        <v>10498.426680762084</v>
      </c>
      <c r="AN89" s="317">
        <f t="shared" ref="AN89:AN92" si="14">AM89</f>
        <v>10498.426680762084</v>
      </c>
      <c r="AO89" s="317">
        <f t="shared" ref="AO89:AO92" si="15">AN89</f>
        <v>10498.426680762084</v>
      </c>
      <c r="AP89" s="317">
        <f t="shared" ref="AP89:AP92" si="16">AO89</f>
        <v>10498.426680762084</v>
      </c>
      <c r="AQ89" s="317">
        <f t="shared" ref="AQ89:AQ92" si="17">AP89</f>
        <v>10498.426680762084</v>
      </c>
      <c r="AR89" s="317">
        <f t="shared" ref="AR89:AR92" si="18">AQ89</f>
        <v>10498.426680762084</v>
      </c>
      <c r="AS89" s="317">
        <f t="shared" ref="AS89:AS92" si="19">AR89</f>
        <v>10498.426680762084</v>
      </c>
      <c r="AT89" s="317">
        <f t="shared" ref="AT89:AT92" si="20">AS89</f>
        <v>10498.426680762084</v>
      </c>
      <c r="AU89" s="317">
        <f t="shared" ref="AU89:AU92" si="21">AT89</f>
        <v>10498.426680762084</v>
      </c>
      <c r="AW89" s="230" t="s">
        <v>386</v>
      </c>
      <c r="AX89" s="230" t="s">
        <v>1158</v>
      </c>
    </row>
    <row r="90" spans="1:54" s="230" customFormat="1">
      <c r="A90" s="394" t="s">
        <v>1</v>
      </c>
      <c r="B90" s="317">
        <v>8551</v>
      </c>
      <c r="C90" s="317">
        <v>8471</v>
      </c>
      <c r="D90" s="317">
        <v>8403</v>
      </c>
      <c r="E90" s="317">
        <v>8305</v>
      </c>
      <c r="F90" s="317">
        <v>8159</v>
      </c>
      <c r="G90" s="317">
        <v>8185</v>
      </c>
      <c r="H90" s="317">
        <v>8152</v>
      </c>
      <c r="I90" s="317">
        <v>8039</v>
      </c>
      <c r="J90" s="317">
        <v>7948</v>
      </c>
      <c r="K90" s="317">
        <v>7907</v>
      </c>
      <c r="L90" s="317">
        <v>7878</v>
      </c>
      <c r="M90" s="317">
        <v>7870</v>
      </c>
      <c r="N90" s="317">
        <v>7812</v>
      </c>
      <c r="O90" s="319">
        <f t="shared" si="10"/>
        <v>7769.1999999999971</v>
      </c>
      <c r="P90" s="319">
        <f t="shared" si="10"/>
        <v>7745.3333333333139</v>
      </c>
      <c r="Q90" s="319">
        <f t="shared" si="10"/>
        <v>7710.9822222222137</v>
      </c>
      <c r="R90" s="319">
        <f t="shared" si="10"/>
        <v>7672.397037037008</v>
      </c>
      <c r="S90" s="319">
        <f t="shared" si="10"/>
        <v>7631.8252839506022</v>
      </c>
      <c r="T90" s="319">
        <f t="shared" si="10"/>
        <v>7601.0596213991521</v>
      </c>
      <c r="U90" s="319">
        <f t="shared" si="10"/>
        <v>7566.4851270233048</v>
      </c>
      <c r="V90" s="319">
        <f t="shared" si="10"/>
        <v>7528.2223787836992</v>
      </c>
      <c r="W90" s="319">
        <f t="shared" si="10"/>
        <v>7492.2652174241666</v>
      </c>
      <c r="X90" s="319">
        <f t="shared" si="10"/>
        <v>7457.4382134755724</v>
      </c>
      <c r="Y90" s="319">
        <f t="shared" ref="Y90:Y92" si="22">AVERAGE(O90:X90)</f>
        <v>7617.520843464903</v>
      </c>
      <c r="Z90" s="317">
        <f t="shared" ref="Z90:Z92" si="23">AVERAGE(V90:Y90)</f>
        <v>7523.8616632870853</v>
      </c>
      <c r="AA90" s="317">
        <f t="shared" ref="AA90:AK92" si="24">Z90</f>
        <v>7523.8616632870853</v>
      </c>
      <c r="AB90" s="317">
        <f t="shared" si="24"/>
        <v>7523.8616632870853</v>
      </c>
      <c r="AC90" s="317">
        <f t="shared" si="24"/>
        <v>7523.8616632870853</v>
      </c>
      <c r="AD90" s="317">
        <f t="shared" si="24"/>
        <v>7523.8616632870853</v>
      </c>
      <c r="AE90" s="317">
        <f t="shared" si="24"/>
        <v>7523.8616632870853</v>
      </c>
      <c r="AF90" s="317">
        <f t="shared" si="24"/>
        <v>7523.8616632870853</v>
      </c>
      <c r="AG90" s="317">
        <f t="shared" si="24"/>
        <v>7523.8616632870853</v>
      </c>
      <c r="AH90" s="317">
        <f t="shared" si="24"/>
        <v>7523.8616632870853</v>
      </c>
      <c r="AI90" s="317">
        <f t="shared" si="24"/>
        <v>7523.8616632870853</v>
      </c>
      <c r="AJ90" s="317">
        <f t="shared" si="24"/>
        <v>7523.8616632870853</v>
      </c>
      <c r="AK90" s="317">
        <f t="shared" si="24"/>
        <v>7523.8616632870853</v>
      </c>
      <c r="AL90" s="317">
        <f t="shared" si="12"/>
        <v>7523.8616632870853</v>
      </c>
      <c r="AM90" s="317">
        <f t="shared" si="13"/>
        <v>7523.8616632870853</v>
      </c>
      <c r="AN90" s="317">
        <f t="shared" si="14"/>
        <v>7523.8616632870853</v>
      </c>
      <c r="AO90" s="317">
        <f t="shared" si="15"/>
        <v>7523.8616632870853</v>
      </c>
      <c r="AP90" s="317">
        <f t="shared" si="16"/>
        <v>7523.8616632870853</v>
      </c>
      <c r="AQ90" s="317">
        <f t="shared" si="17"/>
        <v>7523.8616632870853</v>
      </c>
      <c r="AR90" s="317">
        <f t="shared" si="18"/>
        <v>7523.8616632870853</v>
      </c>
      <c r="AS90" s="317">
        <f t="shared" si="19"/>
        <v>7523.8616632870853</v>
      </c>
      <c r="AT90" s="317">
        <f t="shared" si="20"/>
        <v>7523.8616632870853</v>
      </c>
      <c r="AU90" s="317">
        <f t="shared" si="21"/>
        <v>7523.8616632870853</v>
      </c>
      <c r="AW90" s="230" t="s">
        <v>1008</v>
      </c>
      <c r="AX90" s="230" t="s">
        <v>1153</v>
      </c>
      <c r="BB90" s="315"/>
    </row>
    <row r="91" spans="1:54" s="230" customFormat="1">
      <c r="A91" s="394" t="s">
        <v>247</v>
      </c>
      <c r="B91" s="317">
        <v>10631</v>
      </c>
      <c r="C91" s="317">
        <v>10809</v>
      </c>
      <c r="D91" s="317">
        <v>10794</v>
      </c>
      <c r="E91" s="317">
        <v>11015</v>
      </c>
      <c r="F91" s="317">
        <v>10923</v>
      </c>
      <c r="G91" s="317">
        <v>10984</v>
      </c>
      <c r="H91" s="317">
        <v>10829</v>
      </c>
      <c r="I91" s="317">
        <v>10991</v>
      </c>
      <c r="J91" s="317">
        <v>10713</v>
      </c>
      <c r="K91" s="317">
        <v>10814</v>
      </c>
      <c r="L91" s="317">
        <v>10687</v>
      </c>
      <c r="M91" s="317">
        <v>10811</v>
      </c>
      <c r="N91" s="317">
        <v>10834</v>
      </c>
      <c r="O91" s="319">
        <f t="shared" si="10"/>
        <v>10746.533333333333</v>
      </c>
      <c r="P91" s="319">
        <f t="shared" si="10"/>
        <v>10802.755555555557</v>
      </c>
      <c r="Q91" s="319">
        <f t="shared" si="10"/>
        <v>10797.085925925927</v>
      </c>
      <c r="R91" s="319">
        <f t="shared" si="10"/>
        <v>10823.552098765433</v>
      </c>
      <c r="S91" s="319">
        <f t="shared" si="10"/>
        <v>10803.311868312758</v>
      </c>
      <c r="T91" s="319">
        <f t="shared" si="10"/>
        <v>10808.40106447188</v>
      </c>
      <c r="U91" s="319">
        <f t="shared" si="10"/>
        <v>10830.68735107453</v>
      </c>
      <c r="V91" s="319">
        <f t="shared" si="10"/>
        <v>10826.302060295686</v>
      </c>
      <c r="W91" s="319">
        <f t="shared" si="10"/>
        <v>10832.14762396789</v>
      </c>
      <c r="X91" s="319">
        <f t="shared" si="10"/>
        <v>10834.157126671067</v>
      </c>
      <c r="Y91" s="319">
        <f t="shared" si="22"/>
        <v>10810.493400837408</v>
      </c>
      <c r="Z91" s="317">
        <f t="shared" si="23"/>
        <v>10825.775052943012</v>
      </c>
      <c r="AA91" s="317">
        <f t="shared" si="24"/>
        <v>10825.775052943012</v>
      </c>
      <c r="AB91" s="317">
        <f t="shared" si="24"/>
        <v>10825.775052943012</v>
      </c>
      <c r="AC91" s="317">
        <f t="shared" si="24"/>
        <v>10825.775052943012</v>
      </c>
      <c r="AD91" s="317">
        <f t="shared" si="24"/>
        <v>10825.775052943012</v>
      </c>
      <c r="AE91" s="317">
        <f t="shared" si="24"/>
        <v>10825.775052943012</v>
      </c>
      <c r="AF91" s="317">
        <f t="shared" si="24"/>
        <v>10825.775052943012</v>
      </c>
      <c r="AG91" s="317">
        <f t="shared" si="24"/>
        <v>10825.775052943012</v>
      </c>
      <c r="AH91" s="317">
        <f t="shared" si="24"/>
        <v>10825.775052943012</v>
      </c>
      <c r="AI91" s="317">
        <f t="shared" si="24"/>
        <v>10825.775052943012</v>
      </c>
      <c r="AJ91" s="317">
        <f t="shared" si="24"/>
        <v>10825.775052943012</v>
      </c>
      <c r="AK91" s="317">
        <f t="shared" si="24"/>
        <v>10825.775052943012</v>
      </c>
      <c r="AL91" s="317">
        <f t="shared" si="12"/>
        <v>10825.775052943012</v>
      </c>
      <c r="AM91" s="317">
        <f t="shared" si="13"/>
        <v>10825.775052943012</v>
      </c>
      <c r="AN91" s="317">
        <f t="shared" si="14"/>
        <v>10825.775052943012</v>
      </c>
      <c r="AO91" s="317">
        <f t="shared" si="15"/>
        <v>10825.775052943012</v>
      </c>
      <c r="AP91" s="317">
        <f t="shared" si="16"/>
        <v>10825.775052943012</v>
      </c>
      <c r="AQ91" s="317">
        <f t="shared" si="17"/>
        <v>10825.775052943012</v>
      </c>
      <c r="AR91" s="317">
        <f t="shared" si="18"/>
        <v>10825.775052943012</v>
      </c>
      <c r="AS91" s="317">
        <f t="shared" si="19"/>
        <v>10825.775052943012</v>
      </c>
      <c r="AT91" s="317">
        <f t="shared" si="20"/>
        <v>10825.775052943012</v>
      </c>
      <c r="AU91" s="317">
        <f t="shared" si="21"/>
        <v>10825.775052943012</v>
      </c>
      <c r="AW91" s="230" t="s">
        <v>386</v>
      </c>
      <c r="BB91" s="315"/>
    </row>
    <row r="92" spans="1:54" s="230" customFormat="1">
      <c r="A92" s="394" t="s">
        <v>244</v>
      </c>
      <c r="B92" s="317">
        <v>10436</v>
      </c>
      <c r="C92" s="317">
        <v>10435</v>
      </c>
      <c r="D92" s="317">
        <v>10489</v>
      </c>
      <c r="E92" s="317">
        <v>10452</v>
      </c>
      <c r="F92" s="317">
        <v>10459</v>
      </c>
      <c r="G92" s="317">
        <v>10452</v>
      </c>
      <c r="H92" s="317">
        <v>10464</v>
      </c>
      <c r="I92" s="317">
        <v>10479</v>
      </c>
      <c r="J92" s="317">
        <v>10449</v>
      </c>
      <c r="K92" s="317">
        <v>10459</v>
      </c>
      <c r="L92" s="317">
        <v>10458</v>
      </c>
      <c r="M92" s="317">
        <v>10459</v>
      </c>
      <c r="N92" s="317">
        <v>10459</v>
      </c>
      <c r="O92" s="319">
        <f t="shared" si="10"/>
        <v>10453.4</v>
      </c>
      <c r="P92" s="319">
        <f t="shared" si="10"/>
        <v>10458.533333333333</v>
      </c>
      <c r="Q92" s="319">
        <f t="shared" si="10"/>
        <v>10456.208888888888</v>
      </c>
      <c r="R92" s="319">
        <f t="shared" si="10"/>
        <v>10455.761481481481</v>
      </c>
      <c r="S92" s="319">
        <f t="shared" si="10"/>
        <v>10455.040691358025</v>
      </c>
      <c r="T92" s="319">
        <f t="shared" si="10"/>
        <v>10454.820411522633</v>
      </c>
      <c r="U92" s="319">
        <f t="shared" si="10"/>
        <v>10455.245140192043</v>
      </c>
      <c r="V92" s="319">
        <f t="shared" si="10"/>
        <v>10453.802272336532</v>
      </c>
      <c r="W92" s="319">
        <f t="shared" si="10"/>
        <v>10453.766242316718</v>
      </c>
      <c r="X92" s="319">
        <f t="shared" si="10"/>
        <v>10453.41270077935</v>
      </c>
      <c r="Y92" s="319">
        <f t="shared" si="22"/>
        <v>10454.999116220901</v>
      </c>
      <c r="Z92" s="317">
        <f t="shared" si="23"/>
        <v>10453.995082913374</v>
      </c>
      <c r="AA92" s="317">
        <f t="shared" si="24"/>
        <v>10453.995082913374</v>
      </c>
      <c r="AB92" s="317">
        <f t="shared" si="24"/>
        <v>10453.995082913374</v>
      </c>
      <c r="AC92" s="317">
        <f t="shared" si="24"/>
        <v>10453.995082913374</v>
      </c>
      <c r="AD92" s="317">
        <f t="shared" si="24"/>
        <v>10453.995082913374</v>
      </c>
      <c r="AE92" s="317">
        <f t="shared" si="24"/>
        <v>10453.995082913374</v>
      </c>
      <c r="AF92" s="317">
        <f t="shared" si="24"/>
        <v>10453.995082913374</v>
      </c>
      <c r="AG92" s="317">
        <f t="shared" si="24"/>
        <v>10453.995082913374</v>
      </c>
      <c r="AH92" s="317">
        <f t="shared" si="24"/>
        <v>10453.995082913374</v>
      </c>
      <c r="AI92" s="317">
        <f t="shared" si="24"/>
        <v>10453.995082913374</v>
      </c>
      <c r="AJ92" s="317">
        <f t="shared" si="24"/>
        <v>10453.995082913374</v>
      </c>
      <c r="AK92" s="317">
        <f t="shared" si="24"/>
        <v>10453.995082913374</v>
      </c>
      <c r="AL92" s="317">
        <f t="shared" si="12"/>
        <v>10453.995082913374</v>
      </c>
      <c r="AM92" s="317">
        <f t="shared" si="13"/>
        <v>10453.995082913374</v>
      </c>
      <c r="AN92" s="317">
        <f t="shared" si="14"/>
        <v>10453.995082913374</v>
      </c>
      <c r="AO92" s="317">
        <f t="shared" si="15"/>
        <v>10453.995082913374</v>
      </c>
      <c r="AP92" s="317">
        <f t="shared" si="16"/>
        <v>10453.995082913374</v>
      </c>
      <c r="AQ92" s="317">
        <f t="shared" si="17"/>
        <v>10453.995082913374</v>
      </c>
      <c r="AR92" s="317">
        <f t="shared" si="18"/>
        <v>10453.995082913374</v>
      </c>
      <c r="AS92" s="317">
        <f t="shared" si="19"/>
        <v>10453.995082913374</v>
      </c>
      <c r="AT92" s="317">
        <f t="shared" si="20"/>
        <v>10453.995082913374</v>
      </c>
      <c r="AU92" s="317">
        <f t="shared" si="21"/>
        <v>10453.995082913374</v>
      </c>
      <c r="AW92" s="230" t="s">
        <v>386</v>
      </c>
      <c r="BB92" s="315"/>
    </row>
    <row r="93" spans="1:54" s="230" customFormat="1">
      <c r="A93" s="130"/>
      <c r="B93" s="313"/>
      <c r="C93" s="283"/>
      <c r="D93" s="283"/>
      <c r="E93" s="283"/>
      <c r="F93" s="283"/>
      <c r="G93" s="283"/>
      <c r="H93" s="283"/>
      <c r="I93" s="283"/>
      <c r="J93" s="283"/>
      <c r="K93" s="283"/>
      <c r="L93" s="283"/>
      <c r="M93" s="283"/>
      <c r="N93" s="283"/>
      <c r="O93" s="283"/>
      <c r="P93" s="283"/>
      <c r="Q93" s="283"/>
      <c r="R93" s="283"/>
      <c r="S93" s="283"/>
      <c r="T93" s="311"/>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row>
    <row r="94" spans="1:54" s="230" customFormat="1">
      <c r="A94" s="130" t="s">
        <v>403</v>
      </c>
      <c r="B94" s="283"/>
      <c r="C94" s="283"/>
      <c r="D94" s="283"/>
      <c r="E94" s="283"/>
      <c r="F94" s="283"/>
      <c r="G94" s="283"/>
      <c r="H94" s="283"/>
      <c r="I94" s="283"/>
      <c r="J94" s="283"/>
      <c r="K94" s="283"/>
      <c r="L94" s="283"/>
      <c r="M94" s="283"/>
      <c r="N94" s="283"/>
      <c r="O94" s="283"/>
      <c r="P94" s="320"/>
      <c r="Q94" s="320"/>
      <c r="R94" s="320"/>
      <c r="S94" s="320"/>
      <c r="T94" s="320"/>
      <c r="U94" s="320"/>
      <c r="V94" s="320"/>
      <c r="W94" s="320"/>
      <c r="X94" s="320"/>
      <c r="Y94" s="320"/>
      <c r="Z94" s="320"/>
      <c r="AA94" s="320"/>
      <c r="AB94" s="320"/>
      <c r="AC94" s="320"/>
      <c r="AD94" s="320"/>
      <c r="AE94" s="320"/>
      <c r="AF94" s="320"/>
      <c r="AG94" s="320"/>
      <c r="AH94" s="320"/>
      <c r="AI94" s="320"/>
      <c r="AJ94" s="320"/>
      <c r="AK94" s="320"/>
      <c r="AL94" s="320"/>
      <c r="AM94" s="320"/>
      <c r="AN94" s="320"/>
      <c r="AO94" s="320"/>
      <c r="AP94" s="320"/>
      <c r="AQ94" s="320"/>
      <c r="AR94" s="320"/>
      <c r="AS94" s="320"/>
      <c r="AT94" s="320"/>
      <c r="AU94" s="313"/>
      <c r="AW94" s="230" t="s">
        <v>1198</v>
      </c>
    </row>
    <row r="95" spans="1:54" s="230" customFormat="1">
      <c r="A95" s="383" t="s">
        <v>352</v>
      </c>
      <c r="B95" s="313">
        <f t="shared" ref="B95:AU95" si="25">B$69*B72*B89*BtuTOkWh</f>
        <v>0.15314069925678769</v>
      </c>
      <c r="C95" s="313">
        <f t="shared" si="25"/>
        <v>0.14332467136670721</v>
      </c>
      <c r="D95" s="313">
        <f t="shared" si="25"/>
        <v>0.1496906671823974</v>
      </c>
      <c r="E95" s="313">
        <f t="shared" si="25"/>
        <v>0.15265740866423924</v>
      </c>
      <c r="F95" s="313">
        <f t="shared" si="25"/>
        <v>0.15499726996909444</v>
      </c>
      <c r="G95" s="313">
        <f t="shared" si="25"/>
        <v>0.16951258625139473</v>
      </c>
      <c r="H95" s="313">
        <f t="shared" si="25"/>
        <v>0.13852088081131611</v>
      </c>
      <c r="I95" s="313">
        <f t="shared" si="25"/>
        <v>0.12965817464197943</v>
      </c>
      <c r="J95" s="313">
        <f t="shared" si="25"/>
        <v>0.14345486580940878</v>
      </c>
      <c r="K95" s="313">
        <f t="shared" si="25"/>
        <v>0.1401371367169863</v>
      </c>
      <c r="L95" s="313">
        <f t="shared" si="25"/>
        <v>0.1429894314541032</v>
      </c>
      <c r="M95" s="313">
        <f t="shared" si="25"/>
        <v>0.12872402973966057</v>
      </c>
      <c r="N95" s="313">
        <f>N$69*N72*N89*BtuTOkWh</f>
        <v>0.10980344658934924</v>
      </c>
      <c r="O95" s="313">
        <f t="shared" si="25"/>
        <v>0.1160826446660497</v>
      </c>
      <c r="P95" s="313">
        <f t="shared" si="25"/>
        <v>0.11064847457120694</v>
      </c>
      <c r="Q95" s="313">
        <f t="shared" si="25"/>
        <v>0.10571314095065636</v>
      </c>
      <c r="R95" s="313">
        <f t="shared" si="25"/>
        <v>9.0737242942503224E-2</v>
      </c>
      <c r="S95" s="313">
        <f t="shared" si="25"/>
        <v>9.0053610192589853E-2</v>
      </c>
      <c r="T95" s="313">
        <f t="shared" si="25"/>
        <v>7.0110846575064431E-2</v>
      </c>
      <c r="U95" s="313">
        <f t="shared" si="25"/>
        <v>6.0985451234741299E-2</v>
      </c>
      <c r="V95" s="313">
        <f t="shared" si="25"/>
        <v>6.0549262680540207E-2</v>
      </c>
      <c r="W95" s="313">
        <f t="shared" si="25"/>
        <v>4.6321471193437387E-2</v>
      </c>
      <c r="X95" s="313">
        <f t="shared" si="25"/>
        <v>4.6088475493738297E-2</v>
      </c>
      <c r="Y95" s="313">
        <f t="shared" si="25"/>
        <v>4.5861576946217161E-2</v>
      </c>
      <c r="Z95" s="313">
        <f t="shared" si="25"/>
        <v>3.7425158330403517E-2</v>
      </c>
      <c r="AA95" s="313">
        <f t="shared" si="25"/>
        <v>3.7719326835184322E-2</v>
      </c>
      <c r="AB95" s="313">
        <f t="shared" si="25"/>
        <v>3.7970635809355793E-2</v>
      </c>
      <c r="AC95" s="313">
        <f t="shared" si="25"/>
        <v>3.8365804735175875E-2</v>
      </c>
      <c r="AD95" s="313">
        <f t="shared" si="25"/>
        <v>3.8781214587156346E-2</v>
      </c>
      <c r="AE95" s="313">
        <f t="shared" si="25"/>
        <v>3.9216157717057908E-2</v>
      </c>
      <c r="AF95" s="313">
        <f t="shared" si="25"/>
        <v>3.9675925897628819E-2</v>
      </c>
      <c r="AG95" s="313">
        <f t="shared" si="25"/>
        <v>4.001500801899073E-2</v>
      </c>
      <c r="AH95" s="313">
        <f t="shared" si="25"/>
        <v>4.0413150044342427E-2</v>
      </c>
      <c r="AI95" s="313">
        <f t="shared" si="25"/>
        <v>4.0811292069694194E-2</v>
      </c>
      <c r="AJ95" s="313">
        <f t="shared" si="25"/>
        <v>4.1209434095045849E-2</v>
      </c>
      <c r="AK95" s="313">
        <f t="shared" si="25"/>
        <v>4.1607576120397539E-2</v>
      </c>
      <c r="AL95" s="313">
        <f t="shared" si="25"/>
        <v>4.2005718145749202E-2</v>
      </c>
      <c r="AM95" s="313">
        <f t="shared" si="25"/>
        <v>4.2403860171100899E-2</v>
      </c>
      <c r="AN95" s="313">
        <f t="shared" si="25"/>
        <v>4.2802002196452603E-2</v>
      </c>
      <c r="AO95" s="313">
        <f t="shared" si="25"/>
        <v>4.3200144221804258E-2</v>
      </c>
      <c r="AP95" s="313">
        <f t="shared" si="25"/>
        <v>4.3598286247156011E-2</v>
      </c>
      <c r="AQ95" s="313">
        <f t="shared" si="25"/>
        <v>4.3996428272507729E-2</v>
      </c>
      <c r="AR95" s="313">
        <f t="shared" si="25"/>
        <v>4.4394570297859377E-2</v>
      </c>
      <c r="AS95" s="313">
        <f t="shared" si="25"/>
        <v>4.4792712323211074E-2</v>
      </c>
      <c r="AT95" s="313">
        <f t="shared" si="25"/>
        <v>4.5190854348562792E-2</v>
      </c>
      <c r="AU95" s="313">
        <f t="shared" si="25"/>
        <v>4.5588996373914434E-2</v>
      </c>
    </row>
    <row r="96" spans="1:54" s="230" customFormat="1">
      <c r="A96" s="383" t="s">
        <v>393</v>
      </c>
      <c r="B96" s="313">
        <f t="shared" ref="B96:AU96" si="26">B$69*B73*B90*BtuTOkWh</f>
        <v>4.5242041974919489E-2</v>
      </c>
      <c r="C96" s="313">
        <f t="shared" si="26"/>
        <v>3.7492585168639556E-2</v>
      </c>
      <c r="D96" s="313">
        <f t="shared" si="26"/>
        <v>5.139692186608661E-2</v>
      </c>
      <c r="E96" s="313">
        <f t="shared" si="26"/>
        <v>6.001198702564918E-2</v>
      </c>
      <c r="F96" s="313">
        <f t="shared" si="26"/>
        <v>8.2589973616062379E-2</v>
      </c>
      <c r="G96" s="313">
        <f t="shared" si="26"/>
        <v>8.747141111920427E-2</v>
      </c>
      <c r="H96" s="313">
        <f t="shared" si="26"/>
        <v>4.7640084928124757E-2</v>
      </c>
      <c r="I96" s="313">
        <f t="shared" si="26"/>
        <v>5.671060753100271E-2</v>
      </c>
      <c r="J96" s="313">
        <f t="shared" si="26"/>
        <v>8.7152080370409377E-2</v>
      </c>
      <c r="K96" s="313">
        <f t="shared" si="26"/>
        <v>6.8360539214532445E-2</v>
      </c>
      <c r="L96" s="313">
        <f t="shared" si="26"/>
        <v>8.3496794087155102E-2</v>
      </c>
      <c r="M96" s="313">
        <f t="shared" si="26"/>
        <v>7.1481694511937546E-2</v>
      </c>
      <c r="N96" s="313">
        <f t="shared" si="26"/>
        <v>5.9132785947848522E-2</v>
      </c>
      <c r="O96" s="313">
        <f t="shared" si="26"/>
        <v>5.4575488966096868E-2</v>
      </c>
      <c r="P96" s="313">
        <f t="shared" si="26"/>
        <v>4.9526431729104405E-2</v>
      </c>
      <c r="Q96" s="313">
        <f t="shared" si="26"/>
        <v>4.4754422018654538E-2</v>
      </c>
      <c r="R96" s="313">
        <f t="shared" si="26"/>
        <v>5.1206023524310869E-2</v>
      </c>
      <c r="S96" s="313">
        <f t="shared" si="26"/>
        <v>5.0529610295159996E-2</v>
      </c>
      <c r="T96" s="313">
        <f t="shared" si="26"/>
        <v>5.9457653786031878E-2</v>
      </c>
      <c r="U96" s="313">
        <f t="shared" si="26"/>
        <v>6.2890842846265463E-2</v>
      </c>
      <c r="V96" s="313">
        <f t="shared" si="26"/>
        <v>6.212598773060507E-2</v>
      </c>
      <c r="W96" s="313">
        <f t="shared" si="26"/>
        <v>6.773436437348189E-2</v>
      </c>
      <c r="X96" s="313">
        <f t="shared" si="26"/>
        <v>6.7046503226887016E-2</v>
      </c>
      <c r="Y96" s="313">
        <f t="shared" si="26"/>
        <v>6.8231927994394592E-2</v>
      </c>
      <c r="Z96" s="313">
        <f t="shared" si="26"/>
        <v>7.1418724547033588E-2</v>
      </c>
      <c r="AA96" s="313">
        <f t="shared" si="26"/>
        <v>7.1980088622714364E-2</v>
      </c>
      <c r="AB96" s="313">
        <f t="shared" si="26"/>
        <v>7.2459663518406103E-2</v>
      </c>
      <c r="AC96" s="313">
        <f t="shared" si="26"/>
        <v>7.3213767493425605E-2</v>
      </c>
      <c r="AD96" s="313">
        <f t="shared" si="26"/>
        <v>7.4006497387332698E-2</v>
      </c>
      <c r="AE96" s="313">
        <f t="shared" si="26"/>
        <v>7.4836502789416157E-2</v>
      </c>
      <c r="AF96" s="313">
        <f t="shared" si="26"/>
        <v>7.5713882031309979E-2</v>
      </c>
      <c r="AG96" s="313">
        <f t="shared" si="26"/>
        <v>7.6360955115425594E-2</v>
      </c>
      <c r="AH96" s="313">
        <f t="shared" si="26"/>
        <v>7.7120732679708925E-2</v>
      </c>
      <c r="AI96" s="313">
        <f t="shared" si="26"/>
        <v>7.7880510243992354E-2</v>
      </c>
      <c r="AJ96" s="313">
        <f t="shared" si="26"/>
        <v>7.8640287808275547E-2</v>
      </c>
      <c r="AK96" s="313">
        <f t="shared" si="26"/>
        <v>7.9400065372558865E-2</v>
      </c>
      <c r="AL96" s="313">
        <f t="shared" si="26"/>
        <v>8.0159842936842085E-2</v>
      </c>
      <c r="AM96" s="313">
        <f t="shared" si="26"/>
        <v>8.0919620501125403E-2</v>
      </c>
      <c r="AN96" s="313">
        <f t="shared" si="26"/>
        <v>8.1679398065408693E-2</v>
      </c>
      <c r="AO96" s="313">
        <f t="shared" si="26"/>
        <v>8.2439175629691927E-2</v>
      </c>
      <c r="AP96" s="313">
        <f t="shared" si="26"/>
        <v>8.3198953193975342E-2</v>
      </c>
      <c r="AQ96" s="313">
        <f t="shared" si="26"/>
        <v>8.3958730758258659E-2</v>
      </c>
      <c r="AR96" s="313">
        <f t="shared" si="26"/>
        <v>8.4718508322541894E-2</v>
      </c>
      <c r="AS96" s="313">
        <f t="shared" si="26"/>
        <v>8.5478285886825198E-2</v>
      </c>
      <c r="AT96" s="313">
        <f t="shared" si="26"/>
        <v>8.6238063451108543E-2</v>
      </c>
      <c r="AU96" s="313">
        <f t="shared" si="26"/>
        <v>8.6997841015391736E-2</v>
      </c>
    </row>
    <row r="97" spans="1:47" s="230" customFormat="1">
      <c r="A97" s="383" t="s">
        <v>394</v>
      </c>
      <c r="B97" s="313">
        <f t="shared" ref="B97:AU97" si="27">B$69*B74*B90*BtuTOkWh</f>
        <v>2.2603371793312198E-2</v>
      </c>
      <c r="C97" s="313">
        <f t="shared" si="27"/>
        <v>2.2779180854339401E-2</v>
      </c>
      <c r="D97" s="313">
        <f t="shared" si="27"/>
        <v>1.7592969113924647E-2</v>
      </c>
      <c r="E97" s="313">
        <f t="shared" si="27"/>
        <v>1.3287380744295784E-2</v>
      </c>
      <c r="F97" s="313">
        <f t="shared" si="27"/>
        <v>1.5454399325991731E-2</v>
      </c>
      <c r="G97" s="313">
        <f t="shared" si="27"/>
        <v>1.4459046091829757E-2</v>
      </c>
      <c r="H97" s="313">
        <f t="shared" si="27"/>
        <v>1.1055140069797137E-2</v>
      </c>
      <c r="I97" s="313">
        <f t="shared" si="27"/>
        <v>3.9822439534498641E-3</v>
      </c>
      <c r="J97" s="313">
        <f t="shared" si="27"/>
        <v>9.1006338969899705E-3</v>
      </c>
      <c r="K97" s="313">
        <f t="shared" si="27"/>
        <v>7.5298645023054315E-3</v>
      </c>
      <c r="L97" s="313">
        <f t="shared" si="27"/>
        <v>0</v>
      </c>
      <c r="M97" s="313">
        <f t="shared" si="27"/>
        <v>0</v>
      </c>
      <c r="N97" s="313">
        <f t="shared" si="27"/>
        <v>0</v>
      </c>
      <c r="O97" s="313">
        <f t="shared" si="27"/>
        <v>6.5286894649101293E-3</v>
      </c>
      <c r="P97" s="313">
        <f t="shared" si="27"/>
        <v>6.4278032984277185E-3</v>
      </c>
      <c r="Q97" s="313">
        <f t="shared" si="27"/>
        <v>6.3474863093728262E-3</v>
      </c>
      <c r="R97" s="313">
        <f t="shared" si="27"/>
        <v>6.267126207803452E-3</v>
      </c>
      <c r="S97" s="313">
        <f t="shared" si="27"/>
        <v>6.1843397154349557E-3</v>
      </c>
      <c r="T97" s="313">
        <f t="shared" si="27"/>
        <v>6.1100924395587645E-3</v>
      </c>
      <c r="U97" s="313">
        <f t="shared" si="27"/>
        <v>6.0333736041202103E-3</v>
      </c>
      <c r="V97" s="313">
        <f t="shared" si="27"/>
        <v>5.9599979510528457E-3</v>
      </c>
      <c r="W97" s="313">
        <f t="shared" si="27"/>
        <v>5.8916589636709904E-3</v>
      </c>
      <c r="X97" s="313">
        <f t="shared" si="27"/>
        <v>5.8318275423890151E-3</v>
      </c>
      <c r="Y97" s="313">
        <f t="shared" si="27"/>
        <v>5.9349379579342713E-3</v>
      </c>
      <c r="Z97" s="313">
        <f t="shared" si="27"/>
        <v>5.8713454158617461E-3</v>
      </c>
      <c r="AA97" s="313">
        <f t="shared" si="27"/>
        <v>5.9174952514025238E-3</v>
      </c>
      <c r="AB97" s="313">
        <f t="shared" si="27"/>
        <v>5.9569211846327904E-3</v>
      </c>
      <c r="AC97" s="313">
        <f t="shared" si="27"/>
        <v>6.0189161998741789E-3</v>
      </c>
      <c r="AD97" s="313">
        <f t="shared" si="27"/>
        <v>6.0840866584356843E-3</v>
      </c>
      <c r="AE97" s="313">
        <f t="shared" si="27"/>
        <v>6.1523215428244951E-3</v>
      </c>
      <c r="AF97" s="313">
        <f t="shared" si="27"/>
        <v>6.224451038591013E-3</v>
      </c>
      <c r="AG97" s="313">
        <f t="shared" si="27"/>
        <v>6.2776470262013474E-3</v>
      </c>
      <c r="AH97" s="313">
        <f t="shared" si="27"/>
        <v>6.3401084681750375E-3</v>
      </c>
      <c r="AI97" s="313">
        <f t="shared" si="27"/>
        <v>6.4025699101487362E-3</v>
      </c>
      <c r="AJ97" s="313">
        <f t="shared" si="27"/>
        <v>6.4650313521224176E-3</v>
      </c>
      <c r="AK97" s="313">
        <f t="shared" si="27"/>
        <v>6.527492794096105E-3</v>
      </c>
      <c r="AL97" s="313">
        <f t="shared" si="27"/>
        <v>6.5899542360697873E-3</v>
      </c>
      <c r="AM97" s="313">
        <f t="shared" si="27"/>
        <v>6.6524156780434756E-3</v>
      </c>
      <c r="AN97" s="313">
        <f t="shared" si="27"/>
        <v>6.7148771200171665E-3</v>
      </c>
      <c r="AO97" s="313">
        <f t="shared" si="27"/>
        <v>6.7773385619908479E-3</v>
      </c>
      <c r="AP97" s="313">
        <f t="shared" si="27"/>
        <v>6.8398000039645458E-3</v>
      </c>
      <c r="AQ97" s="313">
        <f t="shared" si="27"/>
        <v>6.9022614459382349E-3</v>
      </c>
      <c r="AR97" s="313">
        <f t="shared" si="27"/>
        <v>6.9647228879119172E-3</v>
      </c>
      <c r="AS97" s="313">
        <f t="shared" si="27"/>
        <v>7.0271843298856055E-3</v>
      </c>
      <c r="AT97" s="313">
        <f t="shared" si="27"/>
        <v>7.0896457718592964E-3</v>
      </c>
      <c r="AU97" s="313">
        <f t="shared" si="27"/>
        <v>7.1521072138329769E-3</v>
      </c>
    </row>
    <row r="98" spans="1:47" s="230" customFormat="1">
      <c r="A98" s="383" t="s">
        <v>395</v>
      </c>
      <c r="B98" s="313">
        <f t="shared" ref="B98:AU98" si="28">B$69*B75*B91*BtuTOkWh</f>
        <v>4.6718345612976067E-4</v>
      </c>
      <c r="C98" s="313">
        <f t="shared" si="28"/>
        <v>6.5383436091860864E-4</v>
      </c>
      <c r="D98" s="313">
        <f t="shared" si="28"/>
        <v>7.2561176585358663E-4</v>
      </c>
      <c r="E98" s="313">
        <f t="shared" si="28"/>
        <v>7.536903384130954E-4</v>
      </c>
      <c r="F98" s="313">
        <f t="shared" si="28"/>
        <v>1.0454908894726564E-3</v>
      </c>
      <c r="G98" s="313">
        <f t="shared" si="28"/>
        <v>9.1175669905807196E-4</v>
      </c>
      <c r="H98" s="313">
        <f t="shared" si="28"/>
        <v>7.6307361182581328E-4</v>
      </c>
      <c r="I98" s="313">
        <f t="shared" si="28"/>
        <v>7.561330639707216E-4</v>
      </c>
      <c r="J98" s="313">
        <f t="shared" si="28"/>
        <v>7.0354903896052234E-4</v>
      </c>
      <c r="K98" s="313">
        <f t="shared" si="28"/>
        <v>6.4794970449218896E-4</v>
      </c>
      <c r="L98" s="313">
        <f t="shared" si="28"/>
        <v>5.1341275054127787E-4</v>
      </c>
      <c r="M98" s="313">
        <f t="shared" si="28"/>
        <v>6.79773283471429E-4</v>
      </c>
      <c r="N98" s="313">
        <f t="shared" si="28"/>
        <v>1.0751988970963665E-3</v>
      </c>
      <c r="O98" s="313">
        <f t="shared" si="28"/>
        <v>7.1232502163538118E-4</v>
      </c>
      <c r="P98" s="313">
        <f t="shared" si="28"/>
        <v>7.0715906575825362E-4</v>
      </c>
      <c r="Q98" s="313">
        <f t="shared" si="28"/>
        <v>7.0106571349661656E-4</v>
      </c>
      <c r="R98" s="313">
        <f t="shared" si="28"/>
        <v>6.9737645890628384E-4</v>
      </c>
      <c r="S98" s="313">
        <f t="shared" si="28"/>
        <v>6.9052901436843987E-4</v>
      </c>
      <c r="T98" s="313">
        <f t="shared" si="28"/>
        <v>6.8532281883980437E-4</v>
      </c>
      <c r="U98" s="313">
        <f t="shared" si="28"/>
        <v>6.8121178827947732E-4</v>
      </c>
      <c r="V98" s="313">
        <f t="shared" si="28"/>
        <v>6.7607349549857871E-4</v>
      </c>
      <c r="W98" s="313">
        <f t="shared" si="28"/>
        <v>6.7189146893261787E-4</v>
      </c>
      <c r="X98" s="313">
        <f t="shared" si="28"/>
        <v>6.6829811776696957E-4</v>
      </c>
      <c r="Y98" s="313">
        <f t="shared" si="28"/>
        <v>6.6436714546772263E-4</v>
      </c>
      <c r="Z98" s="313">
        <f t="shared" si="28"/>
        <v>6.6637075233400586E-4</v>
      </c>
      <c r="AA98" s="313">
        <f t="shared" si="28"/>
        <v>6.716085468174164E-4</v>
      </c>
      <c r="AB98" s="313">
        <f t="shared" si="28"/>
        <v>6.7608320925460622E-4</v>
      </c>
      <c r="AC98" s="313">
        <f t="shared" si="28"/>
        <v>6.8311935889685965E-4</v>
      </c>
      <c r="AD98" s="313">
        <f t="shared" si="28"/>
        <v>6.9051590677909815E-4</v>
      </c>
      <c r="AE98" s="313">
        <f t="shared" si="28"/>
        <v>6.9826025292551237E-4</v>
      </c>
      <c r="AF98" s="313">
        <f t="shared" si="28"/>
        <v>7.064466195851126E-4</v>
      </c>
      <c r="AG98" s="313">
        <f t="shared" si="28"/>
        <v>7.1248411998311057E-4</v>
      </c>
      <c r="AH98" s="313">
        <f t="shared" si="28"/>
        <v>7.1957320691835196E-4</v>
      </c>
      <c r="AI98" s="313">
        <f t="shared" si="28"/>
        <v>7.2666229385359422E-4</v>
      </c>
      <c r="AJ98" s="313">
        <f t="shared" si="28"/>
        <v>7.3375138078883453E-4</v>
      </c>
      <c r="AK98" s="313">
        <f t="shared" si="28"/>
        <v>7.4084046772407571E-4</v>
      </c>
      <c r="AL98" s="313">
        <f t="shared" si="28"/>
        <v>7.4792955465931613E-4</v>
      </c>
      <c r="AM98" s="313">
        <f t="shared" si="28"/>
        <v>7.5501864159455742E-4</v>
      </c>
      <c r="AN98" s="313">
        <f t="shared" si="28"/>
        <v>7.6210772852979859E-4</v>
      </c>
      <c r="AO98" s="313">
        <f t="shared" si="28"/>
        <v>7.6919681546503923E-4</v>
      </c>
      <c r="AP98" s="313">
        <f t="shared" si="28"/>
        <v>7.7628590240028138E-4</v>
      </c>
      <c r="AQ98" s="313">
        <f t="shared" si="28"/>
        <v>7.8337498933552256E-4</v>
      </c>
      <c r="AR98" s="313">
        <f t="shared" si="28"/>
        <v>7.9046407627076298E-4</v>
      </c>
      <c r="AS98" s="313">
        <f t="shared" si="28"/>
        <v>7.9755316320600427E-4</v>
      </c>
      <c r="AT98" s="313">
        <f t="shared" si="28"/>
        <v>8.0464225014124566E-4</v>
      </c>
      <c r="AU98" s="313">
        <f t="shared" si="28"/>
        <v>8.1173133707648597E-4</v>
      </c>
    </row>
    <row r="99" spans="1:47" customFormat="1" ht="14.15" customHeight="1"/>
    <row r="100" spans="1:47" s="230" customFormat="1" ht="14.15" customHeight="1">
      <c r="A100" s="130" t="s">
        <v>295</v>
      </c>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row>
    <row r="101" spans="1:47" s="230" customFormat="1" ht="14.15" customHeight="1">
      <c r="A101" s="394" t="s">
        <v>76</v>
      </c>
      <c r="B101" s="309">
        <f t="shared" ref="B101:AU101" si="29">B13/B69</f>
        <v>0.39807409202621519</v>
      </c>
      <c r="C101" s="309">
        <f t="shared" si="29"/>
        <v>0.40497414246429519</v>
      </c>
      <c r="D101" s="309">
        <f t="shared" si="29"/>
        <v>0.41269987250660445</v>
      </c>
      <c r="E101" s="309">
        <f t="shared" si="29"/>
        <v>0.41602889871310217</v>
      </c>
      <c r="F101" s="309">
        <f t="shared" si="29"/>
        <v>0.40756111328626543</v>
      </c>
      <c r="G101" s="309">
        <f t="shared" si="29"/>
        <v>0.38618858863369826</v>
      </c>
      <c r="H101" s="309">
        <f t="shared" si="29"/>
        <v>0.38807987182153858</v>
      </c>
      <c r="I101" s="309">
        <f t="shared" si="29"/>
        <v>0.38456410671015889</v>
      </c>
      <c r="J101" s="309">
        <f t="shared" si="29"/>
        <v>0.38740830235180235</v>
      </c>
      <c r="K101" s="309">
        <f t="shared" si="29"/>
        <v>0.38041376301106694</v>
      </c>
      <c r="L101" s="309">
        <f t="shared" si="29"/>
        <v>0.3780115701856368</v>
      </c>
      <c r="M101" s="309">
        <f t="shared" si="29"/>
        <v>0.3847691775066473</v>
      </c>
      <c r="N101" s="309">
        <f t="shared" si="29"/>
        <v>0.40305105552411297</v>
      </c>
      <c r="O101" s="309">
        <f t="shared" si="29"/>
        <v>0.39901333830535918</v>
      </c>
      <c r="P101" s="309">
        <f t="shared" si="29"/>
        <v>0.39272970567889959</v>
      </c>
      <c r="Q101" s="309">
        <f t="shared" si="29"/>
        <v>0.38999548638154935</v>
      </c>
      <c r="R101" s="309">
        <f t="shared" si="29"/>
        <v>0.38752922268053791</v>
      </c>
      <c r="S101" s="309">
        <f t="shared" si="29"/>
        <v>0.38501363913982833</v>
      </c>
      <c r="T101" s="309">
        <f t="shared" si="29"/>
        <v>0.38237727655468579</v>
      </c>
      <c r="U101" s="309">
        <f t="shared" si="29"/>
        <v>0.37934868795274457</v>
      </c>
      <c r="V101" s="309">
        <f t="shared" si="29"/>
        <v>0.37596838322922599</v>
      </c>
      <c r="W101" s="309">
        <f t="shared" si="29"/>
        <v>0.37256010406428619</v>
      </c>
      <c r="X101" s="309">
        <f t="shared" si="29"/>
        <v>0.36806091420520648</v>
      </c>
      <c r="Y101" s="309">
        <f t="shared" si="29"/>
        <v>0.36293783685342484</v>
      </c>
      <c r="Z101" s="309">
        <f t="shared" si="29"/>
        <v>0.35844997993457628</v>
      </c>
      <c r="AA101" s="309">
        <f t="shared" si="29"/>
        <v>0.35478044224369748</v>
      </c>
      <c r="AB101" s="309">
        <f t="shared" si="29"/>
        <v>0.35283318802382801</v>
      </c>
      <c r="AC101" s="309">
        <f t="shared" si="29"/>
        <v>0.34985285906084246</v>
      </c>
      <c r="AD101" s="309">
        <f t="shared" si="29"/>
        <v>0.34716735529312487</v>
      </c>
      <c r="AE101" s="309">
        <f t="shared" si="29"/>
        <v>0.34480798572305349</v>
      </c>
      <c r="AF101" s="309">
        <f t="shared" si="29"/>
        <v>0.34240740760046595</v>
      </c>
      <c r="AG101" s="309">
        <f t="shared" si="29"/>
        <v>0.34000458812133222</v>
      </c>
      <c r="AH101" s="309">
        <f t="shared" si="29"/>
        <v>0.33766710296910618</v>
      </c>
      <c r="AI101" s="309">
        <f t="shared" si="29"/>
        <v>0.33537522534487202</v>
      </c>
      <c r="AJ101" s="309">
        <f t="shared" si="29"/>
        <v>0.33312763334693812</v>
      </c>
      <c r="AK101" s="309">
        <f t="shared" si="29"/>
        <v>0.33092305567060876</v>
      </c>
      <c r="AL101" s="309">
        <f t="shared" si="29"/>
        <v>0.32876026921032575</v>
      </c>
      <c r="AM101" s="309">
        <f t="shared" si="29"/>
        <v>0.32663809679688743</v>
      </c>
      <c r="AN101" s="309">
        <f t="shared" si="29"/>
        <v>0.32455540506096298</v>
      </c>
      <c r="AO101" s="309">
        <f t="shared" si="29"/>
        <v>0.32251110241474495</v>
      </c>
      <c r="AP101" s="309">
        <f t="shared" si="29"/>
        <v>0.32050413714419201</v>
      </c>
      <c r="AQ101" s="309">
        <f t="shared" si="29"/>
        <v>0.31853349560486038</v>
      </c>
      <c r="AR101" s="309">
        <f t="shared" si="29"/>
        <v>0.31659820051481108</v>
      </c>
      <c r="AS101" s="309">
        <f t="shared" si="29"/>
        <v>0.31469730933856088</v>
      </c>
      <c r="AT101" s="309">
        <f t="shared" si="29"/>
        <v>0.31282991275646221</v>
      </c>
      <c r="AU101" s="309">
        <f t="shared" si="29"/>
        <v>0.31099513321428451</v>
      </c>
    </row>
    <row r="102" spans="1:47" s="230" customFormat="1" ht="14.15" customHeight="1">
      <c r="A102" s="394" t="s">
        <v>77</v>
      </c>
      <c r="B102" s="309">
        <f t="shared" ref="B102:AU102" si="30">B26/B69</f>
        <v>0.33679625526919704</v>
      </c>
      <c r="C102" s="309">
        <f t="shared" si="30"/>
        <v>0.33608607772116877</v>
      </c>
      <c r="D102" s="309">
        <f t="shared" si="30"/>
        <v>0.34517947049771003</v>
      </c>
      <c r="E102" s="309">
        <f t="shared" si="30"/>
        <v>0.34209348496755226</v>
      </c>
      <c r="F102" s="309">
        <f t="shared" si="30"/>
        <v>0.33329872427515572</v>
      </c>
      <c r="G102" s="309">
        <f t="shared" si="30"/>
        <v>0.31899419960365566</v>
      </c>
      <c r="H102" s="309">
        <f t="shared" si="30"/>
        <v>0.31375013961397608</v>
      </c>
      <c r="I102" s="309">
        <f t="shared" si="30"/>
        <v>0.31665130997124291</v>
      </c>
      <c r="J102" s="309">
        <f t="shared" si="30"/>
        <v>0.31931145465311328</v>
      </c>
      <c r="K102" s="309">
        <f t="shared" si="30"/>
        <v>0.31489334537743063</v>
      </c>
      <c r="L102" s="309">
        <f t="shared" si="30"/>
        <v>0.32469507598901659</v>
      </c>
      <c r="M102" s="309">
        <f t="shared" si="30"/>
        <v>0.32603361703383871</v>
      </c>
      <c r="N102" s="309">
        <f t="shared" si="30"/>
        <v>0.33957537677849403</v>
      </c>
      <c r="O102" s="309">
        <f t="shared" si="30"/>
        <v>0.34399560516746447</v>
      </c>
      <c r="P102" s="309">
        <f t="shared" si="30"/>
        <v>0.34943635884895113</v>
      </c>
      <c r="Q102" s="309">
        <f t="shared" si="30"/>
        <v>0.34783071480215522</v>
      </c>
      <c r="R102" s="309">
        <f t="shared" si="30"/>
        <v>0.34534980192673465</v>
      </c>
      <c r="S102" s="309">
        <f t="shared" si="30"/>
        <v>0.3427357235477797</v>
      </c>
      <c r="T102" s="309">
        <f t="shared" si="30"/>
        <v>0.33990748551031058</v>
      </c>
      <c r="U102" s="309">
        <f t="shared" si="30"/>
        <v>0.33708508709663437</v>
      </c>
      <c r="V102" s="309">
        <f t="shared" si="30"/>
        <v>0.33449991696657544</v>
      </c>
      <c r="W102" s="309">
        <f t="shared" si="30"/>
        <v>0.33192364164317406</v>
      </c>
      <c r="X102" s="309">
        <f t="shared" si="30"/>
        <v>0.33056717918805484</v>
      </c>
      <c r="Y102" s="309">
        <f t="shared" si="30"/>
        <v>0.33050322131871857</v>
      </c>
      <c r="Z102" s="309">
        <f t="shared" si="30"/>
        <v>0.33069411850368458</v>
      </c>
      <c r="AA102" s="309">
        <f t="shared" si="30"/>
        <v>0.33130887786067303</v>
      </c>
      <c r="AB102" s="309">
        <f t="shared" si="30"/>
        <v>0.33336635131780129</v>
      </c>
      <c r="AC102" s="309">
        <f t="shared" si="30"/>
        <v>0.3342602807485972</v>
      </c>
      <c r="AD102" s="309">
        <f t="shared" si="30"/>
        <v>0.33517121974721742</v>
      </c>
      <c r="AE102" s="309">
        <f t="shared" si="30"/>
        <v>0.33591789744189876</v>
      </c>
      <c r="AF102" s="309">
        <f t="shared" si="30"/>
        <v>0.3369056364588271</v>
      </c>
      <c r="AG102" s="309">
        <f t="shared" si="30"/>
        <v>0.33804290641676515</v>
      </c>
      <c r="AH102" s="309">
        <f t="shared" si="30"/>
        <v>0.33900501981426029</v>
      </c>
      <c r="AI102" s="309">
        <f t="shared" si="30"/>
        <v>0.33994836106525972</v>
      </c>
      <c r="AJ102" s="309">
        <f t="shared" si="30"/>
        <v>0.34087347426705022</v>
      </c>
      <c r="AK102" s="309">
        <f t="shared" si="30"/>
        <v>0.34178088269109752</v>
      </c>
      <c r="AL102" s="309">
        <f t="shared" si="30"/>
        <v>0.34267108977000715</v>
      </c>
      <c r="AM102" s="309">
        <f t="shared" si="30"/>
        <v>0.34354458002889465</v>
      </c>
      <c r="AN102" s="309">
        <f t="shared" si="30"/>
        <v>0.34440181996476216</v>
      </c>
      <c r="AO102" s="309">
        <f t="shared" si="30"/>
        <v>0.34524325887725593</v>
      </c>
      <c r="AP102" s="309">
        <f t="shared" si="30"/>
        <v>0.34606932965390513</v>
      </c>
      <c r="AQ102" s="309">
        <f t="shared" si="30"/>
        <v>0.34688044951271824</v>
      </c>
      <c r="AR102" s="309">
        <f t="shared" si="30"/>
        <v>0.34767702070482542</v>
      </c>
      <c r="AS102" s="309">
        <f t="shared" si="30"/>
        <v>0.348459431179651</v>
      </c>
      <c r="AT102" s="309">
        <f t="shared" si="30"/>
        <v>0.34922805521491496</v>
      </c>
      <c r="AU102" s="309">
        <f t="shared" si="30"/>
        <v>0.34998325401363112</v>
      </c>
    </row>
    <row r="103" spans="1:47" s="230" customFormat="1" ht="14.15" customHeight="1">
      <c r="A103" s="394" t="s">
        <v>78</v>
      </c>
      <c r="B103" s="309">
        <f t="shared" ref="B103:AU103" si="31">B48/B69</f>
        <v>0.26510989808618451</v>
      </c>
      <c r="C103" s="309">
        <f t="shared" si="31"/>
        <v>0.25892648229045456</v>
      </c>
      <c r="D103" s="309">
        <f t="shared" si="31"/>
        <v>0.24210276668681471</v>
      </c>
      <c r="E103" s="309">
        <f t="shared" si="31"/>
        <v>0.2418597079703402</v>
      </c>
      <c r="F103" s="309">
        <f t="shared" si="31"/>
        <v>0.25911105572195126</v>
      </c>
      <c r="G103" s="309">
        <f t="shared" si="31"/>
        <v>0.29474027739428837</v>
      </c>
      <c r="H103" s="309">
        <f t="shared" si="31"/>
        <v>0.29809436941528583</v>
      </c>
      <c r="I103" s="309">
        <f t="shared" si="31"/>
        <v>0.29870902647518782</v>
      </c>
      <c r="J103" s="309">
        <f t="shared" si="31"/>
        <v>0.29321623522546125</v>
      </c>
      <c r="K103" s="309">
        <f t="shared" si="31"/>
        <v>0.30375134682169852</v>
      </c>
      <c r="L103" s="309">
        <f t="shared" si="31"/>
        <v>0.29702395531979431</v>
      </c>
      <c r="M103" s="309">
        <f t="shared" si="31"/>
        <v>0.28879937879932238</v>
      </c>
      <c r="N103" s="309">
        <f t="shared" si="31"/>
        <v>0.2563340073229014</v>
      </c>
      <c r="O103" s="309">
        <f t="shared" si="31"/>
        <v>0.25487320584652806</v>
      </c>
      <c r="P103" s="309">
        <f t="shared" si="31"/>
        <v>0.25409679229069942</v>
      </c>
      <c r="Q103" s="309">
        <f t="shared" si="31"/>
        <v>0.25742031078388633</v>
      </c>
      <c r="R103" s="309">
        <f t="shared" si="31"/>
        <v>0.26123654448350886</v>
      </c>
      <c r="S103" s="309">
        <f t="shared" si="31"/>
        <v>0.26513490727242273</v>
      </c>
      <c r="T103" s="309">
        <f t="shared" si="31"/>
        <v>0.2692790424569626</v>
      </c>
      <c r="U103" s="309">
        <f t="shared" si="31"/>
        <v>0.27372739550313063</v>
      </c>
      <c r="V103" s="309">
        <f t="shared" si="31"/>
        <v>0.27821381372365922</v>
      </c>
      <c r="W103" s="309">
        <f t="shared" si="31"/>
        <v>0.28264606597269759</v>
      </c>
      <c r="X103" s="309">
        <f t="shared" si="31"/>
        <v>0.28696481178226924</v>
      </c>
      <c r="Y103" s="309">
        <f t="shared" si="31"/>
        <v>0.29066163562979941</v>
      </c>
      <c r="Z103" s="309">
        <f t="shared" si="31"/>
        <v>0.29360188491832134</v>
      </c>
      <c r="AA103" s="309">
        <f t="shared" si="31"/>
        <v>0.29548590654586054</v>
      </c>
      <c r="AB103" s="309">
        <f t="shared" si="31"/>
        <v>0.29447944277637972</v>
      </c>
      <c r="AC103" s="309">
        <f t="shared" si="31"/>
        <v>0.29579056849421725</v>
      </c>
      <c r="AD103" s="309">
        <f t="shared" si="31"/>
        <v>0.29695817731716445</v>
      </c>
      <c r="AE103" s="309">
        <f t="shared" si="31"/>
        <v>0.29800068287562659</v>
      </c>
      <c r="AF103" s="309">
        <f t="shared" si="31"/>
        <v>0.29910713234807268</v>
      </c>
      <c r="AG103" s="309">
        <f t="shared" si="31"/>
        <v>0.29955704647927966</v>
      </c>
      <c r="AH103" s="309">
        <f t="shared" si="31"/>
        <v>0.30034714423310677</v>
      </c>
      <c r="AI103" s="309">
        <f t="shared" si="31"/>
        <v>0.3011218261005964</v>
      </c>
      <c r="AJ103" s="309">
        <f t="shared" si="31"/>
        <v>0.30188153890022523</v>
      </c>
      <c r="AK103" s="309">
        <f t="shared" si="31"/>
        <v>0.30262671234808503</v>
      </c>
      <c r="AL103" s="309">
        <f t="shared" si="31"/>
        <v>0.30335775986838737</v>
      </c>
      <c r="AM103" s="309">
        <f t="shared" si="31"/>
        <v>0.3040750793583078</v>
      </c>
      <c r="AN103" s="309">
        <f t="shared" si="31"/>
        <v>0.30477905391014665</v>
      </c>
      <c r="AO103" s="309">
        <f t="shared" si="31"/>
        <v>0.30547005249355264</v>
      </c>
      <c r="AP103" s="309">
        <f t="shared" si="31"/>
        <v>0.30614843060036728</v>
      </c>
      <c r="AQ103" s="309">
        <f t="shared" si="31"/>
        <v>0.30681453085445504</v>
      </c>
      <c r="AR103" s="309">
        <f t="shared" si="31"/>
        <v>0.30746868358872392</v>
      </c>
      <c r="AS103" s="309">
        <f t="shared" si="31"/>
        <v>0.30811120739136488</v>
      </c>
      <c r="AT103" s="309">
        <f t="shared" si="31"/>
        <v>0.30874240962322302</v>
      </c>
      <c r="AU103" s="309">
        <f t="shared" si="31"/>
        <v>0.30936258690805546</v>
      </c>
    </row>
    <row r="104" spans="1:47" s="230" customFormat="1" ht="14.15" customHeight="1">
      <c r="A104" s="394" t="s">
        <v>79</v>
      </c>
      <c r="B104" s="309">
        <f t="shared" ref="B104:AU104" si="32">B63/B69</f>
        <v>1.9754618403315248E-5</v>
      </c>
      <c r="C104" s="309">
        <f t="shared" si="32"/>
        <v>1.3297524081624887E-5</v>
      </c>
      <c r="D104" s="309">
        <f t="shared" si="32"/>
        <v>1.7890308870887339E-5</v>
      </c>
      <c r="E104" s="309">
        <f t="shared" si="32"/>
        <v>1.7908349005501862E-5</v>
      </c>
      <c r="F104" s="309">
        <f t="shared" si="32"/>
        <v>2.9106716627632146E-5</v>
      </c>
      <c r="G104" s="309">
        <f t="shared" si="32"/>
        <v>7.6934368357626118E-5</v>
      </c>
      <c r="H104" s="309">
        <f t="shared" si="32"/>
        <v>7.5619149199536009E-5</v>
      </c>
      <c r="I104" s="309">
        <f t="shared" si="32"/>
        <v>7.5556843410319577E-5</v>
      </c>
      <c r="J104" s="309">
        <f t="shared" si="32"/>
        <v>6.400776962314077E-5</v>
      </c>
      <c r="K104" s="309">
        <f t="shared" si="32"/>
        <v>9.415447898038123E-4</v>
      </c>
      <c r="L104" s="309">
        <f t="shared" si="32"/>
        <v>2.6939850555217522E-4</v>
      </c>
      <c r="M104" s="309">
        <f t="shared" si="32"/>
        <v>3.9782666019165319E-4</v>
      </c>
      <c r="N104" s="309">
        <f t="shared" si="32"/>
        <v>1.0395603744916371E-3</v>
      </c>
      <c r="O104" s="309">
        <f t="shared" si="32"/>
        <v>2.1178506806482523E-3</v>
      </c>
      <c r="P104" s="309">
        <f t="shared" si="32"/>
        <v>3.7371431814497745E-3</v>
      </c>
      <c r="Q104" s="309">
        <f t="shared" si="32"/>
        <v>4.7534880324089507E-3</v>
      </c>
      <c r="R104" s="309">
        <f t="shared" si="32"/>
        <v>5.8844309092184579E-3</v>
      </c>
      <c r="S104" s="309">
        <f t="shared" si="32"/>
        <v>7.1157300399692404E-3</v>
      </c>
      <c r="T104" s="309">
        <f t="shared" si="32"/>
        <v>8.4361954780410517E-3</v>
      </c>
      <c r="U104" s="309">
        <f t="shared" si="32"/>
        <v>9.8388294474905224E-3</v>
      </c>
      <c r="V104" s="309">
        <f t="shared" si="32"/>
        <v>1.1317886080539179E-2</v>
      </c>
      <c r="W104" s="309">
        <f t="shared" si="32"/>
        <v>1.2870188319842159E-2</v>
      </c>
      <c r="X104" s="309">
        <f t="shared" si="32"/>
        <v>1.4407094824469545E-2</v>
      </c>
      <c r="Y104" s="309">
        <f t="shared" si="32"/>
        <v>1.5897306198057046E-2</v>
      </c>
      <c r="Z104" s="309">
        <f t="shared" si="32"/>
        <v>1.7254016643417878E-2</v>
      </c>
      <c r="AA104" s="309">
        <f t="shared" si="32"/>
        <v>1.842477334976899E-2</v>
      </c>
      <c r="AB104" s="309">
        <f t="shared" si="32"/>
        <v>1.9321017881991115E-2</v>
      </c>
      <c r="AC104" s="309">
        <f t="shared" si="32"/>
        <v>2.0096291696342975E-2</v>
      </c>
      <c r="AD104" s="309">
        <f t="shared" si="32"/>
        <v>2.070324764249332E-2</v>
      </c>
      <c r="AE104" s="309">
        <f t="shared" si="32"/>
        <v>2.1273433959421155E-2</v>
      </c>
      <c r="AF104" s="309">
        <f t="shared" si="32"/>
        <v>2.1579823592634356E-2</v>
      </c>
      <c r="AG104" s="309">
        <f t="shared" si="32"/>
        <v>2.2395458982622941E-2</v>
      </c>
      <c r="AH104" s="309">
        <f t="shared" si="32"/>
        <v>2.2980732983526753E-2</v>
      </c>
      <c r="AI104" s="309">
        <f t="shared" si="32"/>
        <v>2.3554587489271816E-2</v>
      </c>
      <c r="AJ104" s="309">
        <f t="shared" si="32"/>
        <v>2.4117353485786374E-2</v>
      </c>
      <c r="AK104" s="309">
        <f t="shared" si="32"/>
        <v>2.4669349290208826E-2</v>
      </c>
      <c r="AL104" s="309">
        <f t="shared" si="32"/>
        <v>2.5210881151279785E-2</v>
      </c>
      <c r="AM104" s="309">
        <f t="shared" si="32"/>
        <v>2.574224381591014E-2</v>
      </c>
      <c r="AN104" s="309">
        <f t="shared" si="32"/>
        <v>2.6263721064128383E-2</v>
      </c>
      <c r="AO104" s="309">
        <f t="shared" si="32"/>
        <v>2.6775586214446489E-2</v>
      </c>
      <c r="AP104" s="309">
        <f t="shared" si="32"/>
        <v>2.727810260153567E-2</v>
      </c>
      <c r="AQ104" s="309">
        <f t="shared" si="32"/>
        <v>2.7771524027966305E-2</v>
      </c>
      <c r="AR104" s="309">
        <f t="shared" si="32"/>
        <v>2.8256095191639477E-2</v>
      </c>
      <c r="AS104" s="309">
        <f t="shared" si="32"/>
        <v>2.8732052090423291E-2</v>
      </c>
      <c r="AT104" s="309">
        <f t="shared" si="32"/>
        <v>2.919962240539966E-2</v>
      </c>
      <c r="AU104" s="309">
        <f t="shared" si="32"/>
        <v>2.9659025864028896E-2</v>
      </c>
    </row>
    <row r="105" spans="1:47" s="230" customFormat="1">
      <c r="A105" s="394" t="s">
        <v>361</v>
      </c>
      <c r="B105" s="318">
        <f t="shared" ref="B105:AU105" si="33">1-SUM(B101:B104)</f>
        <v>0</v>
      </c>
      <c r="C105" s="318">
        <f t="shared" si="33"/>
        <v>0</v>
      </c>
      <c r="D105" s="318">
        <f t="shared" si="33"/>
        <v>0</v>
      </c>
      <c r="E105" s="318">
        <f t="shared" si="33"/>
        <v>0</v>
      </c>
      <c r="F105" s="318">
        <f t="shared" si="33"/>
        <v>0</v>
      </c>
      <c r="G105" s="318">
        <f t="shared" si="33"/>
        <v>0</v>
      </c>
      <c r="H105" s="318">
        <f t="shared" si="33"/>
        <v>0</v>
      </c>
      <c r="I105" s="318">
        <f t="shared" si="33"/>
        <v>0</v>
      </c>
      <c r="J105" s="318">
        <f t="shared" si="33"/>
        <v>0</v>
      </c>
      <c r="K105" s="318">
        <f t="shared" si="33"/>
        <v>0</v>
      </c>
      <c r="L105" s="318">
        <f t="shared" si="33"/>
        <v>0</v>
      </c>
      <c r="M105" s="318">
        <f t="shared" si="33"/>
        <v>0</v>
      </c>
      <c r="N105" s="318">
        <f t="shared" si="33"/>
        <v>0</v>
      </c>
      <c r="O105" s="318">
        <f t="shared" si="33"/>
        <v>0</v>
      </c>
      <c r="P105" s="318">
        <f t="shared" si="33"/>
        <v>0</v>
      </c>
      <c r="Q105" s="318">
        <f t="shared" si="33"/>
        <v>0</v>
      </c>
      <c r="R105" s="318">
        <f t="shared" si="33"/>
        <v>0</v>
      </c>
      <c r="S105" s="318">
        <f t="shared" si="33"/>
        <v>0</v>
      </c>
      <c r="T105" s="318">
        <f t="shared" si="33"/>
        <v>0</v>
      </c>
      <c r="U105" s="318">
        <f t="shared" si="33"/>
        <v>0</v>
      </c>
      <c r="V105" s="318">
        <f t="shared" si="33"/>
        <v>0</v>
      </c>
      <c r="W105" s="318">
        <f t="shared" si="33"/>
        <v>0</v>
      </c>
      <c r="X105" s="318">
        <f t="shared" si="33"/>
        <v>0</v>
      </c>
      <c r="Y105" s="318">
        <f t="shared" si="33"/>
        <v>0</v>
      </c>
      <c r="Z105" s="318">
        <f t="shared" si="33"/>
        <v>0</v>
      </c>
      <c r="AA105" s="318">
        <f t="shared" si="33"/>
        <v>0</v>
      </c>
      <c r="AB105" s="318">
        <f t="shared" si="33"/>
        <v>0</v>
      </c>
      <c r="AC105" s="318">
        <f t="shared" si="33"/>
        <v>0</v>
      </c>
      <c r="AD105" s="318">
        <f t="shared" si="33"/>
        <v>0</v>
      </c>
      <c r="AE105" s="318">
        <f t="shared" si="33"/>
        <v>0</v>
      </c>
      <c r="AF105" s="318">
        <f t="shared" si="33"/>
        <v>0</v>
      </c>
      <c r="AG105" s="318">
        <f t="shared" si="33"/>
        <v>0</v>
      </c>
      <c r="AH105" s="318">
        <f t="shared" si="33"/>
        <v>0</v>
      </c>
      <c r="AI105" s="318">
        <f t="shared" si="33"/>
        <v>0</v>
      </c>
      <c r="AJ105" s="318">
        <f t="shared" si="33"/>
        <v>0</v>
      </c>
      <c r="AK105" s="318">
        <f t="shared" si="33"/>
        <v>0</v>
      </c>
      <c r="AL105" s="318">
        <f t="shared" si="33"/>
        <v>0</v>
      </c>
      <c r="AM105" s="318">
        <f t="shared" si="33"/>
        <v>0</v>
      </c>
      <c r="AN105" s="318">
        <f t="shared" si="33"/>
        <v>0</v>
      </c>
      <c r="AO105" s="318">
        <f t="shared" si="33"/>
        <v>0</v>
      </c>
      <c r="AP105" s="318">
        <f t="shared" si="33"/>
        <v>0</v>
      </c>
      <c r="AQ105" s="318">
        <f t="shared" si="33"/>
        <v>0</v>
      </c>
      <c r="AR105" s="318">
        <f t="shared" si="33"/>
        <v>0</v>
      </c>
      <c r="AS105" s="318">
        <f t="shared" si="33"/>
        <v>0</v>
      </c>
      <c r="AT105" s="318">
        <f t="shared" si="33"/>
        <v>0</v>
      </c>
      <c r="AU105" s="318">
        <f t="shared" si="33"/>
        <v>0</v>
      </c>
    </row>
    <row r="106" spans="1:47" s="230" customFormat="1">
      <c r="A106" s="130"/>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row>
  </sheetData>
  <phoneticPr fontId="7"/>
  <hyperlinks>
    <hyperlink ref="D1" location="Cover!B16" display="return to TOC"/>
  </hyperlink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E109"/>
  <sheetViews>
    <sheetView zoomScaleNormal="100" workbookViewId="0">
      <pane xSplit="1" ySplit="7" topLeftCell="B8" activePane="bottomRight" state="frozen"/>
      <selection pane="topRight" activeCell="B1" sqref="B1"/>
      <selection pane="bottomLeft" activeCell="A8" sqref="A8"/>
      <selection pane="bottomRight" activeCell="O41" sqref="O41"/>
    </sheetView>
  </sheetViews>
  <sheetFormatPr defaultColWidth="9.33203125" defaultRowHeight="12"/>
  <cols>
    <col min="1" max="1" width="37.33203125" style="5" customWidth="1"/>
    <col min="2" max="47" width="8.88671875" style="5" customWidth="1"/>
    <col min="48" max="16384" width="9.33203125" style="5"/>
  </cols>
  <sheetData>
    <row r="1" spans="1:48" s="280" customFormat="1" ht="26.15" customHeight="1">
      <c r="A1" s="281" t="s">
        <v>385</v>
      </c>
      <c r="C1" s="295" t="s">
        <v>1216</v>
      </c>
      <c r="D1" s="295"/>
      <c r="I1" s="44"/>
      <c r="J1" s="165"/>
      <c r="Q1" s="100"/>
      <c r="R1" s="100"/>
    </row>
    <row r="2" spans="1:48" s="280" customFormat="1" ht="12.9" customHeight="1">
      <c r="A2" s="43" t="s">
        <v>359</v>
      </c>
      <c r="B2" s="280" t="s">
        <v>868</v>
      </c>
      <c r="D2" s="321"/>
      <c r="E2" s="321"/>
      <c r="F2" s="321"/>
      <c r="G2" s="321"/>
      <c r="H2" s="321"/>
      <c r="I2" s="321"/>
      <c r="J2" s="322"/>
      <c r="K2" s="321"/>
      <c r="L2" s="321"/>
      <c r="M2" s="321"/>
      <c r="Q2" s="100"/>
      <c r="R2" s="100"/>
    </row>
    <row r="3" spans="1:48" s="280" customFormat="1" ht="12.9" customHeight="1">
      <c r="A3" s="43" t="s">
        <v>360</v>
      </c>
      <c r="B3" s="280" t="s">
        <v>1222</v>
      </c>
      <c r="D3" s="321"/>
      <c r="E3" s="321"/>
      <c r="F3" s="321"/>
      <c r="G3" s="321"/>
      <c r="H3" s="321"/>
      <c r="I3" s="321"/>
      <c r="J3" s="322"/>
      <c r="K3" s="321"/>
      <c r="L3" s="321"/>
      <c r="M3" s="321"/>
      <c r="Q3" s="100"/>
      <c r="R3" s="100"/>
    </row>
    <row r="4" spans="1:48" s="280" customFormat="1" ht="12.9" customHeight="1">
      <c r="A4" s="43" t="s">
        <v>357</v>
      </c>
      <c r="B4" s="280" t="s">
        <v>1223</v>
      </c>
      <c r="D4" s="321"/>
      <c r="E4" s="321"/>
      <c r="F4" s="321"/>
      <c r="G4" s="321"/>
      <c r="H4" s="321"/>
      <c r="I4" s="321"/>
      <c r="J4" s="322"/>
      <c r="K4" s="321"/>
      <c r="L4" s="321"/>
      <c r="M4" s="321"/>
      <c r="Q4" s="100"/>
      <c r="R4" s="100"/>
    </row>
    <row r="5" spans="1:48" s="396" customFormat="1" ht="12.9" customHeight="1">
      <c r="A5" s="43"/>
      <c r="D5" s="321"/>
      <c r="E5" s="321"/>
      <c r="F5" s="321"/>
      <c r="G5" s="321"/>
      <c r="H5" s="321"/>
      <c r="I5" s="321"/>
      <c r="J5" s="322"/>
      <c r="K5" s="321"/>
      <c r="L5" s="321"/>
      <c r="M5" s="321"/>
      <c r="Q5" s="100"/>
      <c r="R5" s="100"/>
    </row>
    <row r="6" spans="1:48" ht="13">
      <c r="A6" s="250" t="s">
        <v>76</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1"/>
      <c r="AV6" s="5" t="s">
        <v>1385</v>
      </c>
    </row>
    <row r="7" spans="1:48" s="280" customFormat="1" ht="12.9" customHeight="1">
      <c r="A7" s="253" t="s">
        <v>6</v>
      </c>
      <c r="B7" s="253">
        <v>2005</v>
      </c>
      <c r="C7" s="253">
        <v>2006</v>
      </c>
      <c r="D7" s="253">
        <v>2007</v>
      </c>
      <c r="E7" s="253">
        <v>2008</v>
      </c>
      <c r="F7" s="253">
        <v>2009</v>
      </c>
      <c r="G7" s="253">
        <v>2010</v>
      </c>
      <c r="H7" s="253">
        <v>2011</v>
      </c>
      <c r="I7" s="253">
        <v>2012</v>
      </c>
      <c r="J7" s="253">
        <v>2013</v>
      </c>
      <c r="K7" s="253">
        <v>2014</v>
      </c>
      <c r="L7" s="253">
        <v>2015</v>
      </c>
      <c r="M7" s="253">
        <v>2016</v>
      </c>
      <c r="N7" s="253">
        <v>2017</v>
      </c>
      <c r="O7" s="253">
        <v>2018</v>
      </c>
      <c r="P7" s="253">
        <v>2019</v>
      </c>
      <c r="Q7" s="253">
        <v>2020</v>
      </c>
      <c r="R7" s="253">
        <v>2021</v>
      </c>
      <c r="S7" s="253">
        <v>2022</v>
      </c>
      <c r="T7" s="253">
        <v>2023</v>
      </c>
      <c r="U7" s="253">
        <v>2024</v>
      </c>
      <c r="V7" s="253">
        <v>2025</v>
      </c>
      <c r="W7" s="253">
        <v>2026</v>
      </c>
      <c r="X7" s="253">
        <v>2027</v>
      </c>
      <c r="Y7" s="253">
        <v>2028</v>
      </c>
      <c r="Z7" s="253">
        <v>2029</v>
      </c>
      <c r="AA7" s="253">
        <v>2030</v>
      </c>
      <c r="AB7" s="253">
        <v>2031</v>
      </c>
      <c r="AC7" s="253">
        <v>2032</v>
      </c>
      <c r="AD7" s="253">
        <v>2033</v>
      </c>
      <c r="AE7" s="253">
        <v>2034</v>
      </c>
      <c r="AF7" s="253">
        <v>2035</v>
      </c>
      <c r="AG7" s="253">
        <v>2036</v>
      </c>
      <c r="AH7" s="253">
        <v>2037</v>
      </c>
      <c r="AI7" s="253">
        <v>2038</v>
      </c>
      <c r="AJ7" s="253">
        <v>2039</v>
      </c>
      <c r="AK7" s="253">
        <v>2040</v>
      </c>
      <c r="AL7" s="253">
        <v>2041</v>
      </c>
      <c r="AM7" s="253">
        <v>2042</v>
      </c>
      <c r="AN7" s="253">
        <v>2043</v>
      </c>
      <c r="AO7" s="253">
        <v>2044</v>
      </c>
      <c r="AP7" s="253">
        <v>2045</v>
      </c>
      <c r="AQ7" s="253">
        <v>2046</v>
      </c>
      <c r="AR7" s="253">
        <v>2047</v>
      </c>
      <c r="AS7" s="253">
        <v>2048</v>
      </c>
      <c r="AT7" s="253">
        <v>2049</v>
      </c>
      <c r="AU7" s="253">
        <v>2050</v>
      </c>
      <c r="AV7" s="280" t="s">
        <v>290</v>
      </c>
    </row>
    <row r="8" spans="1:48">
      <c r="A8" s="40" t="s">
        <v>22</v>
      </c>
      <c r="B8" s="300">
        <f>'Baseline Consumption'!B8*parameters!$B$87</f>
        <v>0.36709552413656682</v>
      </c>
      <c r="C8" s="300">
        <f>'Baseline Consumption'!C8*parameters!$B$87</f>
        <v>0.3890503676957246</v>
      </c>
      <c r="D8" s="300">
        <f>'Baseline Consumption'!D8*parameters!$B$87</f>
        <v>0.46326469391548797</v>
      </c>
      <c r="E8" s="300">
        <f>'Baseline Consumption'!E8*parameters!$B$87</f>
        <v>0.46005186861759445</v>
      </c>
      <c r="F8" s="300">
        <f>'Baseline Consumption'!F8*parameters!$B$87</f>
        <v>0.50762639706717105</v>
      </c>
      <c r="G8" s="300">
        <f>'Baseline Consumption'!G8*parameters!$B$87</f>
        <v>0.55211167042261944</v>
      </c>
      <c r="H8" s="300">
        <f>'Baseline Consumption'!H8*parameters!$B$87</f>
        <v>0.54531530921553706</v>
      </c>
      <c r="I8" s="300">
        <f>'Baseline Consumption'!I8*parameters!$B$87</f>
        <v>0.42013869280145616</v>
      </c>
      <c r="J8" s="300">
        <f>'Baseline Consumption'!J8*parameters!$B$87</f>
        <v>0.34599657054237565</v>
      </c>
      <c r="K8" s="300">
        <f>'Baseline Consumption'!K8*parameters!$B$87</f>
        <v>0.3758387747516555</v>
      </c>
      <c r="L8" s="300">
        <f>'Baseline Consumption'!L8*parameters!$B$87</f>
        <v>0.43116115497730606</v>
      </c>
      <c r="M8" s="300">
        <f>'Baseline Consumption'!M8*parameters!$B$87</f>
        <v>0.43245247590589092</v>
      </c>
      <c r="N8" s="300">
        <f>'Baseline Consumption'!N8*parameters!$B$87</f>
        <v>0.36019222964361963</v>
      </c>
      <c r="O8" s="300">
        <f>'Baseline Consumption'!O8*parameters!$B$87</f>
        <v>0.41048242030594057</v>
      </c>
      <c r="P8" s="300">
        <f>'Baseline Consumption'!P8*parameters!$B$87</f>
        <v>0.39302344302479614</v>
      </c>
      <c r="Q8" s="300">
        <f>'Baseline Consumption'!Q8*parameters!$B$87</f>
        <v>0.3809282050672716</v>
      </c>
      <c r="R8" s="300">
        <f>'Baseline Consumption'!R8*parameters!$B$87</f>
        <v>0.37091721151993612</v>
      </c>
      <c r="S8" s="300">
        <f>'Baseline Consumption'!S8*parameters!$B$87</f>
        <v>0.36221659699267861</v>
      </c>
      <c r="T8" s="300">
        <f>'Baseline Consumption'!T8*parameters!$B$87</f>
        <v>0.35463941814629174</v>
      </c>
      <c r="U8" s="300">
        <f>'Baseline Consumption'!U8*parameters!$B$87</f>
        <v>0.34768101077433794</v>
      </c>
      <c r="V8" s="300">
        <f>'Baseline Consumption'!V8*parameters!$B$87</f>
        <v>0.34140243213229776</v>
      </c>
      <c r="W8" s="300">
        <f>'Baseline Consumption'!W8*parameters!$B$87</f>
        <v>0.33550547947393411</v>
      </c>
      <c r="X8" s="300">
        <f>'Baseline Consumption'!X8*parameters!$B$87</f>
        <v>0.33033519264284517</v>
      </c>
      <c r="Y8" s="300">
        <f>'Baseline Consumption'!Y8*parameters!$B$87</f>
        <v>0.32609670135512564</v>
      </c>
      <c r="Z8" s="300">
        <f>'Baseline Consumption'!Z8*parameters!$B$87</f>
        <v>0.320688637679167</v>
      </c>
      <c r="AA8" s="300">
        <f>'Baseline Consumption'!AA8*parameters!$B$87</f>
        <v>0.31687631164400087</v>
      </c>
      <c r="AB8" s="300">
        <f>'Baseline Consumption'!AB8*parameters!$B$87</f>
        <v>0.31385758125085189</v>
      </c>
      <c r="AC8" s="300">
        <f>'Baseline Consumption'!AC8*parameters!$B$87</f>
        <v>0.31132716024362583</v>
      </c>
      <c r="AD8" s="300">
        <f>'Baseline Consumption'!AD8*parameters!$B$87</f>
        <v>0.30902467248060161</v>
      </c>
      <c r="AE8" s="300">
        <f>'Baseline Consumption'!AE8*parameters!$B$87</f>
        <v>0.3070556938310216</v>
      </c>
      <c r="AF8" s="300">
        <f>'Baseline Consumption'!AF8*parameters!$B$87</f>
        <v>0.30533816556240206</v>
      </c>
      <c r="AG8" s="300">
        <f>'Baseline Consumption'!AG8*parameters!$B$87</f>
        <v>0.3038696875283185</v>
      </c>
      <c r="AH8" s="300">
        <f>'Baseline Consumption'!AH8*parameters!$B$87</f>
        <v>0.30256478599990294</v>
      </c>
      <c r="AI8" s="300">
        <f>'Baseline Consumption'!AI8*parameters!$B$87</f>
        <v>0.30152633083893599</v>
      </c>
      <c r="AJ8" s="300">
        <f>'Baseline Consumption'!AJ8*parameters!$B$87</f>
        <v>0.30070338213353881</v>
      </c>
      <c r="AK8" s="300">
        <f>'Baseline Consumption'!AK8*parameters!$B$87</f>
        <v>0.30011067352778265</v>
      </c>
      <c r="AL8" s="300">
        <f>'Baseline Consumption'!AL8*parameters!$B$87</f>
        <v>0.29973175171936967</v>
      </c>
      <c r="AM8" s="300">
        <f>'Baseline Consumption'!AM8*parameters!$B$87</f>
        <v>0.29931091115269909</v>
      </c>
      <c r="AN8" s="300">
        <f>'Baseline Consumption'!AN8*parameters!$B$87</f>
        <v>0.29896807465764652</v>
      </c>
      <c r="AO8" s="300">
        <f>'Baseline Consumption'!AO8*parameters!$B$87</f>
        <v>0.2986532634147348</v>
      </c>
      <c r="AP8" s="300">
        <f>'Baseline Consumption'!AP8*parameters!$B$87</f>
        <v>0.29856837955760945</v>
      </c>
      <c r="AQ8" s="300">
        <f>'Baseline Consumption'!AQ8*parameters!$B$87</f>
        <v>0.2986547863034888</v>
      </c>
      <c r="AR8" s="300">
        <f>'Baseline Consumption'!AR8*parameters!$B$87</f>
        <v>0.29888343384952948</v>
      </c>
      <c r="AS8" s="300">
        <f>'Baseline Consumption'!AS8*parameters!$B$87</f>
        <v>0.29919201717892202</v>
      </c>
      <c r="AT8" s="300">
        <f>'Baseline Consumption'!AT8*parameters!$B$87</f>
        <v>0.2996701041983153</v>
      </c>
      <c r="AU8" s="300">
        <f>'Baseline Consumption'!AU8*parameters!$B$87</f>
        <v>0.3003041579515302</v>
      </c>
      <c r="AV8" s="442">
        <f>(AU8-Q8)/Q8</f>
        <v>-0.21165155544600131</v>
      </c>
    </row>
    <row r="9" spans="1:48">
      <c r="A9" s="40" t="s">
        <v>54</v>
      </c>
      <c r="B9" s="300">
        <f>'Baseline Consumption'!B9*parameters!$B$91</f>
        <v>4.1965008874534471E-2</v>
      </c>
      <c r="C9" s="300">
        <f>'Baseline Consumption'!C9*parameters!$B$91</f>
        <v>4.5060237371922864E-2</v>
      </c>
      <c r="D9" s="300">
        <f>'Baseline Consumption'!D9*parameters!$B$91</f>
        <v>2.5309506190681053E-2</v>
      </c>
      <c r="E9" s="300">
        <f>'Baseline Consumption'!E9*parameters!$B$91</f>
        <v>1.9015607825802697E-2</v>
      </c>
      <c r="F9" s="300">
        <f>'Baseline Consumption'!F9*parameters!$B$91</f>
        <v>2.0086909675143694E-2</v>
      </c>
      <c r="G9" s="300">
        <f>'Baseline Consumption'!G9*parameters!$B$91</f>
        <v>1.821213143879695E-2</v>
      </c>
      <c r="H9" s="300">
        <f>'Baseline Consumption'!H9*parameters!$B$91</f>
        <v>1.5935615008947329E-2</v>
      </c>
      <c r="I9" s="300">
        <f>'Baseline Consumption'!I9*parameters!$B$91</f>
        <v>1.3391273116762461E-2</v>
      </c>
      <c r="J9" s="300">
        <f>'Baseline Consumption'!J9*parameters!$B$91</f>
        <v>0</v>
      </c>
      <c r="K9" s="300">
        <f>'Baseline Consumption'!K9*parameters!$B$91</f>
        <v>3.9905993887952131E-3</v>
      </c>
      <c r="L9" s="300">
        <f>'Baseline Consumption'!L9*parameters!$B$91</f>
        <v>5.1422488768367849E-3</v>
      </c>
      <c r="M9" s="300">
        <f>'Baseline Consumption'!M9*parameters!$B$91</f>
        <v>2.2221950594734012E-3</v>
      </c>
      <c r="N9" s="300">
        <f>'Baseline Consumption'!N9*parameters!$B$91</f>
        <v>1.4280422580976589E-3</v>
      </c>
      <c r="O9" s="300">
        <f>'Baseline Consumption'!O9*parameters!$B$91</f>
        <v>1.9897652515875964E-3</v>
      </c>
      <c r="P9" s="300">
        <f>'Baseline Consumption'!P9*parameters!$B$91</f>
        <v>1.7881345025922699E-3</v>
      </c>
      <c r="Q9" s="300">
        <f>'Baseline Consumption'!Q9*parameters!$B$91</f>
        <v>1.7115395039257089E-3</v>
      </c>
      <c r="R9" s="300">
        <f>'Baseline Consumption'!R9*parameters!$B$91</f>
        <v>1.6221495261744628E-3</v>
      </c>
      <c r="S9" s="300">
        <f>'Baseline Consumption'!S9*parameters!$B$91</f>
        <v>1.5365141480169354E-3</v>
      </c>
      <c r="T9" s="300">
        <f>'Baseline Consumption'!T9*parameters!$B$91</f>
        <v>1.4665617833349094E-3</v>
      </c>
      <c r="U9" s="300">
        <f>'Baseline Consumption'!U9*parameters!$B$91</f>
        <v>1.3883535443799486E-3</v>
      </c>
      <c r="V9" s="300">
        <f>'Baseline Consumption'!V9*parameters!$B$91</f>
        <v>1.3218634904994945E-3</v>
      </c>
      <c r="W9" s="300">
        <f>'Baseline Consumption'!W9*parameters!$B$91</f>
        <v>1.2672247880600659E-3</v>
      </c>
      <c r="X9" s="300">
        <f>'Baseline Consumption'!X9*parameters!$B$91</f>
        <v>1.2163795079111386E-3</v>
      </c>
      <c r="Y9" s="300">
        <f>'Baseline Consumption'!Y9*parameters!$B$91</f>
        <v>1.1653805574392251E-3</v>
      </c>
      <c r="Z9" s="300">
        <f>'Baseline Consumption'!Z9*parameters!$B$91</f>
        <v>1.1144566077353685E-3</v>
      </c>
      <c r="AA9" s="300">
        <f>'Baseline Consumption'!AA9*parameters!$B$91</f>
        <v>1.06745087907272E-3</v>
      </c>
      <c r="AB9" s="300">
        <f>'Baseline Consumption'!AB9*parameters!$B$91</f>
        <v>1.020351636898918E-3</v>
      </c>
      <c r="AC9" s="300">
        <f>'Baseline Consumption'!AC9*parameters!$B$91</f>
        <v>9.8081538009016367E-4</v>
      </c>
      <c r="AD9" s="300">
        <f>'Baseline Consumption'!AD9*parameters!$B$91</f>
        <v>9.3689456775387535E-4</v>
      </c>
      <c r="AE9" s="300">
        <f>'Baseline Consumption'!AE9*parameters!$B$91</f>
        <v>8.9715986575360847E-4</v>
      </c>
      <c r="AF9" s="300">
        <f>'Baseline Consumption'!AF9*parameters!$B$91</f>
        <v>8.5735908864181072E-4</v>
      </c>
      <c r="AG9" s="300">
        <f>'Baseline Consumption'!AG9*parameters!$B$91</f>
        <v>8.2171545016315707E-4</v>
      </c>
      <c r="AH9" s="300">
        <f>'Baseline Consumption'!AH9*parameters!$B$91</f>
        <v>7.8594476755987938E-4</v>
      </c>
      <c r="AI9" s="300">
        <f>'Baseline Consumption'!AI9*parameters!$B$91</f>
        <v>7.5007279629539102E-4</v>
      </c>
      <c r="AJ9" s="300">
        <f>'Baseline Consumption'!AJ9*parameters!$B$91</f>
        <v>7.1826623300347075E-4</v>
      </c>
      <c r="AK9" s="300">
        <f>'Baseline Consumption'!AK9*parameters!$B$91</f>
        <v>6.8643598857585442E-4</v>
      </c>
      <c r="AL9" s="300">
        <f>'Baseline Consumption'!AL9*parameters!$B$91</f>
        <v>6.5863576757943466E-4</v>
      </c>
      <c r="AM9" s="300">
        <f>'Baseline Consumption'!AM9*parameters!$B$91</f>
        <v>6.2622713146094156E-4</v>
      </c>
      <c r="AN9" s="300">
        <f>'Baseline Consumption'!AN9*parameters!$B$91</f>
        <v>6.0174166962986679E-4</v>
      </c>
      <c r="AO9" s="300">
        <f>'Baseline Consumption'!AO9*parameters!$B$91</f>
        <v>5.7301653352205464E-4</v>
      </c>
      <c r="AP9" s="300">
        <f>'Baseline Consumption'!AP9*parameters!$B$91</f>
        <v>5.4822707622244652E-4</v>
      </c>
      <c r="AQ9" s="300">
        <f>'Baseline Consumption'!AQ9*parameters!$B$91</f>
        <v>5.2334553358102131E-4</v>
      </c>
      <c r="AR9" s="300">
        <f>'Baseline Consumption'!AR9*parameters!$B$91</f>
        <v>4.9838827580471945E-4</v>
      </c>
      <c r="AS9" s="300">
        <f>'Baseline Consumption'!AS9*parameters!$B$91</f>
        <v>4.7338399814312595E-4</v>
      </c>
      <c r="AT9" s="300">
        <f>'Baseline Consumption'!AT9*parameters!$B$91</f>
        <v>4.5238237141160674E-4</v>
      </c>
      <c r="AU9" s="300">
        <f>'Baseline Consumption'!AU9*parameters!$B$91</f>
        <v>4.3134874624061419E-4</v>
      </c>
      <c r="AV9" s="442">
        <f t="shared" ref="AV9:AV14" si="0">(AU9-Q9)/Q9</f>
        <v>-0.74797616692384716</v>
      </c>
    </row>
    <row r="10" spans="1:48">
      <c r="A10" s="40" t="s">
        <v>23</v>
      </c>
      <c r="B10" s="300">
        <f>'Baseline Consumption'!B10*parameters!$B$80</f>
        <v>0.49964768147143812</v>
      </c>
      <c r="C10" s="300">
        <f>'Baseline Consumption'!C10*parameters!$B$80</f>
        <v>0.54298514574149326</v>
      </c>
      <c r="D10" s="300">
        <f>'Baseline Consumption'!D10*parameters!$B$80</f>
        <v>0.40927530336000001</v>
      </c>
      <c r="E10" s="300">
        <f>'Baseline Consumption'!E10*parameters!$B$80</f>
        <v>0.41779277232000001</v>
      </c>
      <c r="F10" s="300">
        <f>'Baseline Consumption'!F10*parameters!$B$80</f>
        <v>0.44465555904000004</v>
      </c>
      <c r="G10" s="300">
        <f>'Baseline Consumption'!G10*parameters!$B$80</f>
        <v>0.39813707472000004</v>
      </c>
      <c r="H10" s="300">
        <f>'Baseline Consumption'!H10*parameters!$B$80</f>
        <v>0.35227378032000001</v>
      </c>
      <c r="I10" s="300">
        <f>'Baseline Consumption'!I10*parameters!$B$80</f>
        <v>0.30575529600000001</v>
      </c>
      <c r="J10" s="300">
        <f>'Baseline Consumption'!J10*parameters!$B$80</f>
        <v>0.24023630399999998</v>
      </c>
      <c r="K10" s="300">
        <f>'Baseline Consumption'!K10*parameters!$B$80</f>
        <v>0.25893105638400005</v>
      </c>
      <c r="L10" s="300">
        <f>'Baseline Consumption'!L10*parameters!$B$80</f>
        <v>0.27461193513600002</v>
      </c>
      <c r="M10" s="300">
        <f>'Baseline Consumption'!M10*parameters!$B$80</f>
        <v>0.25226005855019157</v>
      </c>
      <c r="N10" s="300">
        <f>'Baseline Consumption'!N10*parameters!$B$80</f>
        <v>0.20448878293819028</v>
      </c>
      <c r="O10" s="300">
        <f>'Baseline Consumption'!O10*parameters!$B$80</f>
        <v>0.19540948097573463</v>
      </c>
      <c r="P10" s="300">
        <f>'Baseline Consumption'!P10*parameters!$B$80</f>
        <v>0.18957363965107926</v>
      </c>
      <c r="Q10" s="300">
        <f>'Baseline Consumption'!Q10*parameters!$B$80</f>
        <v>0.18359675368771131</v>
      </c>
      <c r="R10" s="300">
        <f>'Baseline Consumption'!R10*parameters!$B$80</f>
        <v>0.17840205282374369</v>
      </c>
      <c r="S10" s="300">
        <f>'Baseline Consumption'!S10*parameters!$B$80</f>
        <v>0.17358571180219901</v>
      </c>
      <c r="T10" s="300">
        <f>'Baseline Consumption'!T10*parameters!$B$80</f>
        <v>0.16887201819357345</v>
      </c>
      <c r="U10" s="300">
        <f>'Baseline Consumption'!U10*parameters!$B$80</f>
        <v>0.16397206761158592</v>
      </c>
      <c r="V10" s="300">
        <f>'Baseline Consumption'!V10*parameters!$B$80</f>
        <v>0.15944063886665319</v>
      </c>
      <c r="W10" s="300">
        <f>'Baseline Consumption'!W10*parameters!$B$80</f>
        <v>0.15514435873629942</v>
      </c>
      <c r="X10" s="300">
        <f>'Baseline Consumption'!X10*parameters!$B$80</f>
        <v>0.15099229627920324</v>
      </c>
      <c r="Y10" s="300">
        <f>'Baseline Consumption'!Y10*parameters!$B$80</f>
        <v>0.14732421315464281</v>
      </c>
      <c r="Z10" s="300">
        <f>'Baseline Consumption'!Z10*parameters!$B$80</f>
        <v>0.14365094370686915</v>
      </c>
      <c r="AA10" s="300">
        <f>'Baseline Consumption'!AA10*parameters!$B$80</f>
        <v>0.1404493107348066</v>
      </c>
      <c r="AB10" s="300">
        <f>'Baseline Consumption'!AB10*parameters!$B$80</f>
        <v>0.13740935116770484</v>
      </c>
      <c r="AC10" s="300">
        <f>'Baseline Consumption'!AC10*parameters!$B$80</f>
        <v>0.13428659506870033</v>
      </c>
      <c r="AD10" s="300">
        <f>'Baseline Consumption'!AD10*parameters!$B$80</f>
        <v>0.1312238409729897</v>
      </c>
      <c r="AE10" s="300">
        <f>'Baseline Consumption'!AE10*parameters!$B$80</f>
        <v>0.12835231400681354</v>
      </c>
      <c r="AF10" s="300">
        <f>'Baseline Consumption'!AF10*parameters!$B$80</f>
        <v>0.1255380966503982</v>
      </c>
      <c r="AG10" s="300">
        <f>'Baseline Consumption'!AG10*parameters!$B$80</f>
        <v>0.122702951517687</v>
      </c>
      <c r="AH10" s="300">
        <f>'Baseline Consumption'!AH10*parameters!$B$80</f>
        <v>0.11999980821058906</v>
      </c>
      <c r="AI10" s="300">
        <f>'Baseline Consumption'!AI10*parameters!$B$80</f>
        <v>0.11743240133505886</v>
      </c>
      <c r="AJ10" s="300">
        <f>'Baseline Consumption'!AJ10*parameters!$B$80</f>
        <v>0.11491318035802307</v>
      </c>
      <c r="AK10" s="300">
        <f>'Baseline Consumption'!AK10*parameters!$B$80</f>
        <v>0.11249978236393432</v>
      </c>
      <c r="AL10" s="300">
        <f>'Baseline Consumption'!AL10*parameters!$B$80</f>
        <v>0.11010684751105679</v>
      </c>
      <c r="AM10" s="300">
        <f>'Baseline Consumption'!AM10*parameters!$B$80</f>
        <v>0.10766793058433895</v>
      </c>
      <c r="AN10" s="300">
        <f>'Baseline Consumption'!AN10*parameters!$B$80</f>
        <v>0.10529838980464395</v>
      </c>
      <c r="AO10" s="300">
        <f>'Baseline Consumption'!AO10*parameters!$B$80</f>
        <v>0.10295996252939708</v>
      </c>
      <c r="AP10" s="300">
        <f>'Baseline Consumption'!AP10*parameters!$B$80</f>
        <v>0.10070060131546386</v>
      </c>
      <c r="AQ10" s="300">
        <f>'Baseline Consumption'!AQ10*parameters!$B$80</f>
        <v>9.8504258215040025E-2</v>
      </c>
      <c r="AR10" s="300">
        <f>'Baseline Consumption'!AR10*parameters!$B$80</f>
        <v>9.6309095857361166E-2</v>
      </c>
      <c r="AS10" s="300">
        <f>'Baseline Consumption'!AS10*parameters!$B$80</f>
        <v>9.4097771380036888E-2</v>
      </c>
      <c r="AT10" s="300">
        <f>'Baseline Consumption'!AT10*parameters!$B$80</f>
        <v>9.1953993141624904E-2</v>
      </c>
      <c r="AU10" s="300">
        <f>'Baseline Consumption'!AU10*parameters!$B$80</f>
        <v>8.9858496440846342E-2</v>
      </c>
      <c r="AV10" s="442">
        <f t="shared" si="0"/>
        <v>-0.51056598422382216</v>
      </c>
    </row>
    <row r="11" spans="1:48" s="143" customFormat="1" ht="13">
      <c r="A11" s="475" t="s">
        <v>24</v>
      </c>
      <c r="B11" s="300">
        <f>'Baseline Consumption'!B11*parameters!$B$76</f>
        <v>4.0218014466666689</v>
      </c>
      <c r="C11" s="300">
        <f>'Baseline Consumption'!C11*parameters!$B$76</f>
        <v>4.1252619466666696</v>
      </c>
      <c r="D11" s="300">
        <f>'Baseline Consumption'!D11*parameters!$B$76</f>
        <v>4.3606213200000026</v>
      </c>
      <c r="E11" s="300">
        <f>'Baseline Consumption'!E11*parameters!$B$76</f>
        <v>4.6187950600000036</v>
      </c>
      <c r="F11" s="300">
        <f>'Baseline Consumption'!F11*parameters!$B$76</f>
        <v>4.5990579800000031</v>
      </c>
      <c r="G11" s="300">
        <f>'Baseline Consumption'!G11*parameters!$B$76</f>
        <v>4.1399055866666696</v>
      </c>
      <c r="H11" s="300">
        <f>'Baseline Consumption'!H11*parameters!$B$76</f>
        <v>4.6628320933333365</v>
      </c>
      <c r="I11" s="300">
        <f>'Baseline Consumption'!I11*parameters!$B$76</f>
        <v>4.3632210966666696</v>
      </c>
      <c r="J11" s="300">
        <f>'Baseline Consumption'!J11*parameters!$B$76</f>
        <v>4.5697176433333357</v>
      </c>
      <c r="K11" s="300">
        <f>'Baseline Consumption'!K11*parameters!$B$76</f>
        <v>4.36385777666667</v>
      </c>
      <c r="L11" s="300">
        <f>'Baseline Consumption'!L11*parameters!$B$76</f>
        <v>4.0575085833333357</v>
      </c>
      <c r="M11" s="300">
        <f>'Baseline Consumption'!M11*parameters!$B$76</f>
        <v>4.3681023100000029</v>
      </c>
      <c r="N11" s="300">
        <f>'Baseline Consumption'!N11*parameters!$B$76</f>
        <v>4.4655363788521072</v>
      </c>
      <c r="O11" s="300">
        <f>'Baseline Consumption'!O11*parameters!$B$76</f>
        <v>4.5380816745855297</v>
      </c>
      <c r="P11" s="300">
        <f>'Baseline Consumption'!P11*parameters!$B$76</f>
        <v>4.478853961375167</v>
      </c>
      <c r="Q11" s="300">
        <f>'Baseline Consumption'!Q11*parameters!$B$76</f>
        <v>4.4917242347042343</v>
      </c>
      <c r="R11" s="300">
        <f>'Baseline Consumption'!R11*parameters!$B$76</f>
        <v>4.5010524441773416</v>
      </c>
      <c r="S11" s="300">
        <f>'Baseline Consumption'!S11*parameters!$B$76</f>
        <v>4.5155670737526981</v>
      </c>
      <c r="T11" s="300">
        <f>'Baseline Consumption'!T11*parameters!$B$76</f>
        <v>4.5306444003623385</v>
      </c>
      <c r="U11" s="300">
        <f>'Baseline Consumption'!U11*parameters!$B$76</f>
        <v>4.5975352098885161</v>
      </c>
      <c r="V11" s="300">
        <f>'Baseline Consumption'!V11*parameters!$B$76</f>
        <v>4.6394727006262455</v>
      </c>
      <c r="W11" s="300">
        <f>'Baseline Consumption'!W11*parameters!$B$76</f>
        <v>4.6557712692983619</v>
      </c>
      <c r="X11" s="300">
        <f>'Baseline Consumption'!X11*parameters!$B$76</f>
        <v>4.6600183457215101</v>
      </c>
      <c r="Y11" s="300">
        <f>'Baseline Consumption'!Y11*parameters!$B$76</f>
        <v>4.6682291777076363</v>
      </c>
      <c r="Z11" s="300">
        <f>'Baseline Consumption'!Z11*parameters!$B$76</f>
        <v>4.6324247915306609</v>
      </c>
      <c r="AA11" s="300">
        <f>'Baseline Consumption'!AA11*parameters!$B$76</f>
        <v>4.6135848177057355</v>
      </c>
      <c r="AB11" s="300">
        <f>'Baseline Consumption'!AB11*parameters!$B$76</f>
        <v>4.6059288113470727</v>
      </c>
      <c r="AC11" s="300">
        <f>'Baseline Consumption'!AC11*parameters!$B$76</f>
        <v>4.6078810626857765</v>
      </c>
      <c r="AD11" s="300">
        <f>'Baseline Consumption'!AD11*parameters!$B$76</f>
        <v>4.6120486666709475</v>
      </c>
      <c r="AE11" s="300">
        <f>'Baseline Consumption'!AE11*parameters!$B$76</f>
        <v>4.6198732246298437</v>
      </c>
      <c r="AF11" s="300">
        <f>'Baseline Consumption'!AF11*parameters!$B$76</f>
        <v>4.6291773027267187</v>
      </c>
      <c r="AG11" s="300">
        <f>'Baseline Consumption'!AG11*parameters!$B$76</f>
        <v>4.6396141117180205</v>
      </c>
      <c r="AH11" s="300">
        <f>'Baseline Consumption'!AH11*parameters!$B$76</f>
        <v>4.648670949234174</v>
      </c>
      <c r="AI11" s="300">
        <f>'Baseline Consumption'!AI11*parameters!$B$76</f>
        <v>4.6574244600752435</v>
      </c>
      <c r="AJ11" s="300">
        <f>'Baseline Consumption'!AJ11*parameters!$B$76</f>
        <v>4.6653432410645355</v>
      </c>
      <c r="AK11" s="300">
        <f>'Baseline Consumption'!AK11*parameters!$B$76</f>
        <v>4.672843314013166</v>
      </c>
      <c r="AL11" s="300">
        <f>'Baseline Consumption'!AL11*parameters!$B$76</f>
        <v>4.6816233140008894</v>
      </c>
      <c r="AM11" s="300">
        <f>'Baseline Consumption'!AM11*parameters!$B$76</f>
        <v>4.6876648117232769</v>
      </c>
      <c r="AN11" s="300">
        <f>'Baseline Consumption'!AN11*parameters!$B$76</f>
        <v>4.6920256658034303</v>
      </c>
      <c r="AO11" s="300">
        <f>'Baseline Consumption'!AO11*parameters!$B$76</f>
        <v>4.6942340998854268</v>
      </c>
      <c r="AP11" s="300">
        <f>'Baseline Consumption'!AP11*parameters!$B$76</f>
        <v>4.6966707668755463</v>
      </c>
      <c r="AQ11" s="300">
        <f>'Baseline Consumption'!AQ11*parameters!$B$76</f>
        <v>4.6989139628134353</v>
      </c>
      <c r="AR11" s="300">
        <f>'Baseline Consumption'!AR11*parameters!$B$76</f>
        <v>4.7002625717758297</v>
      </c>
      <c r="AS11" s="300">
        <f>'Baseline Consumption'!AS11*parameters!$B$76</f>
        <v>4.6990232694739111</v>
      </c>
      <c r="AT11" s="300">
        <f>'Baseline Consumption'!AT11*parameters!$B$76</f>
        <v>4.6972303386617602</v>
      </c>
      <c r="AU11" s="300">
        <f>'Baseline Consumption'!AU11*parameters!$B$76</f>
        <v>4.6948166732520349</v>
      </c>
      <c r="AV11" s="442">
        <f t="shared" si="0"/>
        <v>4.5214805703933325E-2</v>
      </c>
    </row>
    <row r="12" spans="1:48">
      <c r="A12" s="178" t="s">
        <v>56</v>
      </c>
      <c r="B12" s="300">
        <f>'Baseline Consumption'!B12*parameters!$B$98</f>
        <v>0</v>
      </c>
      <c r="C12" s="300">
        <f>'Baseline Consumption'!C12*parameters!$B$98</f>
        <v>0</v>
      </c>
      <c r="D12" s="300">
        <f>'Baseline Consumption'!D12*parameters!$B$98</f>
        <v>0</v>
      </c>
      <c r="E12" s="300">
        <f>'Baseline Consumption'!E12*parameters!$B$98</f>
        <v>0</v>
      </c>
      <c r="F12" s="300">
        <f>'Baseline Consumption'!F12*parameters!$B$98</f>
        <v>0</v>
      </c>
      <c r="G12" s="300">
        <f>'Baseline Consumption'!G12*parameters!$B$98</f>
        <v>0</v>
      </c>
      <c r="H12" s="300">
        <f>'Baseline Consumption'!H12*parameters!$B$98</f>
        <v>0</v>
      </c>
      <c r="I12" s="300">
        <f>'Baseline Consumption'!I12*parameters!$B$98</f>
        <v>0</v>
      </c>
      <c r="J12" s="300">
        <f>'Baseline Consumption'!J12*parameters!$B$98</f>
        <v>0</v>
      </c>
      <c r="K12" s="300">
        <f>'Baseline Consumption'!K12*parameters!$B$98</f>
        <v>0</v>
      </c>
      <c r="L12" s="300">
        <f>'Baseline Consumption'!L12*parameters!$B$98</f>
        <v>0</v>
      </c>
      <c r="M12" s="300">
        <f>'Baseline Consumption'!M12*parameters!$B$98</f>
        <v>0</v>
      </c>
      <c r="N12" s="300">
        <f>'Baseline Consumption'!N12*parameters!$B$98</f>
        <v>0</v>
      </c>
      <c r="O12" s="300">
        <f>'Baseline Consumption'!O12*parameters!$B$98</f>
        <v>0</v>
      </c>
      <c r="P12" s="300">
        <f>'Baseline Consumption'!P12*parameters!$B$98</f>
        <v>0</v>
      </c>
      <c r="Q12" s="300">
        <f>'Baseline Consumption'!Q12*parameters!$B$98</f>
        <v>0</v>
      </c>
      <c r="R12" s="300">
        <f>'Baseline Consumption'!R12*parameters!$B$98</f>
        <v>0</v>
      </c>
      <c r="S12" s="300">
        <f>'Baseline Consumption'!S12*parameters!$B$98</f>
        <v>0</v>
      </c>
      <c r="T12" s="300">
        <f>'Baseline Consumption'!T12*parameters!$B$98</f>
        <v>0</v>
      </c>
      <c r="U12" s="300">
        <f>'Baseline Consumption'!U12*parameters!$B$98</f>
        <v>0</v>
      </c>
      <c r="V12" s="300">
        <f>'Baseline Consumption'!V12*parameters!$B$98</f>
        <v>0</v>
      </c>
      <c r="W12" s="300">
        <f>'Baseline Consumption'!W12*parameters!$B$98</f>
        <v>0</v>
      </c>
      <c r="X12" s="300">
        <f>'Baseline Consumption'!X12*parameters!$B$98</f>
        <v>0</v>
      </c>
      <c r="Y12" s="300">
        <f>'Baseline Consumption'!Y12*parameters!$B$98</f>
        <v>0</v>
      </c>
      <c r="Z12" s="300">
        <f>'Baseline Consumption'!Z12*parameters!$B$98</f>
        <v>0</v>
      </c>
      <c r="AA12" s="300">
        <f>'Baseline Consumption'!AA12*parameters!$B$98</f>
        <v>0</v>
      </c>
      <c r="AB12" s="300">
        <f>'Baseline Consumption'!AB12*parameters!$B$98</f>
        <v>0</v>
      </c>
      <c r="AC12" s="300">
        <f>'Baseline Consumption'!AC12*parameters!$B$98</f>
        <v>0</v>
      </c>
      <c r="AD12" s="300">
        <f>'Baseline Consumption'!AD12*parameters!$B$98</f>
        <v>0</v>
      </c>
      <c r="AE12" s="300">
        <f>'Baseline Consumption'!AE12*parameters!$B$98</f>
        <v>0</v>
      </c>
      <c r="AF12" s="300">
        <f>'Baseline Consumption'!AF12*parameters!$B$98</f>
        <v>0</v>
      </c>
      <c r="AG12" s="300">
        <f>'Baseline Consumption'!AG12*parameters!$B$98</f>
        <v>0</v>
      </c>
      <c r="AH12" s="300">
        <f>'Baseline Consumption'!AH12*parameters!$B$98</f>
        <v>0</v>
      </c>
      <c r="AI12" s="300">
        <f>'Baseline Consumption'!AI12*parameters!$B$98</f>
        <v>0</v>
      </c>
      <c r="AJ12" s="300">
        <f>'Baseline Consumption'!AJ12*parameters!$B$98</f>
        <v>0</v>
      </c>
      <c r="AK12" s="300">
        <f>'Baseline Consumption'!AK12*parameters!$B$98</f>
        <v>0</v>
      </c>
      <c r="AL12" s="300">
        <f>'Baseline Consumption'!AL12*parameters!$B$98</f>
        <v>0</v>
      </c>
      <c r="AM12" s="300">
        <f>'Baseline Consumption'!AM12*parameters!$B$98</f>
        <v>0</v>
      </c>
      <c r="AN12" s="300">
        <f>'Baseline Consumption'!AN12*parameters!$B$98</f>
        <v>0</v>
      </c>
      <c r="AO12" s="300">
        <f>'Baseline Consumption'!AO12*parameters!$B$98</f>
        <v>0</v>
      </c>
      <c r="AP12" s="300">
        <f>'Baseline Consumption'!AP12*parameters!$B$98</f>
        <v>0</v>
      </c>
      <c r="AQ12" s="300">
        <f>'Baseline Consumption'!AQ12*parameters!$B$98</f>
        <v>0</v>
      </c>
      <c r="AR12" s="300">
        <f>'Baseline Consumption'!AR12*parameters!$B$98</f>
        <v>0</v>
      </c>
      <c r="AS12" s="300">
        <f>'Baseline Consumption'!AS12*parameters!$B$98</f>
        <v>0</v>
      </c>
      <c r="AT12" s="300">
        <f>'Baseline Consumption'!AT12*parameters!$B$98</f>
        <v>0</v>
      </c>
      <c r="AU12" s="300">
        <f>'Baseline Consumption'!AU12*parameters!$B$98</f>
        <v>0</v>
      </c>
      <c r="AV12" s="442"/>
    </row>
    <row r="13" spans="1:48">
      <c r="A13" s="178" t="s">
        <v>25</v>
      </c>
      <c r="B13" s="300">
        <f>B83*'Baseline Consumption'!B101</f>
        <v>7.2195713281782545</v>
      </c>
      <c r="C13" s="300">
        <f>C83*'Baseline Consumption'!C101</f>
        <v>6.8110549265018721</v>
      </c>
      <c r="D13" s="300">
        <f>D83*'Baseline Consumption'!D101</f>
        <v>7.382853362842658</v>
      </c>
      <c r="E13" s="300">
        <f>E83*'Baseline Consumption'!E101</f>
        <v>7.6552683750098875</v>
      </c>
      <c r="F13" s="300">
        <f>F83*'Baseline Consumption'!F101</f>
        <v>8.1335450109273424</v>
      </c>
      <c r="G13" s="300">
        <f>G83*'Baseline Consumption'!G101</f>
        <v>8.3137239696230694</v>
      </c>
      <c r="H13" s="300">
        <f>H83*'Baseline Consumption'!H101</f>
        <v>6.3210136090268447</v>
      </c>
      <c r="I13" s="300">
        <f>I83*'Baseline Consumption'!I101</f>
        <v>5.9815488269484423</v>
      </c>
      <c r="J13" s="300">
        <f>J83*'Baseline Consumption'!J101</f>
        <v>7.2613830913149409</v>
      </c>
      <c r="K13" s="300">
        <f>K83*'Baseline Consumption'!K101</f>
        <v>6.5982296322622513</v>
      </c>
      <c r="L13" s="300">
        <f>L83*'Baseline Consumption'!L101</f>
        <v>6.8075033422000564</v>
      </c>
      <c r="M13" s="300">
        <f>M83*'Baseline Consumption'!M101</f>
        <v>6.1688008611108307</v>
      </c>
      <c r="N13" s="300">
        <f>N83*'Baseline Consumption'!N101</f>
        <v>5.4873086505292878</v>
      </c>
      <c r="O13" s="300">
        <f>O83*'Baseline Consumption'!O101</f>
        <v>5.7007502697425823</v>
      </c>
      <c r="P13" s="300">
        <f>P83*'Baseline Consumption'!P101</f>
        <v>5.3014129068300626</v>
      </c>
      <c r="Q13" s="300">
        <f>Q83*'Baseline Consumption'!Q101</f>
        <v>4.9816519300311732</v>
      </c>
      <c r="R13" s="300">
        <f>R83*'Baseline Consumption'!R101</f>
        <v>4.5314426557081697</v>
      </c>
      <c r="S13" s="300">
        <f>S83*'Baseline Consumption'!S101</f>
        <v>4.4614003015976262</v>
      </c>
      <c r="T13" s="300">
        <f>T83*'Baseline Consumption'!T101</f>
        <v>3.8881783255140365</v>
      </c>
      <c r="U13" s="300">
        <f>U83*'Baseline Consumption'!U101</f>
        <v>3.597000211429676</v>
      </c>
      <c r="V13" s="300">
        <f>V83*'Baseline Consumption'!V101</f>
        <v>3.5325558424789132</v>
      </c>
      <c r="W13" s="300">
        <f>W83*'Baseline Consumption'!W101</f>
        <v>3.1079498732659108</v>
      </c>
      <c r="X13" s="300">
        <f>X83*'Baseline Consumption'!X101</f>
        <v>3.0475980842155375</v>
      </c>
      <c r="Y13" s="300">
        <f>Y83*'Baseline Consumption'!Y101</f>
        <v>3.0220877253889937</v>
      </c>
      <c r="Z13" s="300">
        <f>Z83*'Baseline Consumption'!Z101</f>
        <v>2.7577926285955146</v>
      </c>
      <c r="AA13" s="300">
        <f>AA83*'Baseline Consumption'!AA101</f>
        <v>2.751015287789305</v>
      </c>
      <c r="AB13" s="300">
        <f>AB83*'Baseline Consumption'!AB101</f>
        <v>2.7541443441794313</v>
      </c>
      <c r="AC13" s="300">
        <f>AC83*'Baseline Consumption'!AC101</f>
        <v>2.759301386484263</v>
      </c>
      <c r="AD13" s="300">
        <f>AD83*'Baseline Consumption'!AD101</f>
        <v>2.7677680218922007</v>
      </c>
      <c r="AE13" s="300">
        <f>AE83*'Baseline Consumption'!AE101</f>
        <v>2.7797885113965748</v>
      </c>
      <c r="AF13" s="300">
        <f>AF83*'Baseline Consumption'!AF101</f>
        <v>2.7927986232518109</v>
      </c>
      <c r="AG13" s="300">
        <f>AG83*'Baseline Consumption'!AG101</f>
        <v>2.7969009439361185</v>
      </c>
      <c r="AH13" s="300">
        <f>AH83*'Baseline Consumption'!AH101</f>
        <v>2.8053099672038866</v>
      </c>
      <c r="AI13" s="300">
        <f>AI83*'Baseline Consumption'!AI101</f>
        <v>2.8137189904716555</v>
      </c>
      <c r="AJ13" s="300">
        <f>AJ83*'Baseline Consumption'!AJ101</f>
        <v>2.8221280137394231</v>
      </c>
      <c r="AK13" s="300">
        <f>AK83*'Baseline Consumption'!AK101</f>
        <v>2.8305370370071921</v>
      </c>
      <c r="AL13" s="300">
        <f>AL83*'Baseline Consumption'!AL101</f>
        <v>2.8389460602749601</v>
      </c>
      <c r="AM13" s="300">
        <f>AM83*'Baseline Consumption'!AM101</f>
        <v>2.8473550835427281</v>
      </c>
      <c r="AN13" s="300">
        <f>AN83*'Baseline Consumption'!AN101</f>
        <v>2.8557641068104962</v>
      </c>
      <c r="AO13" s="300">
        <f>AO83*'Baseline Consumption'!AO101</f>
        <v>2.8641731300782647</v>
      </c>
      <c r="AP13" s="300">
        <f>AP83*'Baseline Consumption'!AP101</f>
        <v>2.8725821533460336</v>
      </c>
      <c r="AQ13" s="300">
        <f>AQ83*'Baseline Consumption'!AQ101</f>
        <v>2.8809911766138012</v>
      </c>
      <c r="AR13" s="300">
        <f>AR83*'Baseline Consumption'!AR101</f>
        <v>2.8894001998815702</v>
      </c>
      <c r="AS13" s="300">
        <f>AS83*'Baseline Consumption'!AS101</f>
        <v>2.8978092231493386</v>
      </c>
      <c r="AT13" s="300">
        <f>AT83*'Baseline Consumption'!AT101</f>
        <v>2.9062182464171076</v>
      </c>
      <c r="AU13" s="300">
        <f>AU83*'Baseline Consumption'!AU101</f>
        <v>2.9146272696848752</v>
      </c>
      <c r="AV13" s="442">
        <f t="shared" si="0"/>
        <v>-0.41492755603528553</v>
      </c>
    </row>
    <row r="14" spans="1:48" s="6" customFormat="1">
      <c r="A14" s="218" t="s">
        <v>26</v>
      </c>
      <c r="B14" s="300">
        <f t="shared" ref="B14:AK14" si="1">SUM(B8:B13)</f>
        <v>12.150080989327463</v>
      </c>
      <c r="C14" s="300">
        <f t="shared" si="1"/>
        <v>11.913412623977681</v>
      </c>
      <c r="D14" s="300">
        <f t="shared" si="1"/>
        <v>12.641324186308829</v>
      </c>
      <c r="E14" s="300">
        <f t="shared" si="1"/>
        <v>13.170923683773289</v>
      </c>
      <c r="F14" s="300">
        <f t="shared" si="1"/>
        <v>13.70497185670966</v>
      </c>
      <c r="G14" s="300">
        <f t="shared" si="1"/>
        <v>13.422090432871155</v>
      </c>
      <c r="H14" s="300">
        <f t="shared" si="1"/>
        <v>11.897370406904667</v>
      </c>
      <c r="I14" s="300">
        <f t="shared" si="1"/>
        <v>11.08405518553333</v>
      </c>
      <c r="J14" s="300">
        <f t="shared" si="1"/>
        <v>12.417333609190653</v>
      </c>
      <c r="K14" s="300">
        <f t="shared" si="1"/>
        <v>11.600847839453373</v>
      </c>
      <c r="L14" s="300">
        <f t="shared" si="1"/>
        <v>11.575927264523536</v>
      </c>
      <c r="M14" s="300">
        <f t="shared" si="1"/>
        <v>11.223837900626389</v>
      </c>
      <c r="N14" s="300">
        <f t="shared" si="1"/>
        <v>10.518954084221303</v>
      </c>
      <c r="O14" s="300">
        <f t="shared" si="1"/>
        <v>10.846713610861375</v>
      </c>
      <c r="P14" s="300">
        <f t="shared" si="1"/>
        <v>10.364652085383696</v>
      </c>
      <c r="Q14" s="300">
        <f t="shared" si="1"/>
        <v>10.039612662994315</v>
      </c>
      <c r="R14" s="300">
        <f t="shared" si="1"/>
        <v>9.5834365137553661</v>
      </c>
      <c r="S14" s="300">
        <f t="shared" si="1"/>
        <v>9.5143061982932196</v>
      </c>
      <c r="T14" s="300">
        <f t="shared" si="1"/>
        <v>8.9438007239995745</v>
      </c>
      <c r="U14" s="300">
        <f t="shared" si="1"/>
        <v>8.7075768532484972</v>
      </c>
      <c r="V14" s="300">
        <f t="shared" si="1"/>
        <v>8.6741934775946099</v>
      </c>
      <c r="W14" s="300">
        <f t="shared" si="1"/>
        <v>8.2556382055625654</v>
      </c>
      <c r="X14" s="300">
        <f t="shared" si="1"/>
        <v>8.1901602983670081</v>
      </c>
      <c r="Y14" s="300">
        <f t="shared" si="1"/>
        <v>8.164903198163838</v>
      </c>
      <c r="Z14" s="300">
        <f t="shared" si="1"/>
        <v>7.8556714581199474</v>
      </c>
      <c r="AA14" s="300">
        <f t="shared" si="1"/>
        <v>7.8229931787529203</v>
      </c>
      <c r="AB14" s="300">
        <f t="shared" si="1"/>
        <v>7.8123604395819601</v>
      </c>
      <c r="AC14" s="300">
        <f t="shared" si="1"/>
        <v>7.8137770198624557</v>
      </c>
      <c r="AD14" s="300">
        <f t="shared" si="1"/>
        <v>7.8210020965844933</v>
      </c>
      <c r="AE14" s="300">
        <f t="shared" si="1"/>
        <v>7.8359669037300073</v>
      </c>
      <c r="AF14" s="300">
        <f t="shared" si="1"/>
        <v>7.8537095472799709</v>
      </c>
      <c r="AG14" s="300">
        <f t="shared" si="1"/>
        <v>7.863909410150308</v>
      </c>
      <c r="AH14" s="300">
        <f t="shared" si="1"/>
        <v>7.8773314554161118</v>
      </c>
      <c r="AI14" s="300">
        <f t="shared" si="1"/>
        <v>7.8908522555171894</v>
      </c>
      <c r="AJ14" s="300">
        <f t="shared" si="1"/>
        <v>7.903806083528524</v>
      </c>
      <c r="AK14" s="300">
        <f t="shared" si="1"/>
        <v>7.9166772429006507</v>
      </c>
      <c r="AL14" s="300">
        <f t="shared" ref="AL14:AU14" si="2">SUM(AL8:AL13)</f>
        <v>7.9310666092738558</v>
      </c>
      <c r="AM14" s="300">
        <f t="shared" si="2"/>
        <v>7.9426249641345041</v>
      </c>
      <c r="AN14" s="300">
        <f t="shared" si="2"/>
        <v>7.9526579787458465</v>
      </c>
      <c r="AO14" s="300">
        <f t="shared" si="2"/>
        <v>7.9605934724413459</v>
      </c>
      <c r="AP14" s="300">
        <f t="shared" si="2"/>
        <v>7.9690701281708751</v>
      </c>
      <c r="AQ14" s="300">
        <f t="shared" si="2"/>
        <v>7.9775875294793455</v>
      </c>
      <c r="AR14" s="300">
        <f t="shared" si="2"/>
        <v>7.9853536896400952</v>
      </c>
      <c r="AS14" s="300">
        <f t="shared" si="2"/>
        <v>7.9905956651803516</v>
      </c>
      <c r="AT14" s="300">
        <f t="shared" si="2"/>
        <v>7.9955250647902201</v>
      </c>
      <c r="AU14" s="300">
        <f t="shared" si="2"/>
        <v>8.000037946075528</v>
      </c>
      <c r="AV14" s="442">
        <f t="shared" si="0"/>
        <v>-0.20315272963035649</v>
      </c>
    </row>
    <row r="15" spans="1:48">
      <c r="A15" s="178"/>
      <c r="B15" s="479"/>
      <c r="C15" s="479"/>
      <c r="D15" s="479"/>
      <c r="E15" s="479"/>
      <c r="F15" s="479"/>
      <c r="G15" s="479"/>
      <c r="H15" s="479"/>
      <c r="I15" s="479"/>
      <c r="J15" s="479"/>
      <c r="K15" s="479"/>
      <c r="L15" s="479"/>
      <c r="M15" s="480"/>
      <c r="N15" s="300"/>
      <c r="O15" s="300"/>
      <c r="P15" s="300"/>
      <c r="Q15" s="300"/>
      <c r="R15" s="300"/>
      <c r="S15" s="300"/>
      <c r="T15" s="300"/>
      <c r="U15" s="300"/>
      <c r="V15" s="300"/>
      <c r="W15" s="300"/>
      <c r="X15" s="300"/>
      <c r="Y15" s="300"/>
      <c r="Z15" s="300"/>
      <c r="AA15" s="300"/>
      <c r="AB15" s="300"/>
      <c r="AC15" s="300"/>
      <c r="AD15" s="300"/>
      <c r="AE15" s="300"/>
      <c r="AF15" s="300"/>
      <c r="AG15" s="230"/>
      <c r="AH15" s="230"/>
      <c r="AI15" s="230"/>
      <c r="AJ15" s="230"/>
      <c r="AK15" s="230"/>
      <c r="AL15" s="230"/>
      <c r="AM15" s="230"/>
      <c r="AN15" s="230"/>
      <c r="AO15" s="230"/>
      <c r="AP15" s="230"/>
      <c r="AQ15" s="230"/>
      <c r="AR15" s="230"/>
      <c r="AS15" s="230"/>
      <c r="AT15" s="230"/>
      <c r="AU15" s="230"/>
    </row>
    <row r="16" spans="1:48" ht="13">
      <c r="A16" s="250" t="s">
        <v>27</v>
      </c>
      <c r="B16" s="380"/>
      <c r="C16" s="380"/>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O16" s="380"/>
      <c r="AP16" s="380"/>
      <c r="AQ16" s="380"/>
      <c r="AR16" s="380"/>
      <c r="AS16" s="380"/>
      <c r="AT16" s="380"/>
      <c r="AU16" s="381"/>
      <c r="AV16" s="5" t="s">
        <v>1385</v>
      </c>
    </row>
    <row r="17" spans="1:48" s="396" customFormat="1" ht="12.9" customHeight="1">
      <c r="A17" s="253" t="s">
        <v>6</v>
      </c>
      <c r="B17" s="253">
        <v>2005</v>
      </c>
      <c r="C17" s="253">
        <v>2006</v>
      </c>
      <c r="D17" s="253">
        <v>2007</v>
      </c>
      <c r="E17" s="253">
        <v>2008</v>
      </c>
      <c r="F17" s="253">
        <v>2009</v>
      </c>
      <c r="G17" s="253">
        <v>2010</v>
      </c>
      <c r="H17" s="253">
        <v>2011</v>
      </c>
      <c r="I17" s="253">
        <v>2012</v>
      </c>
      <c r="J17" s="253">
        <v>2013</v>
      </c>
      <c r="K17" s="253">
        <v>2014</v>
      </c>
      <c r="L17" s="253">
        <v>2015</v>
      </c>
      <c r="M17" s="253">
        <v>2016</v>
      </c>
      <c r="N17" s="253">
        <v>2017</v>
      </c>
      <c r="O17" s="253">
        <v>2018</v>
      </c>
      <c r="P17" s="253">
        <v>2019</v>
      </c>
      <c r="Q17" s="253">
        <v>2020</v>
      </c>
      <c r="R17" s="253">
        <v>2021</v>
      </c>
      <c r="S17" s="253">
        <v>2022</v>
      </c>
      <c r="T17" s="253">
        <v>2023</v>
      </c>
      <c r="U17" s="253">
        <v>2024</v>
      </c>
      <c r="V17" s="253">
        <v>2025</v>
      </c>
      <c r="W17" s="253">
        <v>2026</v>
      </c>
      <c r="X17" s="253">
        <v>2027</v>
      </c>
      <c r="Y17" s="253">
        <v>2028</v>
      </c>
      <c r="Z17" s="253">
        <v>2029</v>
      </c>
      <c r="AA17" s="253">
        <v>2030</v>
      </c>
      <c r="AB17" s="253">
        <v>2031</v>
      </c>
      <c r="AC17" s="253">
        <v>2032</v>
      </c>
      <c r="AD17" s="253">
        <v>2033</v>
      </c>
      <c r="AE17" s="253">
        <v>2034</v>
      </c>
      <c r="AF17" s="253">
        <v>2035</v>
      </c>
      <c r="AG17" s="253">
        <v>2036</v>
      </c>
      <c r="AH17" s="253">
        <v>2037</v>
      </c>
      <c r="AI17" s="253">
        <v>2038</v>
      </c>
      <c r="AJ17" s="253">
        <v>2039</v>
      </c>
      <c r="AK17" s="253">
        <v>2040</v>
      </c>
      <c r="AL17" s="253">
        <v>2041</v>
      </c>
      <c r="AM17" s="253">
        <v>2042</v>
      </c>
      <c r="AN17" s="253">
        <v>2043</v>
      </c>
      <c r="AO17" s="253">
        <v>2044</v>
      </c>
      <c r="AP17" s="253">
        <v>2045</v>
      </c>
      <c r="AQ17" s="253">
        <v>2046</v>
      </c>
      <c r="AR17" s="253">
        <v>2047</v>
      </c>
      <c r="AS17" s="253">
        <v>2048</v>
      </c>
      <c r="AT17" s="253">
        <v>2049</v>
      </c>
      <c r="AU17" s="253">
        <v>2050</v>
      </c>
      <c r="AV17" s="436" t="s">
        <v>290</v>
      </c>
    </row>
    <row r="18" spans="1:48">
      <c r="A18" s="178" t="s">
        <v>22</v>
      </c>
      <c r="B18" s="300">
        <f>'Baseline Consumption'!B18*parameters!$B$87</f>
        <v>7.8392832180408295E-2</v>
      </c>
      <c r="C18" s="300">
        <f>'Baseline Consumption'!C18*parameters!$B$87</f>
        <v>6.5772049399828406E-2</v>
      </c>
      <c r="D18" s="300">
        <f>'Baseline Consumption'!D18*parameters!$B$87</f>
        <v>8.180347489251881E-2</v>
      </c>
      <c r="E18" s="300">
        <f>'Baseline Consumption'!E18*parameters!$B$87</f>
        <v>8.0518344773361422E-2</v>
      </c>
      <c r="F18" s="300">
        <f>'Baseline Consumption'!F18*parameters!$B$87</f>
        <v>0.16867332813940814</v>
      </c>
      <c r="G18" s="300">
        <f>'Baseline Consumption'!G18*parameters!$B$87</f>
        <v>0.18980383298324607</v>
      </c>
      <c r="H18" s="300">
        <f>'Baseline Consumption'!H18*parameters!$B$87</f>
        <v>0.19672376439409359</v>
      </c>
      <c r="I18" s="300">
        <f>'Baseline Consumption'!I18*parameters!$B$87</f>
        <v>0.21006934640072808</v>
      </c>
      <c r="J18" s="300">
        <f>'Baseline Consumption'!J18*parameters!$B$87</f>
        <v>0.22242636677724148</v>
      </c>
      <c r="K18" s="300">
        <f>'Baseline Consumption'!K18*parameters!$B$87</f>
        <v>0.19561163256020736</v>
      </c>
      <c r="L18" s="300">
        <f>'Baseline Consumption'!L18*parameters!$B$87</f>
        <v>0.19101482098014436</v>
      </c>
      <c r="M18" s="300">
        <f>'Baseline Consumption'!M18*parameters!$B$87</f>
        <v>0.19364022122924299</v>
      </c>
      <c r="N18" s="300">
        <f>'Baseline Consumption'!N18*parameters!$B$87</f>
        <v>0.23910545814238152</v>
      </c>
      <c r="O18" s="300">
        <f>'Baseline Consumption'!O18*parameters!$B$87</f>
        <v>0.22199435661614414</v>
      </c>
      <c r="P18" s="300">
        <f>'Baseline Consumption'!P18*parameters!$B$87</f>
        <v>0.22236755206850739</v>
      </c>
      <c r="Q18" s="300">
        <f>'Baseline Consumption'!Q18*parameters!$B$87</f>
        <v>0.22506870173683946</v>
      </c>
      <c r="R18" s="300">
        <f>'Baseline Consumption'!R18*parameters!$B$87</f>
        <v>0.22718187040207097</v>
      </c>
      <c r="S18" s="300">
        <f>'Baseline Consumption'!S18*parameters!$B$87</f>
        <v>0.22862004237299552</v>
      </c>
      <c r="T18" s="300">
        <f>'Baseline Consumption'!T18*parameters!$B$87</f>
        <v>0.23045462175439668</v>
      </c>
      <c r="U18" s="300">
        <f>'Baseline Consumption'!U18*parameters!$B$87</f>
        <v>0.23188979006413507</v>
      </c>
      <c r="V18" s="300">
        <f>'Baseline Consumption'!V18*parameters!$B$87</f>
        <v>0.233221168208396</v>
      </c>
      <c r="W18" s="300">
        <f>'Baseline Consumption'!W18*parameters!$B$87</f>
        <v>0.23490569407651476</v>
      </c>
      <c r="X18" s="300">
        <f>'Baseline Consumption'!X18*parameters!$B$87</f>
        <v>0.23693038026048957</v>
      </c>
      <c r="Y18" s="300">
        <f>'Baseline Consumption'!Y18*parameters!$B$87</f>
        <v>0.23917851820443253</v>
      </c>
      <c r="Z18" s="300">
        <f>'Baseline Consumption'!Z18*parameters!$B$87</f>
        <v>0.23704621658600736</v>
      </c>
      <c r="AA18" s="300">
        <f>'Baseline Consumption'!AA18*parameters!$B$87</f>
        <v>0.23970950447728342</v>
      </c>
      <c r="AB18" s="300">
        <f>'Baseline Consumption'!AB18*parameters!$B$87</f>
        <v>0.24178474893884777</v>
      </c>
      <c r="AC18" s="300">
        <f>'Baseline Consumption'!AC18*parameters!$B$87</f>
        <v>0.24411039857243297</v>
      </c>
      <c r="AD18" s="300">
        <f>'Baseline Consumption'!AD18*parameters!$B$87</f>
        <v>0.24627663415025838</v>
      </c>
      <c r="AE18" s="300">
        <f>'Baseline Consumption'!AE18*parameters!$B$87</f>
        <v>0.24851064344377016</v>
      </c>
      <c r="AF18" s="300">
        <f>'Baseline Consumption'!AF18*parameters!$B$87</f>
        <v>0.25079650519587787</v>
      </c>
      <c r="AG18" s="300">
        <f>'Baseline Consumption'!AG18*parameters!$B$87</f>
        <v>0.25307312707657742</v>
      </c>
      <c r="AH18" s="300">
        <f>'Baseline Consumption'!AH18*parameters!$B$87</f>
        <v>0.25546194660489907</v>
      </c>
      <c r="AI18" s="300">
        <f>'Baseline Consumption'!AI18*parameters!$B$87</f>
        <v>0.25791751907346855</v>
      </c>
      <c r="AJ18" s="300">
        <f>'Baseline Consumption'!AJ18*parameters!$B$87</f>
        <v>0.26038742156028005</v>
      </c>
      <c r="AK18" s="300">
        <f>'Baseline Consumption'!AK18*parameters!$B$87</f>
        <v>0.26288679397908715</v>
      </c>
      <c r="AL18" s="300">
        <f>'Baseline Consumption'!AL18*parameters!$B$87</f>
        <v>0.2655029878109767</v>
      </c>
      <c r="AM18" s="300">
        <f>'Baseline Consumption'!AM18*parameters!$B$87</f>
        <v>0.26785230495147133</v>
      </c>
      <c r="AN18" s="300">
        <f>'Baseline Consumption'!AN18*parameters!$B$87</f>
        <v>0.2700874359736965</v>
      </c>
      <c r="AO18" s="300">
        <f>'Baseline Consumption'!AO18*parameters!$B$87</f>
        <v>0.27224852366145308</v>
      </c>
      <c r="AP18" s="300">
        <f>'Baseline Consumption'!AP18*parameters!$B$87</f>
        <v>0.27442093814534912</v>
      </c>
      <c r="AQ18" s="300">
        <f>'Baseline Consumption'!AQ18*parameters!$B$87</f>
        <v>0.27659903674116665</v>
      </c>
      <c r="AR18" s="300">
        <f>'Baseline Consumption'!AR18*parameters!$B$87</f>
        <v>0.27872873673786314</v>
      </c>
      <c r="AS18" s="300">
        <f>'Baseline Consumption'!AS18*parameters!$B$87</f>
        <v>0.28081438657474361</v>
      </c>
      <c r="AT18" s="300">
        <f>'Baseline Consumption'!AT18*parameters!$B$87</f>
        <v>0.2829270141817703</v>
      </c>
      <c r="AU18" s="300">
        <f>'Baseline Consumption'!AU18*parameters!$B$87</f>
        <v>0.28507879367183625</v>
      </c>
      <c r="AV18" s="442">
        <f>(AU18-Q18)/Q18</f>
        <v>0.26663010659368941</v>
      </c>
    </row>
    <row r="19" spans="1:48">
      <c r="A19" s="178" t="s">
        <v>28</v>
      </c>
      <c r="B19" s="300">
        <f>'Baseline Consumption'!B19*parameters!$B$71</f>
        <v>2.6214330890347127E-2</v>
      </c>
      <c r="C19" s="300">
        <f>'Baseline Consumption'!C19*parameters!$B$71</f>
        <v>2.5139065522539916E-2</v>
      </c>
      <c r="D19" s="300">
        <f>'Baseline Consumption'!D19*parameters!$B$71</f>
        <v>3.3343445280323958E-2</v>
      </c>
      <c r="E19" s="300">
        <f>'Baseline Consumption'!E19*parameters!$B$71</f>
        <v>2.8155625570519975E-2</v>
      </c>
      <c r="F19" s="300">
        <f>'Baseline Consumption'!F19*parameters!$B$71</f>
        <v>2.5795788612285014E-2</v>
      </c>
      <c r="G19" s="300">
        <f>'Baseline Consumption'!G19*parameters!$B$71</f>
        <v>2.8088747600043675E-2</v>
      </c>
      <c r="H19" s="300">
        <f>'Baseline Consumption'!H19*parameters!$B$71</f>
        <v>2.665564823269451E-2</v>
      </c>
      <c r="I19" s="300">
        <f>'Baseline Consumption'!I19*parameters!$B$71</f>
        <v>2.8661987346983348E-2</v>
      </c>
      <c r="J19" s="300">
        <f>'Baseline Consumption'!J19*parameters!$B$71</f>
        <v>2.8661987346983348E-2</v>
      </c>
      <c r="K19" s="300">
        <f>'Baseline Consumption'!K19*parameters!$B$71</f>
        <v>2.7611047810927294E-2</v>
      </c>
      <c r="L19" s="300">
        <f>'Baseline Consumption'!L19*parameters!$B$71</f>
        <v>3.8741452897339157E-2</v>
      </c>
      <c r="M19" s="300">
        <f>'Baseline Consumption'!M19*parameters!$B$71</f>
        <v>3.8741452897339157E-2</v>
      </c>
      <c r="N19" s="300">
        <f>'Baseline Consumption'!N19*parameters!$B$71</f>
        <v>3.8741452897339157E-2</v>
      </c>
      <c r="O19" s="300">
        <f>'Baseline Consumption'!O19*parameters!$B$71</f>
        <v>3.8741452897339157E-2</v>
      </c>
      <c r="P19" s="300">
        <f>'Baseline Consumption'!P19*parameters!$B$71</f>
        <v>3.8741452897339157E-2</v>
      </c>
      <c r="Q19" s="300">
        <f>'Baseline Consumption'!Q19*parameters!$B$71</f>
        <v>3.8741452897339157E-2</v>
      </c>
      <c r="R19" s="300">
        <f>'Baseline Consumption'!R19*parameters!$B$71</f>
        <v>3.8741452897339157E-2</v>
      </c>
      <c r="S19" s="300">
        <f>'Baseline Consumption'!S19*parameters!$B$71</f>
        <v>3.8741452897339157E-2</v>
      </c>
      <c r="T19" s="300">
        <f>'Baseline Consumption'!T19*parameters!$B$71</f>
        <v>3.8741452897339157E-2</v>
      </c>
      <c r="U19" s="300">
        <f>'Baseline Consumption'!U19*parameters!$B$71</f>
        <v>3.8741452897339157E-2</v>
      </c>
      <c r="V19" s="300">
        <f>'Baseline Consumption'!V19*parameters!$B$71</f>
        <v>3.8741452897339157E-2</v>
      </c>
      <c r="W19" s="300">
        <f>'Baseline Consumption'!W19*parameters!$B$71</f>
        <v>3.8741452897339157E-2</v>
      </c>
      <c r="X19" s="300">
        <f>'Baseline Consumption'!X19*parameters!$B$71</f>
        <v>3.8741452897339157E-2</v>
      </c>
      <c r="Y19" s="300">
        <f>'Baseline Consumption'!Y19*parameters!$B$71</f>
        <v>3.8741452897339157E-2</v>
      </c>
      <c r="Z19" s="300">
        <f>'Baseline Consumption'!Z19*parameters!$B$71</f>
        <v>3.8741452897339157E-2</v>
      </c>
      <c r="AA19" s="300">
        <f>'Baseline Consumption'!AA19*parameters!$B$71</f>
        <v>3.8741452897339157E-2</v>
      </c>
      <c r="AB19" s="300">
        <f>'Baseline Consumption'!AB19*parameters!$B$71</f>
        <v>3.8741452897339157E-2</v>
      </c>
      <c r="AC19" s="300">
        <f>'Baseline Consumption'!AC19*parameters!$B$71</f>
        <v>3.8741452897339157E-2</v>
      </c>
      <c r="AD19" s="300">
        <f>'Baseline Consumption'!AD19*parameters!$B$71</f>
        <v>3.8741452897339157E-2</v>
      </c>
      <c r="AE19" s="300">
        <f>'Baseline Consumption'!AE19*parameters!$B$71</f>
        <v>3.8741452897339157E-2</v>
      </c>
      <c r="AF19" s="300">
        <f>'Baseline Consumption'!AF19*parameters!$B$71</f>
        <v>3.8741452897339157E-2</v>
      </c>
      <c r="AG19" s="300">
        <f>'Baseline Consumption'!AG19*parameters!$B$71</f>
        <v>3.8741452897339157E-2</v>
      </c>
      <c r="AH19" s="300">
        <f>'Baseline Consumption'!AH19*parameters!$B$71</f>
        <v>3.8741452897339157E-2</v>
      </c>
      <c r="AI19" s="300">
        <f>'Baseline Consumption'!AI19*parameters!$B$71</f>
        <v>3.8741452897339157E-2</v>
      </c>
      <c r="AJ19" s="300">
        <f>'Baseline Consumption'!AJ19*parameters!$B$71</f>
        <v>3.8741452897339157E-2</v>
      </c>
      <c r="AK19" s="300">
        <f>'Baseline Consumption'!AK19*parameters!$B$71</f>
        <v>3.8741452897339157E-2</v>
      </c>
      <c r="AL19" s="300">
        <f>'Baseline Consumption'!AL19*parameters!$B$71</f>
        <v>3.8741452897339157E-2</v>
      </c>
      <c r="AM19" s="300">
        <f>'Baseline Consumption'!AM19*parameters!$B$71</f>
        <v>3.8741452897339157E-2</v>
      </c>
      <c r="AN19" s="300">
        <f>'Baseline Consumption'!AN19*parameters!$B$71</f>
        <v>3.8741452897339157E-2</v>
      </c>
      <c r="AO19" s="300">
        <f>'Baseline Consumption'!AO19*parameters!$B$71</f>
        <v>3.8741452897339157E-2</v>
      </c>
      <c r="AP19" s="300">
        <f>'Baseline Consumption'!AP19*parameters!$B$71</f>
        <v>3.8741452897339157E-2</v>
      </c>
      <c r="AQ19" s="300">
        <f>'Baseline Consumption'!AQ19*parameters!$B$71</f>
        <v>3.8741452897339157E-2</v>
      </c>
      <c r="AR19" s="300">
        <f>'Baseline Consumption'!AR19*parameters!$B$71</f>
        <v>3.8741452897339157E-2</v>
      </c>
      <c r="AS19" s="300">
        <f>'Baseline Consumption'!AS19*parameters!$B$71</f>
        <v>3.8741452897339157E-2</v>
      </c>
      <c r="AT19" s="300">
        <f>'Baseline Consumption'!AT19*parameters!$B$71</f>
        <v>3.8741452897339157E-2</v>
      </c>
      <c r="AU19" s="300">
        <f>'Baseline Consumption'!AU19*parameters!$B$71</f>
        <v>3.8741452897339157E-2</v>
      </c>
      <c r="AV19" s="442">
        <f t="shared" ref="AV19:AV27" si="3">(AU19-Q19)/Q19</f>
        <v>0</v>
      </c>
    </row>
    <row r="20" spans="1:48">
      <c r="A20" s="178" t="s">
        <v>54</v>
      </c>
      <c r="B20" s="300">
        <f>'Baseline Consumption'!B20*parameters!$B$91</f>
        <v>1.1515238758333064E-2</v>
      </c>
      <c r="C20" s="300">
        <f>'Baseline Consumption'!C20*parameters!$B$91</f>
        <v>9.5300461289957276E-3</v>
      </c>
      <c r="D20" s="300">
        <f>'Baseline Consumption'!D20*parameters!$B$91</f>
        <v>1.218605853625384E-2</v>
      </c>
      <c r="E20" s="300">
        <f>'Baseline Consumption'!E20*parameters!$B$91</f>
        <v>1.4315270961819072E-2</v>
      </c>
      <c r="F20" s="300">
        <f>'Baseline Consumption'!F20*parameters!$B$91</f>
        <v>4.1512946661963626E-3</v>
      </c>
      <c r="G20" s="300">
        <f>'Baseline Consumption'!G20*parameters!$B$91</f>
        <v>4.5530328596992374E-3</v>
      </c>
      <c r="H20" s="300">
        <f>'Baseline Consumption'!H20*parameters!$B$91</f>
        <v>4.4191201285316119E-3</v>
      </c>
      <c r="I20" s="300">
        <f>'Baseline Consumption'!I20*parameters!$B$91</f>
        <v>0</v>
      </c>
      <c r="J20" s="300">
        <f>'Baseline Consumption'!J20*parameters!$B$91</f>
        <v>0</v>
      </c>
      <c r="K20" s="300">
        <f>'Baseline Consumption'!K20*parameters!$B$91</f>
        <v>1.9819084212808441E-3</v>
      </c>
      <c r="L20" s="300">
        <f>'Baseline Consumption'!L20*parameters!$B$91</f>
        <v>1.0311280299907096E-3</v>
      </c>
      <c r="M20" s="300">
        <f>'Baseline Consumption'!M20*parameters!$B$91</f>
        <v>7.7789767041864426E-4</v>
      </c>
      <c r="N20" s="300">
        <f>'Baseline Consumption'!N20*parameters!$B$91</f>
        <v>5.5561766275158304E-3</v>
      </c>
      <c r="O20" s="300">
        <f>'Baseline Consumption'!O20*parameters!$B$91</f>
        <v>6.7955242963100883E-3</v>
      </c>
      <c r="P20" s="300">
        <f>'Baseline Consumption'!P20*parameters!$B$91</f>
        <v>6.2806313214323782E-3</v>
      </c>
      <c r="Q20" s="300">
        <f>'Baseline Consumption'!Q20*parameters!$B$91</f>
        <v>4.7359211446178287E-3</v>
      </c>
      <c r="R20" s="300">
        <f>'Baseline Consumption'!R20*parameters!$B$91</f>
        <v>3.5005502406222433E-3</v>
      </c>
      <c r="S20" s="300">
        <f>'Baseline Consumption'!S20*parameters!$B$91</f>
        <v>2.3672549295069623E-3</v>
      </c>
      <c r="T20" s="300">
        <f>'Baseline Consumption'!T20*parameters!$B$91</f>
        <v>2.4547033825594883E-3</v>
      </c>
      <c r="U20" s="300">
        <f>'Baseline Consumption'!U20*parameters!$B$91</f>
        <v>2.3591453560763156E-3</v>
      </c>
      <c r="V20" s="300">
        <f>'Baseline Consumption'!V20*parameters!$B$91</f>
        <v>2.4817305446659453E-3</v>
      </c>
      <c r="W20" s="300">
        <f>'Baseline Consumption'!W20*parameters!$B$91</f>
        <v>2.6045472333393722E-3</v>
      </c>
      <c r="X20" s="300">
        <f>'Baseline Consumption'!X20*parameters!$B$91</f>
        <v>2.6991630756182717E-3</v>
      </c>
      <c r="Y20" s="300">
        <f>'Baseline Consumption'!Y20*parameters!$B$91</f>
        <v>2.800942871703085E-3</v>
      </c>
      <c r="Z20" s="300">
        <f>'Baseline Consumption'!Z20*parameters!$B$91</f>
        <v>2.8396646937193484E-3</v>
      </c>
      <c r="AA20" s="300">
        <f>'Baseline Consumption'!AA20*parameters!$B$91</f>
        <v>2.9494066192770323E-3</v>
      </c>
      <c r="AB20" s="300">
        <f>'Baseline Consumption'!AB20*parameters!$B$91</f>
        <v>3.0381723576751846E-3</v>
      </c>
      <c r="AC20" s="300">
        <f>'Baseline Consumption'!AC20*parameters!$B$91</f>
        <v>3.140093340264358E-3</v>
      </c>
      <c r="AD20" s="300">
        <f>'Baseline Consumption'!AD20*parameters!$B$91</f>
        <v>3.2269919610732572E-3</v>
      </c>
      <c r="AE20" s="300">
        <f>'Baseline Consumption'!AE20*parameters!$B$91</f>
        <v>3.3146835592297997E-3</v>
      </c>
      <c r="AF20" s="300">
        <f>'Baseline Consumption'!AF20*parameters!$B$91</f>
        <v>3.4167045592418122E-3</v>
      </c>
      <c r="AG20" s="300">
        <f>'Baseline Consumption'!AG20*parameters!$B$91</f>
        <v>3.5195866238239715E-3</v>
      </c>
      <c r="AH20" s="300">
        <f>'Baseline Consumption'!AH20*parameters!$B$91</f>
        <v>3.5724595294922704E-3</v>
      </c>
      <c r="AI20" s="300">
        <f>'Baseline Consumption'!AI20*parameters!$B$91</f>
        <v>3.6609040472314349E-3</v>
      </c>
      <c r="AJ20" s="300">
        <f>'Baseline Consumption'!AJ20*parameters!$B$91</f>
        <v>3.7498231133813605E-3</v>
      </c>
      <c r="AK20" s="300">
        <f>'Baseline Consumption'!AK20*parameters!$B$91</f>
        <v>3.8462269841289176E-3</v>
      </c>
      <c r="AL20" s="300">
        <f>'Baseline Consumption'!AL20*parameters!$B$91</f>
        <v>3.9357932925577193E-3</v>
      </c>
      <c r="AM20" s="300">
        <f>'Baseline Consumption'!AM20*parameters!$B$91</f>
        <v>4.0367286542083245E-3</v>
      </c>
      <c r="AN20" s="300">
        <f>'Baseline Consumption'!AN20*parameters!$B$91</f>
        <v>4.1220205200685244E-3</v>
      </c>
      <c r="AO20" s="300">
        <f>'Baseline Consumption'!AO20*parameters!$B$91</f>
        <v>4.2059553811594043E-3</v>
      </c>
      <c r="AP20" s="300">
        <f>'Baseline Consumption'!AP20*parameters!$B$91</f>
        <v>4.2957646431737995E-3</v>
      </c>
      <c r="AQ20" s="300">
        <f>'Baseline Consumption'!AQ20*parameters!$B$91</f>
        <v>4.3986440451025434E-3</v>
      </c>
      <c r="AR20" s="300">
        <f>'Baseline Consumption'!AR20*parameters!$B$91</f>
        <v>4.4716678932169556E-3</v>
      </c>
      <c r="AS20" s="300">
        <f>'Baseline Consumption'!AS20*parameters!$B$91</f>
        <v>4.543470211256723E-3</v>
      </c>
      <c r="AT20" s="300">
        <f>'Baseline Consumption'!AT20*parameters!$B$91</f>
        <v>4.5997181992372647E-3</v>
      </c>
      <c r="AU20" s="300">
        <f>'Baseline Consumption'!AU20*parameters!$B$91</f>
        <v>4.6830413510435967E-3</v>
      </c>
      <c r="AV20" s="442">
        <f t="shared" si="3"/>
        <v>-1.1165682864953862E-2</v>
      </c>
    </row>
    <row r="21" spans="1:48">
      <c r="A21" s="178" t="s">
        <v>23</v>
      </c>
      <c r="B21" s="300">
        <f>'Baseline Consumption'!B21*parameters!$B$80</f>
        <v>0.34046486064119219</v>
      </c>
      <c r="C21" s="300">
        <f>'Baseline Consumption'!C21*parameters!$B$80</f>
        <v>0.33911944409526851</v>
      </c>
      <c r="D21" s="300">
        <f>'Baseline Consumption'!D21*parameters!$B$80</f>
        <v>0.33341257950000003</v>
      </c>
      <c r="E21" s="300">
        <f>'Baseline Consumption'!E21*parameters!$B$80</f>
        <v>0.31964204811000002</v>
      </c>
      <c r="F21" s="300">
        <f>'Baseline Consumption'!F21*parameters!$B$80</f>
        <v>0.54135154920000006</v>
      </c>
      <c r="G21" s="300">
        <f>'Baseline Consumption'!G21*parameters!$B$80</f>
        <v>0.68392324000000004</v>
      </c>
      <c r="H21" s="300">
        <f>'Baseline Consumption'!H21*parameters!$B$80</f>
        <v>0.91501038090000009</v>
      </c>
      <c r="I21" s="300">
        <f>'Baseline Consumption'!I21*parameters!$B$80</f>
        <v>0.53924717</v>
      </c>
      <c r="J21" s="300">
        <f>'Baseline Consumption'!J21*parameters!$B$80</f>
        <v>0.51294243000000006</v>
      </c>
      <c r="K21" s="300">
        <f>'Baseline Consumption'!K21*parameters!$B$80</f>
        <v>0.49097797210000005</v>
      </c>
      <c r="L21" s="300">
        <f>'Baseline Consumption'!L21*parameters!$B$80</f>
        <v>0.48951805903000001</v>
      </c>
      <c r="M21" s="300">
        <f>'Baseline Consumption'!M21*parameters!$B$80</f>
        <v>0.52895687491716248</v>
      </c>
      <c r="N21" s="300">
        <f>'Baseline Consumption'!N21*parameters!$B$80</f>
        <v>0.50530753672304429</v>
      </c>
      <c r="O21" s="300">
        <f>'Baseline Consumption'!O21*parameters!$B$80</f>
        <v>0.51225016373782672</v>
      </c>
      <c r="P21" s="300">
        <f>'Baseline Consumption'!P21*parameters!$B$80</f>
        <v>0.54427366611112271</v>
      </c>
      <c r="Q21" s="300">
        <f>'Baseline Consumption'!Q21*parameters!$B$80</f>
        <v>0.54148792969855442</v>
      </c>
      <c r="R21" s="300">
        <f>'Baseline Consumption'!R21*parameters!$B$80</f>
        <v>0.5448015315971293</v>
      </c>
      <c r="S21" s="300">
        <f>'Baseline Consumption'!S21*parameters!$B$80</f>
        <v>0.54928577057211903</v>
      </c>
      <c r="T21" s="300">
        <f>'Baseline Consumption'!T21*parameters!$B$80</f>
        <v>0.5536671913892397</v>
      </c>
      <c r="U21" s="300">
        <f>'Baseline Consumption'!U21*parameters!$B$80</f>
        <v>0.56458580414160342</v>
      </c>
      <c r="V21" s="300">
        <f>'Baseline Consumption'!V21*parameters!$B$80</f>
        <v>0.57000365127150709</v>
      </c>
      <c r="W21" s="300">
        <f>'Baseline Consumption'!W21*parameters!$B$80</f>
        <v>0.57050532319302194</v>
      </c>
      <c r="X21" s="300">
        <f>'Baseline Consumption'!X21*parameters!$B$80</f>
        <v>0.56789255635997971</v>
      </c>
      <c r="Y21" s="300">
        <f>'Baseline Consumption'!Y21*parameters!$B$80</f>
        <v>0.56582194081538872</v>
      </c>
      <c r="Z21" s="300">
        <f>'Baseline Consumption'!Z21*parameters!$B$80</f>
        <v>0.55903428450759585</v>
      </c>
      <c r="AA21" s="300">
        <f>'Baseline Consumption'!AA21*parameters!$B$80</f>
        <v>0.5547181153623163</v>
      </c>
      <c r="AB21" s="300">
        <f>'Baseline Consumption'!AB21*parameters!$B$80</f>
        <v>0.55214232094575777</v>
      </c>
      <c r="AC21" s="300">
        <f>'Baseline Consumption'!AC21*parameters!$B$80</f>
        <v>0.55092329925440175</v>
      </c>
      <c r="AD21" s="300">
        <f>'Baseline Consumption'!AD21*parameters!$B$80</f>
        <v>0.54976556579556801</v>
      </c>
      <c r="AE21" s="300">
        <f>'Baseline Consumption'!AE21*parameters!$B$80</f>
        <v>0.54945928826661472</v>
      </c>
      <c r="AF21" s="300">
        <f>'Baseline Consumption'!AF21*parameters!$B$80</f>
        <v>0.54906341971890216</v>
      </c>
      <c r="AG21" s="300">
        <f>'Baseline Consumption'!AG21*parameters!$B$80</f>
        <v>0.5485751718430254</v>
      </c>
      <c r="AH21" s="300">
        <f>'Baseline Consumption'!AH21*parameters!$B$80</f>
        <v>0.54830392354571067</v>
      </c>
      <c r="AI21" s="300">
        <f>'Baseline Consumption'!AI21*parameters!$B$80</f>
        <v>0.54816471298723757</v>
      </c>
      <c r="AJ21" s="300">
        <f>'Baseline Consumption'!AJ21*parameters!$B$80</f>
        <v>0.54805159362285394</v>
      </c>
      <c r="AK21" s="300">
        <f>'Baseline Consumption'!AK21*parameters!$B$80</f>
        <v>0.54828252793763876</v>
      </c>
      <c r="AL21" s="300">
        <f>'Baseline Consumption'!AL21*parameters!$B$80</f>
        <v>0.54874892511856266</v>
      </c>
      <c r="AM21" s="300">
        <f>'Baseline Consumption'!AM21*parameters!$B$80</f>
        <v>0.54853633293829951</v>
      </c>
      <c r="AN21" s="300">
        <f>'Baseline Consumption'!AN21*parameters!$B$80</f>
        <v>0.54840592817323064</v>
      </c>
      <c r="AO21" s="300">
        <f>'Baseline Consumption'!AO21*parameters!$B$80</f>
        <v>0.5485813354416692</v>
      </c>
      <c r="AP21" s="300">
        <f>'Baseline Consumption'!AP21*parameters!$B$80</f>
        <v>0.54862281748803632</v>
      </c>
      <c r="AQ21" s="300">
        <f>'Baseline Consumption'!AQ21*parameters!$B$80</f>
        <v>0.54861528924909708</v>
      </c>
      <c r="AR21" s="300">
        <f>'Baseline Consumption'!AR21*parameters!$B$80</f>
        <v>0.54863736311983691</v>
      </c>
      <c r="AS21" s="300">
        <f>'Baseline Consumption'!AS21*parameters!$B$80</f>
        <v>0.54829619727007106</v>
      </c>
      <c r="AT21" s="300">
        <f>'Baseline Consumption'!AT21*parameters!$B$80</f>
        <v>0.5478676004322961</v>
      </c>
      <c r="AU21" s="300">
        <f>'Baseline Consumption'!AU21*parameters!$B$80</f>
        <v>0.54730078506462732</v>
      </c>
      <c r="AV21" s="442">
        <f t="shared" si="3"/>
        <v>1.073496757223916E-2</v>
      </c>
    </row>
    <row r="22" spans="1:48">
      <c r="A22" s="178" t="s">
        <v>29</v>
      </c>
      <c r="B22" s="300">
        <f>'Baseline Consumption'!B22*parameters!$B$94</f>
        <v>0</v>
      </c>
      <c r="C22" s="300">
        <f>'Baseline Consumption'!C22*parameters!$B$94</f>
        <v>0</v>
      </c>
      <c r="D22" s="300">
        <f>'Baseline Consumption'!D22*parameters!$B$94</f>
        <v>2.950187231636898E-3</v>
      </c>
      <c r="E22" s="300">
        <f>'Baseline Consumption'!E22*parameters!$B$94</f>
        <v>1.6155787220868724E-3</v>
      </c>
      <c r="F22" s="300">
        <f>'Baseline Consumption'!F22*parameters!$B$94</f>
        <v>2.8237506359953167E-2</v>
      </c>
      <c r="G22" s="300">
        <f>'Baseline Consumption'!G22*parameters!$B$94</f>
        <v>3.1047208485321637E-2</v>
      </c>
      <c r="H22" s="300">
        <f>'Baseline Consumption'!H22*parameters!$B$94</f>
        <v>2.6692170191000503E-3</v>
      </c>
      <c r="I22" s="300">
        <f>'Baseline Consumption'!I22*parameters!$B$94</f>
        <v>0</v>
      </c>
      <c r="J22" s="300">
        <f>'Baseline Consumption'!J22*parameters!$B$94</f>
        <v>0</v>
      </c>
      <c r="K22" s="300">
        <f>'Baseline Consumption'!K22*parameters!$B$94</f>
        <v>8.2886212698369979E-4</v>
      </c>
      <c r="L22" s="300">
        <f>'Baseline Consumption'!L22*parameters!$B$94</f>
        <v>1.6858212752210843E-4</v>
      </c>
      <c r="M22" s="300">
        <f>'Baseline Consumption'!M22*parameters!$B$94</f>
        <v>0</v>
      </c>
      <c r="N22" s="300">
        <f>'Baseline Consumption'!N22*parameters!$B$94</f>
        <v>0</v>
      </c>
      <c r="O22" s="300">
        <f>'Baseline Consumption'!O22*parameters!$B$94</f>
        <v>0</v>
      </c>
      <c r="P22" s="300">
        <f>'Baseline Consumption'!P22*parameters!$B$94</f>
        <v>0</v>
      </c>
      <c r="Q22" s="300">
        <f>'Baseline Consumption'!Q22*parameters!$B$94</f>
        <v>0</v>
      </c>
      <c r="R22" s="300">
        <f>'Baseline Consumption'!R22*parameters!$B$94</f>
        <v>0</v>
      </c>
      <c r="S22" s="300">
        <f>'Baseline Consumption'!S22*parameters!$B$94</f>
        <v>0</v>
      </c>
      <c r="T22" s="300">
        <f>'Baseline Consumption'!T22*parameters!$B$94</f>
        <v>0</v>
      </c>
      <c r="U22" s="300">
        <f>'Baseline Consumption'!U22*parameters!$B$94</f>
        <v>0</v>
      </c>
      <c r="V22" s="300">
        <f>'Baseline Consumption'!V22*parameters!$B$94</f>
        <v>0</v>
      </c>
      <c r="W22" s="300">
        <f>'Baseline Consumption'!W22*parameters!$B$94</f>
        <v>0</v>
      </c>
      <c r="X22" s="300">
        <f>'Baseline Consumption'!X22*parameters!$B$94</f>
        <v>0</v>
      </c>
      <c r="Y22" s="300">
        <f>'Baseline Consumption'!Y22*parameters!$B$94</f>
        <v>0</v>
      </c>
      <c r="Z22" s="300">
        <f>'Baseline Consumption'!Z22*parameters!$B$94</f>
        <v>0</v>
      </c>
      <c r="AA22" s="300">
        <f>'Baseline Consumption'!AA22*parameters!$B$94</f>
        <v>0</v>
      </c>
      <c r="AB22" s="300">
        <f>'Baseline Consumption'!AB22*parameters!$B$94</f>
        <v>0</v>
      </c>
      <c r="AC22" s="300">
        <f>'Baseline Consumption'!AC22*parameters!$B$94</f>
        <v>0</v>
      </c>
      <c r="AD22" s="300">
        <f>'Baseline Consumption'!AD22*parameters!$B$94</f>
        <v>0</v>
      </c>
      <c r="AE22" s="300">
        <f>'Baseline Consumption'!AE22*parameters!$B$94</f>
        <v>0</v>
      </c>
      <c r="AF22" s="300">
        <f>'Baseline Consumption'!AF22*parameters!$B$94</f>
        <v>0</v>
      </c>
      <c r="AG22" s="300">
        <f>'Baseline Consumption'!AG22*parameters!$B$94</f>
        <v>0</v>
      </c>
      <c r="AH22" s="300">
        <f>'Baseline Consumption'!AH22*parameters!$B$94</f>
        <v>0</v>
      </c>
      <c r="AI22" s="300">
        <f>'Baseline Consumption'!AI22*parameters!$B$94</f>
        <v>0</v>
      </c>
      <c r="AJ22" s="300">
        <f>'Baseline Consumption'!AJ22*parameters!$B$94</f>
        <v>0</v>
      </c>
      <c r="AK22" s="300">
        <f>'Baseline Consumption'!AK22*parameters!$B$94</f>
        <v>0</v>
      </c>
      <c r="AL22" s="300">
        <f>'Baseline Consumption'!AL22*parameters!$B$94</f>
        <v>0</v>
      </c>
      <c r="AM22" s="300">
        <f>'Baseline Consumption'!AM22*parameters!$B$94</f>
        <v>0</v>
      </c>
      <c r="AN22" s="300">
        <f>'Baseline Consumption'!AN22*parameters!$B$94</f>
        <v>0</v>
      </c>
      <c r="AO22" s="300">
        <f>'Baseline Consumption'!AO22*parameters!$B$94</f>
        <v>0</v>
      </c>
      <c r="AP22" s="300">
        <f>'Baseline Consumption'!AP22*parameters!$B$94</f>
        <v>0</v>
      </c>
      <c r="AQ22" s="300">
        <f>'Baseline Consumption'!AQ22*parameters!$B$94</f>
        <v>0</v>
      </c>
      <c r="AR22" s="300">
        <f>'Baseline Consumption'!AR22*parameters!$B$94</f>
        <v>0</v>
      </c>
      <c r="AS22" s="300">
        <f>'Baseline Consumption'!AS22*parameters!$B$94</f>
        <v>0</v>
      </c>
      <c r="AT22" s="300">
        <f>'Baseline Consumption'!AT22*parameters!$B$94</f>
        <v>0</v>
      </c>
      <c r="AU22" s="300">
        <f>'Baseline Consumption'!AU22*parameters!$B$94</f>
        <v>0</v>
      </c>
      <c r="AV22" s="442"/>
    </row>
    <row r="23" spans="1:48" s="143" customFormat="1" ht="13">
      <c r="A23" s="475" t="s">
        <v>24</v>
      </c>
      <c r="B23" s="300">
        <f>'Baseline Consumption'!B23*parameters!$B$76</f>
        <v>2.7172441266666687</v>
      </c>
      <c r="C23" s="300">
        <f>'Baseline Consumption'!C23*parameters!$B$76</f>
        <v>2.8028775866666686</v>
      </c>
      <c r="D23" s="300">
        <f>'Baseline Consumption'!D23*parameters!$B$76</f>
        <v>2.9208756133333349</v>
      </c>
      <c r="E23" s="300">
        <f>'Baseline Consumption'!E23*parameters!$B$76</f>
        <v>3.071821830000002</v>
      </c>
      <c r="F23" s="300">
        <f>'Baseline Consumption'!F23*parameters!$B$76</f>
        <v>3.0442854200000018</v>
      </c>
      <c r="G23" s="300">
        <f>'Baseline Consumption'!G23*parameters!$B$76</f>
        <v>2.812852240000002</v>
      </c>
      <c r="H23" s="300">
        <f>'Baseline Consumption'!H23*parameters!$B$76</f>
        <v>3.0844493166666687</v>
      </c>
      <c r="I23" s="300">
        <f>'Baseline Consumption'!I23*parameters!$B$76</f>
        <v>2.9174799866666685</v>
      </c>
      <c r="J23" s="300">
        <f>'Baseline Consumption'!J23*parameters!$B$76</f>
        <v>3.0589821166666686</v>
      </c>
      <c r="K23" s="300">
        <f>'Baseline Consumption'!K23*parameters!$B$76</f>
        <v>3.0177040300000018</v>
      </c>
      <c r="L23" s="300">
        <f>'Baseline Consumption'!L23*parameters!$B$76</f>
        <v>2.8179456800000016</v>
      </c>
      <c r="M23" s="300">
        <f>'Baseline Consumption'!M23*parameters!$B$76</f>
        <v>2.9552032766666683</v>
      </c>
      <c r="N23" s="300">
        <f>'Baseline Consumption'!N23*parameters!$B$76</f>
        <v>2.9694137389662223</v>
      </c>
      <c r="O23" s="300">
        <f>'Baseline Consumption'!O23*parameters!$B$76</f>
        <v>3.1050838833611456</v>
      </c>
      <c r="P23" s="300">
        <f>'Baseline Consumption'!P23*parameters!$B$76</f>
        <v>3.1562077515579214</v>
      </c>
      <c r="Q23" s="300">
        <f>'Baseline Consumption'!Q23*parameters!$B$76</f>
        <v>3.199386089589848</v>
      </c>
      <c r="R23" s="300">
        <f>'Baseline Consumption'!R23*parameters!$B$76</f>
        <v>3.2318824739467318</v>
      </c>
      <c r="S23" s="300">
        <f>'Baseline Consumption'!S23*parameters!$B$76</f>
        <v>3.2610391842379753</v>
      </c>
      <c r="T23" s="300">
        <f>'Baseline Consumption'!T23*parameters!$B$76</f>
        <v>3.2800708588230361</v>
      </c>
      <c r="U23" s="300">
        <f>'Baseline Consumption'!U23*parameters!$B$76</f>
        <v>3.3792311703558204</v>
      </c>
      <c r="V23" s="300">
        <f>'Baseline Consumption'!V23*parameters!$B$76</f>
        <v>3.4557797243550796</v>
      </c>
      <c r="W23" s="300">
        <f>'Baseline Consumption'!W23*parameters!$B$76</f>
        <v>3.511424826532489</v>
      </c>
      <c r="X23" s="300">
        <f>'Baseline Consumption'!X23*parameters!$B$76</f>
        <v>3.5598632958000342</v>
      </c>
      <c r="Y23" s="300">
        <f>'Baseline Consumption'!Y23*parameters!$B$76</f>
        <v>3.6139396122448439</v>
      </c>
      <c r="Z23" s="300">
        <f>'Baseline Consumption'!Z23*parameters!$B$76</f>
        <v>3.5912401350102403</v>
      </c>
      <c r="AA23" s="300">
        <f>'Baseline Consumption'!AA23*parameters!$B$76</f>
        <v>3.5906044319543069</v>
      </c>
      <c r="AB23" s="300">
        <f>'Baseline Consumption'!AB23*parameters!$B$76</f>
        <v>3.6042056669506901</v>
      </c>
      <c r="AC23" s="300">
        <f>'Baseline Consumption'!AC23*parameters!$B$76</f>
        <v>3.6358974409389511</v>
      </c>
      <c r="AD23" s="300">
        <f>'Baseline Consumption'!AD23*parameters!$B$76</f>
        <v>3.6706915427159865</v>
      </c>
      <c r="AE23" s="300">
        <f>'Baseline Consumption'!AE23*parameters!$B$76</f>
        <v>3.7094659812005357</v>
      </c>
      <c r="AF23" s="300">
        <f>'Baseline Consumption'!AF23*parameters!$B$76</f>
        <v>3.7518831871143514</v>
      </c>
      <c r="AG23" s="300">
        <f>'Baseline Consumption'!AG23*parameters!$B$76</f>
        <v>3.8002734012090156</v>
      </c>
      <c r="AH23" s="300">
        <f>'Baseline Consumption'!AH23*parameters!$B$76</f>
        <v>3.8519126330425539</v>
      </c>
      <c r="AI23" s="300">
        <f>'Baseline Consumption'!AI23*parameters!$B$76</f>
        <v>3.9039086732266979</v>
      </c>
      <c r="AJ23" s="300">
        <f>'Baseline Consumption'!AJ23*parameters!$B$76</f>
        <v>3.9558694069470044</v>
      </c>
      <c r="AK23" s="300">
        <f>'Baseline Consumption'!AK23*parameters!$B$76</f>
        <v>4.0082423527298143</v>
      </c>
      <c r="AL23" s="300">
        <f>'Baseline Consumption'!AL23*parameters!$B$76</f>
        <v>4.0726207073744991</v>
      </c>
      <c r="AM23" s="300">
        <f>'Baseline Consumption'!AM23*parameters!$B$76</f>
        <v>4.1361091727206878</v>
      </c>
      <c r="AN23" s="300">
        <f>'Baseline Consumption'!AN23*parameters!$B$76</f>
        <v>4.1981856314866404</v>
      </c>
      <c r="AO23" s="300">
        <f>'Baseline Consumption'!AO23*parameters!$B$76</f>
        <v>4.2588128134673999</v>
      </c>
      <c r="AP23" s="300">
        <f>'Baseline Consumption'!AP23*parameters!$B$76</f>
        <v>4.3200220091682846</v>
      </c>
      <c r="AQ23" s="300">
        <f>'Baseline Consumption'!AQ23*parameters!$B$76</f>
        <v>4.3836124231247577</v>
      </c>
      <c r="AR23" s="300">
        <f>'Baseline Consumption'!AR23*parameters!$B$76</f>
        <v>4.4437831182577945</v>
      </c>
      <c r="AS23" s="300">
        <f>'Baseline Consumption'!AS23*parameters!$B$76</f>
        <v>4.4995080773101801</v>
      </c>
      <c r="AT23" s="300">
        <f>'Baseline Consumption'!AT23*parameters!$B$76</f>
        <v>4.5507943537909465</v>
      </c>
      <c r="AU23" s="300">
        <f>'Baseline Consumption'!AU23*parameters!$B$76</f>
        <v>4.598121046790312</v>
      </c>
      <c r="AV23" s="442">
        <f t="shared" si="3"/>
        <v>0.43718854743779223</v>
      </c>
    </row>
    <row r="24" spans="1:48">
      <c r="A24" s="178" t="s">
        <v>55</v>
      </c>
      <c r="B24" s="300">
        <f>'Baseline Consumption'!B24*parameters!$B$79</f>
        <v>0</v>
      </c>
      <c r="C24" s="300">
        <f>'Baseline Consumption'!C24*parameters!$B$79</f>
        <v>0</v>
      </c>
      <c r="D24" s="300">
        <f>'Baseline Consumption'!D24*parameters!$B$79</f>
        <v>0</v>
      </c>
      <c r="E24" s="300">
        <f>'Baseline Consumption'!E24*parameters!$B$79</f>
        <v>0</v>
      </c>
      <c r="F24" s="300">
        <f>'Baseline Consumption'!F24*parameters!$B$79</f>
        <v>0</v>
      </c>
      <c r="G24" s="300">
        <f>'Baseline Consumption'!G24*parameters!$B$79</f>
        <v>0</v>
      </c>
      <c r="H24" s="300">
        <f>'Baseline Consumption'!H24*parameters!$B$79</f>
        <v>0</v>
      </c>
      <c r="I24" s="300">
        <f>'Baseline Consumption'!I24*parameters!$B$79</f>
        <v>0</v>
      </c>
      <c r="J24" s="300">
        <f>'Baseline Consumption'!J24*parameters!$B$79</f>
        <v>0</v>
      </c>
      <c r="K24" s="300">
        <f>'Baseline Consumption'!K24*parameters!$B$79</f>
        <v>0</v>
      </c>
      <c r="L24" s="300">
        <f>'Baseline Consumption'!L24*parameters!$B$79</f>
        <v>0</v>
      </c>
      <c r="M24" s="300">
        <f>'Baseline Consumption'!M24*parameters!$B$79</f>
        <v>0</v>
      </c>
      <c r="N24" s="300">
        <f>'Baseline Consumption'!N24*parameters!$B$79</f>
        <v>0</v>
      </c>
      <c r="O24" s="300">
        <f>'Baseline Consumption'!O24*parameters!$B$79</f>
        <v>0</v>
      </c>
      <c r="P24" s="300">
        <f>'Baseline Consumption'!P24*parameters!$B$79</f>
        <v>0</v>
      </c>
      <c r="Q24" s="300">
        <f>'Baseline Consumption'!Q24*parameters!$B$79</f>
        <v>0</v>
      </c>
      <c r="R24" s="300">
        <f>'Baseline Consumption'!R24*parameters!$B$79</f>
        <v>0</v>
      </c>
      <c r="S24" s="300">
        <f>'Baseline Consumption'!S24*parameters!$B$79</f>
        <v>0</v>
      </c>
      <c r="T24" s="300">
        <f>'Baseline Consumption'!T24*parameters!$B$79</f>
        <v>0</v>
      </c>
      <c r="U24" s="300">
        <f>'Baseline Consumption'!U24*parameters!$B$79</f>
        <v>0</v>
      </c>
      <c r="V24" s="300">
        <f>'Baseline Consumption'!V24*parameters!$B$79</f>
        <v>0</v>
      </c>
      <c r="W24" s="300">
        <f>'Baseline Consumption'!W24*parameters!$B$79</f>
        <v>0</v>
      </c>
      <c r="X24" s="300">
        <f>'Baseline Consumption'!X24*parameters!$B$79</f>
        <v>0</v>
      </c>
      <c r="Y24" s="300">
        <f>'Baseline Consumption'!Y24*parameters!$B$79</f>
        <v>0</v>
      </c>
      <c r="Z24" s="300">
        <f>'Baseline Consumption'!Z24*parameters!$B$79</f>
        <v>0</v>
      </c>
      <c r="AA24" s="300">
        <f>'Baseline Consumption'!AA24*parameters!$B$79</f>
        <v>0</v>
      </c>
      <c r="AB24" s="300">
        <f>'Baseline Consumption'!AB24*parameters!$B$79</f>
        <v>0</v>
      </c>
      <c r="AC24" s="300">
        <f>'Baseline Consumption'!AC24*parameters!$B$79</f>
        <v>0</v>
      </c>
      <c r="AD24" s="300">
        <f>'Baseline Consumption'!AD24*parameters!$B$79</f>
        <v>0</v>
      </c>
      <c r="AE24" s="300">
        <f>'Baseline Consumption'!AE24*parameters!$B$79</f>
        <v>0</v>
      </c>
      <c r="AF24" s="300">
        <f>'Baseline Consumption'!AF24*parameters!$B$79</f>
        <v>0</v>
      </c>
      <c r="AG24" s="300">
        <f>'Baseline Consumption'!AG24*parameters!$B$79</f>
        <v>0</v>
      </c>
      <c r="AH24" s="300">
        <f>'Baseline Consumption'!AH24*parameters!$B$79</f>
        <v>0</v>
      </c>
      <c r="AI24" s="300">
        <f>'Baseline Consumption'!AI24*parameters!$B$79</f>
        <v>0</v>
      </c>
      <c r="AJ24" s="300">
        <f>'Baseline Consumption'!AJ24*parameters!$B$79</f>
        <v>0</v>
      </c>
      <c r="AK24" s="300">
        <f>'Baseline Consumption'!AK24*parameters!$B$79</f>
        <v>0</v>
      </c>
      <c r="AL24" s="300">
        <f>'Baseline Consumption'!AL24*parameters!$B$79</f>
        <v>0</v>
      </c>
      <c r="AM24" s="300">
        <f>'Baseline Consumption'!AM24*parameters!$B$79</f>
        <v>0</v>
      </c>
      <c r="AN24" s="300">
        <f>'Baseline Consumption'!AN24*parameters!$B$79</f>
        <v>0</v>
      </c>
      <c r="AO24" s="300">
        <f>'Baseline Consumption'!AO24*parameters!$B$79</f>
        <v>0</v>
      </c>
      <c r="AP24" s="300">
        <f>'Baseline Consumption'!AP24*parameters!$B$79</f>
        <v>0</v>
      </c>
      <c r="AQ24" s="300">
        <f>'Baseline Consumption'!AQ24*parameters!$B$79</f>
        <v>0</v>
      </c>
      <c r="AR24" s="300">
        <f>'Baseline Consumption'!AR24*parameters!$B$79</f>
        <v>0</v>
      </c>
      <c r="AS24" s="300">
        <f>'Baseline Consumption'!AS24*parameters!$B$79</f>
        <v>0</v>
      </c>
      <c r="AT24" s="300">
        <f>'Baseline Consumption'!AT24*parameters!$B$79</f>
        <v>0</v>
      </c>
      <c r="AU24" s="300">
        <f>'Baseline Consumption'!AU24*parameters!$B$79</f>
        <v>0</v>
      </c>
      <c r="AV24" s="442"/>
    </row>
    <row r="25" spans="1:48">
      <c r="A25" s="178" t="s">
        <v>57</v>
      </c>
      <c r="B25" s="300">
        <f>'Baseline Consumption'!B23*parameters!$B$98</f>
        <v>0</v>
      </c>
      <c r="C25" s="300">
        <f>'Baseline Consumption'!C23*parameters!$B$98</f>
        <v>0</v>
      </c>
      <c r="D25" s="300">
        <f>'Baseline Consumption'!D23*parameters!$B$98</f>
        <v>0</v>
      </c>
      <c r="E25" s="300">
        <f>'Baseline Consumption'!E23*parameters!$B$98</f>
        <v>0</v>
      </c>
      <c r="F25" s="300">
        <f>'Baseline Consumption'!F23*parameters!$B$98</f>
        <v>0</v>
      </c>
      <c r="G25" s="300">
        <f>'Baseline Consumption'!G23*parameters!$B$98</f>
        <v>0</v>
      </c>
      <c r="H25" s="300">
        <f>'Baseline Consumption'!H23*parameters!$B$98</f>
        <v>0</v>
      </c>
      <c r="I25" s="300">
        <f>'Baseline Consumption'!I23*parameters!$B$98</f>
        <v>0</v>
      </c>
      <c r="J25" s="300">
        <f>'Baseline Consumption'!J23*parameters!$B$98</f>
        <v>0</v>
      </c>
      <c r="K25" s="300">
        <f>'Baseline Consumption'!K23*parameters!$B$98</f>
        <v>0</v>
      </c>
      <c r="L25" s="300">
        <f>'Baseline Consumption'!L23*parameters!$B$98</f>
        <v>0</v>
      </c>
      <c r="M25" s="300">
        <f>'Baseline Consumption'!M23*parameters!$B$98</f>
        <v>0</v>
      </c>
      <c r="N25" s="300">
        <f>'Baseline Consumption'!N23*parameters!$B$98</f>
        <v>0</v>
      </c>
      <c r="O25" s="300">
        <f>'Baseline Consumption'!O23*parameters!$B$98</f>
        <v>0</v>
      </c>
      <c r="P25" s="300">
        <f>'Baseline Consumption'!P23*parameters!$B$98</f>
        <v>0</v>
      </c>
      <c r="Q25" s="300">
        <f>'Baseline Consumption'!Q23*parameters!$B$98</f>
        <v>0</v>
      </c>
      <c r="R25" s="300">
        <f>'Baseline Consumption'!R23*parameters!$B$98</f>
        <v>0</v>
      </c>
      <c r="S25" s="300">
        <f>'Baseline Consumption'!S23*parameters!$B$98</f>
        <v>0</v>
      </c>
      <c r="T25" s="300">
        <f>'Baseline Consumption'!T23*parameters!$B$98</f>
        <v>0</v>
      </c>
      <c r="U25" s="300">
        <f>'Baseline Consumption'!U23*parameters!$B$98</f>
        <v>0</v>
      </c>
      <c r="V25" s="300">
        <f>'Baseline Consumption'!V23*parameters!$B$98</f>
        <v>0</v>
      </c>
      <c r="W25" s="300">
        <f>'Baseline Consumption'!W23*parameters!$B$98</f>
        <v>0</v>
      </c>
      <c r="X25" s="300">
        <f>'Baseline Consumption'!X23*parameters!$B$98</f>
        <v>0</v>
      </c>
      <c r="Y25" s="300">
        <f>'Baseline Consumption'!Y23*parameters!$B$98</f>
        <v>0</v>
      </c>
      <c r="Z25" s="300">
        <f>'Baseline Consumption'!Z23*parameters!$B$98</f>
        <v>0</v>
      </c>
      <c r="AA25" s="300">
        <f>'Baseline Consumption'!AA23*parameters!$B$98</f>
        <v>0</v>
      </c>
      <c r="AB25" s="300">
        <f>'Baseline Consumption'!AB23*parameters!$B$98</f>
        <v>0</v>
      </c>
      <c r="AC25" s="300">
        <f>'Baseline Consumption'!AC23*parameters!$B$98</f>
        <v>0</v>
      </c>
      <c r="AD25" s="300">
        <f>'Baseline Consumption'!AD23*parameters!$B$98</f>
        <v>0</v>
      </c>
      <c r="AE25" s="300">
        <f>'Baseline Consumption'!AE23*parameters!$B$98</f>
        <v>0</v>
      </c>
      <c r="AF25" s="300">
        <f>'Baseline Consumption'!AF23*parameters!$B$98</f>
        <v>0</v>
      </c>
      <c r="AG25" s="300">
        <f>'Baseline Consumption'!AG23*parameters!$B$98</f>
        <v>0</v>
      </c>
      <c r="AH25" s="300">
        <f>'Baseline Consumption'!AH23*parameters!$B$98</f>
        <v>0</v>
      </c>
      <c r="AI25" s="300">
        <f>'Baseline Consumption'!AI23*parameters!$B$98</f>
        <v>0</v>
      </c>
      <c r="AJ25" s="300">
        <f>'Baseline Consumption'!AJ23*parameters!$B$98</f>
        <v>0</v>
      </c>
      <c r="AK25" s="300">
        <f>'Baseline Consumption'!AK23*parameters!$B$98</f>
        <v>0</v>
      </c>
      <c r="AL25" s="300">
        <f>'Baseline Consumption'!AL23*parameters!$B$98</f>
        <v>0</v>
      </c>
      <c r="AM25" s="300">
        <f>'Baseline Consumption'!AM23*parameters!$B$98</f>
        <v>0</v>
      </c>
      <c r="AN25" s="300">
        <f>'Baseline Consumption'!AN23*parameters!$B$98</f>
        <v>0</v>
      </c>
      <c r="AO25" s="300">
        <f>'Baseline Consumption'!AO23*parameters!$B$98</f>
        <v>0</v>
      </c>
      <c r="AP25" s="300">
        <f>'Baseline Consumption'!AP23*parameters!$B$98</f>
        <v>0</v>
      </c>
      <c r="AQ25" s="300">
        <f>'Baseline Consumption'!AQ23*parameters!$B$98</f>
        <v>0</v>
      </c>
      <c r="AR25" s="300">
        <f>'Baseline Consumption'!AR23*parameters!$B$98</f>
        <v>0</v>
      </c>
      <c r="AS25" s="300">
        <f>'Baseline Consumption'!AS23*parameters!$B$98</f>
        <v>0</v>
      </c>
      <c r="AT25" s="300">
        <f>'Baseline Consumption'!AT23*parameters!$B$98</f>
        <v>0</v>
      </c>
      <c r="AU25" s="300">
        <f>'Baseline Consumption'!AU23*parameters!$B$98</f>
        <v>0</v>
      </c>
      <c r="AV25" s="442"/>
    </row>
    <row r="26" spans="1:48">
      <c r="A26" s="178" t="s">
        <v>25</v>
      </c>
      <c r="B26" s="300">
        <f>B83*'Baseline Consumption'!B102</f>
        <v>6.1082211494918672</v>
      </c>
      <c r="C26" s="300">
        <f>C83*'Baseline Consumption'!C102</f>
        <v>5.6524614669522455</v>
      </c>
      <c r="D26" s="300">
        <f>D83*'Baseline Consumption'!D102</f>
        <v>6.1749702006692146</v>
      </c>
      <c r="E26" s="300">
        <f>E83*'Baseline Consumption'!E102</f>
        <v>6.2947969356690932</v>
      </c>
      <c r="F26" s="300">
        <f>F83*'Baseline Consumption'!F102</f>
        <v>6.6515182327332125</v>
      </c>
      <c r="G26" s="300">
        <f>G83*'Baseline Consumption'!G102</f>
        <v>6.8671882118482301</v>
      </c>
      <c r="H26" s="300">
        <f>H83*'Baseline Consumption'!H102</f>
        <v>5.1103369340577744</v>
      </c>
      <c r="I26" s="300">
        <f>I83*'Baseline Consumption'!I102</f>
        <v>4.9252263502004583</v>
      </c>
      <c r="J26" s="300">
        <f>J83*'Baseline Consumption'!J102</f>
        <v>5.985010604072583</v>
      </c>
      <c r="K26" s="300">
        <f>K83*'Baseline Consumption'!K102</f>
        <v>5.461786098446467</v>
      </c>
      <c r="L26" s="300">
        <f>L83*'Baseline Consumption'!L102</f>
        <v>5.8473416935509404</v>
      </c>
      <c r="M26" s="300">
        <f>M83*'Baseline Consumption'!M102</f>
        <v>5.2271246635255153</v>
      </c>
      <c r="N26" s="300">
        <f>N83*'Baseline Consumption'!N102</f>
        <v>4.6231237382081369</v>
      </c>
      <c r="O26" s="300">
        <f>O83*'Baseline Consumption'!O102</f>
        <v>4.9147054764568683</v>
      </c>
      <c r="P26" s="300">
        <f>P83*'Baseline Consumption'!P102</f>
        <v>4.7170010216445455</v>
      </c>
      <c r="Q26" s="300">
        <f>Q83*'Baseline Consumption'!Q102</f>
        <v>4.4430553999361786</v>
      </c>
      <c r="R26" s="300">
        <f>R83*'Baseline Consumption'!R102</f>
        <v>4.0382317822809322</v>
      </c>
      <c r="S26" s="300">
        <f>S83*'Baseline Consumption'!S102</f>
        <v>3.9714989417531177</v>
      </c>
      <c r="T26" s="300">
        <f>T83*'Baseline Consumption'!T102</f>
        <v>3.456327033209972</v>
      </c>
      <c r="U26" s="300">
        <f>U83*'Baseline Consumption'!U102</f>
        <v>3.1962549708552701</v>
      </c>
      <c r="V26" s="300">
        <f>V83*'Baseline Consumption'!V102</f>
        <v>3.1429228858016707</v>
      </c>
      <c r="W26" s="300">
        <f>W83*'Baseline Consumption'!W102</f>
        <v>2.7689546699312086</v>
      </c>
      <c r="X26" s="300">
        <f>X83*'Baseline Consumption'!X102</f>
        <v>2.7371444864595711</v>
      </c>
      <c r="Y26" s="300">
        <f>Y83*'Baseline Consumption'!Y102</f>
        <v>2.752013229064894</v>
      </c>
      <c r="Z26" s="300">
        <f>Z83*'Baseline Consumption'!Z102</f>
        <v>2.5442484401751315</v>
      </c>
      <c r="AA26" s="300">
        <f>AA83*'Baseline Consumption'!AA102</f>
        <v>2.569013619270955</v>
      </c>
      <c r="AB26" s="300">
        <f>AB83*'Baseline Consumption'!AB102</f>
        <v>2.6021901629039803</v>
      </c>
      <c r="AC26" s="300">
        <f>AC83*'Baseline Consumption'!AC102</f>
        <v>2.6363221915411672</v>
      </c>
      <c r="AD26" s="300">
        <f>AD83*'Baseline Consumption'!AD102</f>
        <v>2.6721296508183623</v>
      </c>
      <c r="AE26" s="300">
        <f>AE83*'Baseline Consumption'!AE102</f>
        <v>2.7081179982632038</v>
      </c>
      <c r="AF26" s="300">
        <f>AF83*'Baseline Consumption'!AF102</f>
        <v>2.7479241885031782</v>
      </c>
      <c r="AG26" s="300">
        <f>AG83*'Baseline Consumption'!AG102</f>
        <v>2.7807640163684004</v>
      </c>
      <c r="AH26" s="300">
        <f>AH83*'Baseline Consumption'!AH102</f>
        <v>2.8164252681260029</v>
      </c>
      <c r="AI26" s="300">
        <f>AI83*'Baseline Consumption'!AI102</f>
        <v>2.8520865198836067</v>
      </c>
      <c r="AJ26" s="300">
        <f>AJ83*'Baseline Consumption'!AJ102</f>
        <v>2.887747771641199</v>
      </c>
      <c r="AK26" s="300">
        <f>AK83*'Baseline Consumption'!AK102</f>
        <v>2.9234090233988024</v>
      </c>
      <c r="AL26" s="300">
        <f>AL83*'Baseline Consumption'!AL102</f>
        <v>2.9590702751563942</v>
      </c>
      <c r="AM26" s="300">
        <f>AM83*'Baseline Consumption'!AM102</f>
        <v>2.9947315269139976</v>
      </c>
      <c r="AN26" s="300">
        <f>AN83*'Baseline Consumption'!AN102</f>
        <v>3.0303927786716001</v>
      </c>
      <c r="AO26" s="300">
        <f>AO83*'Baseline Consumption'!AO102</f>
        <v>3.0660540304291923</v>
      </c>
      <c r="AP26" s="300">
        <f>AP83*'Baseline Consumption'!AP102</f>
        <v>3.1017152821867966</v>
      </c>
      <c r="AQ26" s="300">
        <f>AQ83*'Baseline Consumption'!AQ102</f>
        <v>3.1373765339443991</v>
      </c>
      <c r="AR26" s="300">
        <f>AR83*'Baseline Consumption'!AR102</f>
        <v>3.1730377857019918</v>
      </c>
      <c r="AS26" s="300">
        <f>AS83*'Baseline Consumption'!AS102</f>
        <v>3.2086990374595956</v>
      </c>
      <c r="AT26" s="300">
        <f>AT83*'Baseline Consumption'!AT102</f>
        <v>3.244360289217199</v>
      </c>
      <c r="AU26" s="300">
        <f>AU83*'Baseline Consumption'!AU102</f>
        <v>3.2800215409747904</v>
      </c>
      <c r="AV26" s="442">
        <f t="shared" si="3"/>
        <v>-0.26176442881583117</v>
      </c>
    </row>
    <row r="27" spans="1:48" s="6" customFormat="1">
      <c r="A27" s="218" t="s">
        <v>26</v>
      </c>
      <c r="B27" s="300">
        <f>SUM(B18:B26)</f>
        <v>9.2820525386288164</v>
      </c>
      <c r="C27" s="300">
        <f>SUM(C18:C26)</f>
        <v>8.8948996587655458</v>
      </c>
      <c r="D27" s="300">
        <f t="shared" ref="D27:AF27" si="4">SUM(D18:D26)</f>
        <v>9.5595415594432822</v>
      </c>
      <c r="E27" s="300">
        <f t="shared" si="4"/>
        <v>9.8108656338068823</v>
      </c>
      <c r="F27" s="300">
        <f t="shared" si="4"/>
        <v>10.464013119711057</v>
      </c>
      <c r="G27" s="300">
        <f t="shared" si="4"/>
        <v>10.617456513776542</v>
      </c>
      <c r="H27" s="300">
        <f t="shared" si="4"/>
        <v>9.3402643813988639</v>
      </c>
      <c r="I27" s="300">
        <f t="shared" si="4"/>
        <v>8.6206848406148389</v>
      </c>
      <c r="J27" s="300">
        <f t="shared" si="4"/>
        <v>9.8080235048634776</v>
      </c>
      <c r="K27" s="300">
        <f t="shared" si="4"/>
        <v>9.1965015514658681</v>
      </c>
      <c r="L27" s="300">
        <f t="shared" si="4"/>
        <v>9.3857614166159387</v>
      </c>
      <c r="M27" s="300">
        <f t="shared" si="4"/>
        <v>8.9444443869063477</v>
      </c>
      <c r="N27" s="300">
        <f t="shared" si="4"/>
        <v>8.3812481015646405</v>
      </c>
      <c r="O27" s="300">
        <f t="shared" si="4"/>
        <v>8.7995708573656337</v>
      </c>
      <c r="P27" s="300">
        <f t="shared" si="4"/>
        <v>8.6848720756008682</v>
      </c>
      <c r="Q27" s="300">
        <f t="shared" si="4"/>
        <v>8.4524754950033767</v>
      </c>
      <c r="R27" s="300">
        <f t="shared" si="4"/>
        <v>8.084339661364826</v>
      </c>
      <c r="S27" s="300">
        <f t="shared" si="4"/>
        <v>8.0515526467630529</v>
      </c>
      <c r="T27" s="300">
        <f t="shared" si="4"/>
        <v>7.561715861456543</v>
      </c>
      <c r="U27" s="300">
        <f t="shared" si="4"/>
        <v>7.4130623336702453</v>
      </c>
      <c r="V27" s="300">
        <f t="shared" si="4"/>
        <v>7.4431506130786582</v>
      </c>
      <c r="W27" s="300">
        <f t="shared" si="4"/>
        <v>7.1271365138639133</v>
      </c>
      <c r="X27" s="300">
        <f t="shared" si="4"/>
        <v>7.1432713348530319</v>
      </c>
      <c r="Y27" s="300">
        <f t="shared" si="4"/>
        <v>7.2124956960986015</v>
      </c>
      <c r="Z27" s="300">
        <f t="shared" si="4"/>
        <v>6.9731501938700333</v>
      </c>
      <c r="AA27" s="300">
        <f t="shared" si="4"/>
        <v>6.9957365305814783</v>
      </c>
      <c r="AB27" s="300">
        <f t="shared" si="4"/>
        <v>7.0421025249942906</v>
      </c>
      <c r="AC27" s="300">
        <f t="shared" si="4"/>
        <v>7.109134876544557</v>
      </c>
      <c r="AD27" s="300">
        <f t="shared" si="4"/>
        <v>7.1808318383385874</v>
      </c>
      <c r="AE27" s="300">
        <f t="shared" si="4"/>
        <v>7.2576100476306937</v>
      </c>
      <c r="AF27" s="300">
        <f t="shared" si="4"/>
        <v>7.3418254579888913</v>
      </c>
      <c r="AG27" s="300">
        <f>SUM(AG18:AG26)</f>
        <v>7.4249467560181817</v>
      </c>
      <c r="AH27" s="300">
        <f>SUM(AH18:AH26)</f>
        <v>7.5144176837459975</v>
      </c>
      <c r="AI27" s="300">
        <f>SUM(AI18:AI26)</f>
        <v>7.6044797821155807</v>
      </c>
      <c r="AJ27" s="300">
        <f>SUM(AJ18:AJ26)</f>
        <v>7.6945474697820577</v>
      </c>
      <c r="AK27" s="300">
        <f>SUM(AK18:AK26)</f>
        <v>7.7854083779268102</v>
      </c>
      <c r="AL27" s="300">
        <f t="shared" ref="AL27:AU27" si="5">SUM(AL18:AL26)</f>
        <v>7.8886201416503292</v>
      </c>
      <c r="AM27" s="300">
        <f t="shared" si="5"/>
        <v>7.9900075190760038</v>
      </c>
      <c r="AN27" s="300">
        <f t="shared" si="5"/>
        <v>8.0899352477225754</v>
      </c>
      <c r="AO27" s="300">
        <f t="shared" si="5"/>
        <v>8.1886441112782133</v>
      </c>
      <c r="AP27" s="300">
        <f t="shared" si="5"/>
        <v>8.2878182645289797</v>
      </c>
      <c r="AQ27" s="300">
        <f t="shared" si="5"/>
        <v>8.3893433800018631</v>
      </c>
      <c r="AR27" s="300">
        <f t="shared" si="5"/>
        <v>8.4874001246080422</v>
      </c>
      <c r="AS27" s="300">
        <f t="shared" si="5"/>
        <v>8.5806026217231874</v>
      </c>
      <c r="AT27" s="300">
        <f t="shared" si="5"/>
        <v>8.6692904287187886</v>
      </c>
      <c r="AU27" s="300">
        <f t="shared" si="5"/>
        <v>8.7539466607499481</v>
      </c>
      <c r="AV27" s="442">
        <f t="shared" si="3"/>
        <v>3.5666612216123432E-2</v>
      </c>
    </row>
    <row r="28" spans="1:48">
      <c r="A28" s="178"/>
      <c r="B28" s="479"/>
      <c r="C28" s="479"/>
      <c r="D28" s="479"/>
      <c r="E28" s="479"/>
      <c r="F28" s="479"/>
      <c r="G28" s="479"/>
      <c r="H28" s="479"/>
      <c r="I28" s="479"/>
      <c r="J28" s="479"/>
      <c r="K28" s="479"/>
      <c r="L28" s="479"/>
      <c r="M28" s="480"/>
      <c r="N28" s="300"/>
      <c r="O28" s="300"/>
      <c r="P28" s="300"/>
      <c r="Q28" s="300"/>
      <c r="R28" s="300"/>
      <c r="S28" s="300"/>
      <c r="T28" s="300"/>
      <c r="U28" s="300"/>
      <c r="V28" s="300"/>
      <c r="W28" s="300"/>
      <c r="X28" s="300"/>
      <c r="Y28" s="300"/>
      <c r="Z28" s="300"/>
      <c r="AA28" s="300"/>
      <c r="AB28" s="300"/>
      <c r="AC28" s="300"/>
      <c r="AD28" s="300"/>
      <c r="AE28" s="300"/>
      <c r="AF28" s="300"/>
      <c r="AG28" s="230"/>
      <c r="AH28" s="230"/>
      <c r="AI28" s="230"/>
      <c r="AJ28" s="230"/>
      <c r="AK28" s="230"/>
      <c r="AL28" s="230"/>
      <c r="AM28" s="230"/>
      <c r="AN28" s="230"/>
      <c r="AO28" s="230"/>
      <c r="AP28" s="230"/>
      <c r="AQ28" s="230"/>
      <c r="AR28" s="230"/>
      <c r="AS28" s="230"/>
      <c r="AT28" s="230"/>
      <c r="AU28" s="230"/>
    </row>
    <row r="29" spans="1:48" ht="13">
      <c r="A29" s="250" t="s">
        <v>30</v>
      </c>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0"/>
      <c r="AO29" s="380"/>
      <c r="AP29" s="380"/>
      <c r="AQ29" s="380"/>
      <c r="AR29" s="380"/>
      <c r="AS29" s="380"/>
      <c r="AT29" s="380"/>
      <c r="AU29" s="381"/>
      <c r="AV29" s="5" t="s">
        <v>1385</v>
      </c>
    </row>
    <row r="30" spans="1:48" s="396" customFormat="1" ht="12.9" customHeight="1">
      <c r="A30" s="253" t="s">
        <v>6</v>
      </c>
      <c r="B30" s="253">
        <v>2005</v>
      </c>
      <c r="C30" s="253">
        <v>2006</v>
      </c>
      <c r="D30" s="253">
        <v>2007</v>
      </c>
      <c r="E30" s="253">
        <v>2008</v>
      </c>
      <c r="F30" s="253">
        <v>2009</v>
      </c>
      <c r="G30" s="253">
        <v>2010</v>
      </c>
      <c r="H30" s="253">
        <v>2011</v>
      </c>
      <c r="I30" s="253">
        <v>2012</v>
      </c>
      <c r="J30" s="253">
        <v>2013</v>
      </c>
      <c r="K30" s="253">
        <v>2014</v>
      </c>
      <c r="L30" s="253">
        <v>2015</v>
      </c>
      <c r="M30" s="253">
        <v>2016</v>
      </c>
      <c r="N30" s="253">
        <v>2017</v>
      </c>
      <c r="O30" s="253">
        <v>2018</v>
      </c>
      <c r="P30" s="253">
        <v>2019</v>
      </c>
      <c r="Q30" s="253">
        <v>2020</v>
      </c>
      <c r="R30" s="253">
        <v>2021</v>
      </c>
      <c r="S30" s="253">
        <v>2022</v>
      </c>
      <c r="T30" s="253">
        <v>2023</v>
      </c>
      <c r="U30" s="253">
        <v>2024</v>
      </c>
      <c r="V30" s="253">
        <v>2025</v>
      </c>
      <c r="W30" s="253">
        <v>2026</v>
      </c>
      <c r="X30" s="253">
        <v>2027</v>
      </c>
      <c r="Y30" s="253">
        <v>2028</v>
      </c>
      <c r="Z30" s="253">
        <v>2029</v>
      </c>
      <c r="AA30" s="253">
        <v>2030</v>
      </c>
      <c r="AB30" s="253">
        <v>2031</v>
      </c>
      <c r="AC30" s="253">
        <v>2032</v>
      </c>
      <c r="AD30" s="253">
        <v>2033</v>
      </c>
      <c r="AE30" s="253">
        <v>2034</v>
      </c>
      <c r="AF30" s="253">
        <v>2035</v>
      </c>
      <c r="AG30" s="253">
        <v>2036</v>
      </c>
      <c r="AH30" s="253">
        <v>2037</v>
      </c>
      <c r="AI30" s="253">
        <v>2038</v>
      </c>
      <c r="AJ30" s="253">
        <v>2039</v>
      </c>
      <c r="AK30" s="253">
        <v>2040</v>
      </c>
      <c r="AL30" s="253">
        <v>2041</v>
      </c>
      <c r="AM30" s="253">
        <v>2042</v>
      </c>
      <c r="AN30" s="253">
        <v>2043</v>
      </c>
      <c r="AO30" s="253">
        <v>2044</v>
      </c>
      <c r="AP30" s="253">
        <v>2045</v>
      </c>
      <c r="AQ30" s="253">
        <v>2046</v>
      </c>
      <c r="AR30" s="253">
        <v>2047</v>
      </c>
      <c r="AS30" s="253">
        <v>2048</v>
      </c>
      <c r="AT30" s="253">
        <v>2049</v>
      </c>
      <c r="AU30" s="253">
        <v>2050</v>
      </c>
      <c r="AV30" s="436" t="s">
        <v>290</v>
      </c>
    </row>
    <row r="31" spans="1:48" s="396" customFormat="1" ht="12.9" customHeight="1">
      <c r="A31" s="396" t="s">
        <v>1273</v>
      </c>
    </row>
    <row r="32" spans="1:48">
      <c r="A32" s="178" t="s">
        <v>22</v>
      </c>
      <c r="B32" s="300">
        <f>'Baseline Consumption'!B31*parameters!$B$87</f>
        <v>0.29376546648868512</v>
      </c>
      <c r="C32" s="300">
        <f>'Baseline Consumption'!C31*parameters!$B$87</f>
        <v>0.26465121865516184</v>
      </c>
      <c r="D32" s="300">
        <f>'Baseline Consumption'!D31*parameters!$B$87</f>
        <v>0.11257245563003722</v>
      </c>
      <c r="E32" s="300">
        <f>'Baseline Consumption'!E31*parameters!$B$87</f>
        <v>0.112831953057944</v>
      </c>
      <c r="F32" s="300">
        <f>'Baseline Consumption'!F31*parameters!$B$87</f>
        <v>0.33821164770517215</v>
      </c>
      <c r="G32" s="300">
        <f>'Baseline Consumption'!G31*parameters!$B$87</f>
        <v>0.32400107427218172</v>
      </c>
      <c r="H32" s="300">
        <f>'Baseline Consumption'!H31*parameters!$B$87</f>
        <v>0.37256416435187945</v>
      </c>
      <c r="I32" s="300">
        <f>'Baseline Consumption'!I31*parameters!$B$87</f>
        <v>0.33363955016586216</v>
      </c>
      <c r="J32" s="300">
        <f>'Baseline Consumption'!J31*parameters!$B$87</f>
        <v>0.34599657054237565</v>
      </c>
      <c r="K32" s="300">
        <f>'Baseline Consumption'!K31*parameters!$B$87</f>
        <v>0.28920370489191999</v>
      </c>
      <c r="L32" s="300">
        <f>'Baseline Consumption'!L31*parameters!$B$87</f>
        <v>0.32814067609831371</v>
      </c>
      <c r="M32" s="300">
        <f>'Baseline Consumption'!M31*parameters!$B$87</f>
        <v>0.3564641775293918</v>
      </c>
      <c r="N32" s="300">
        <f>'Baseline Consumption'!N31*parameters!$B$87</f>
        <v>0.39377104845990091</v>
      </c>
      <c r="O32" s="300">
        <f>'Baseline Consumption'!O31*parameters!$B$87</f>
        <v>0.46314815226883682</v>
      </c>
      <c r="P32" s="300">
        <f>'Baseline Consumption'!P31*parameters!$B$87</f>
        <v>0.40028572059204703</v>
      </c>
      <c r="Q32" s="300">
        <f>'Baseline Consumption'!Q31*parameters!$B$87</f>
        <v>0.2326545073331584</v>
      </c>
      <c r="R32" s="300">
        <f>'Baseline Consumption'!R31*parameters!$B$87</f>
        <v>0.23379676026182231</v>
      </c>
      <c r="S32" s="300">
        <f>'Baseline Consumption'!S31*parameters!$B$87</f>
        <v>0.23526042965187569</v>
      </c>
      <c r="T32" s="300">
        <f>'Baseline Consumption'!T31*parameters!$B$87</f>
        <v>0.23685896040038154</v>
      </c>
      <c r="U32" s="300">
        <f>'Baseline Consumption'!U31*parameters!$B$87</f>
        <v>0.23780033843962606</v>
      </c>
      <c r="V32" s="300">
        <f>'Baseline Consumption'!V31*parameters!$B$87</f>
        <v>0.23929726736194706</v>
      </c>
      <c r="W32" s="300">
        <f>'Baseline Consumption'!W31*parameters!$B$87</f>
        <v>0.24035200614509838</v>
      </c>
      <c r="X32" s="300">
        <f>'Baseline Consumption'!X31*parameters!$B$87</f>
        <v>0.24087142473354761</v>
      </c>
      <c r="Y32" s="300">
        <f>'Baseline Consumption'!Y31*parameters!$B$87</f>
        <v>0.24257512205631715</v>
      </c>
      <c r="Z32" s="300">
        <f>'Baseline Consumption'!Z31*parameters!$B$87</f>
        <v>0.24480808114823197</v>
      </c>
      <c r="AA32" s="300">
        <f>'Baseline Consumption'!AA31*parameters!$B$87</f>
        <v>0.24601937102298116</v>
      </c>
      <c r="AB32" s="300">
        <f>'Baseline Consumption'!AB31*parameters!$B$87</f>
        <v>0.24800287482404706</v>
      </c>
      <c r="AC32" s="300">
        <f>'Baseline Consumption'!AC31*parameters!$B$87</f>
        <v>0.24946824296038272</v>
      </c>
      <c r="AD32" s="300">
        <f>'Baseline Consumption'!AD31*parameters!$B$87</f>
        <v>0.25092735852727127</v>
      </c>
      <c r="AE32" s="300">
        <f>'Baseline Consumption'!AE31*parameters!$B$87</f>
        <v>0.25293024074679554</v>
      </c>
      <c r="AF32" s="300">
        <f>'Baseline Consumption'!AF31*parameters!$B$87</f>
        <v>0.2550223948002997</v>
      </c>
      <c r="AG32" s="300">
        <f>'Baseline Consumption'!AG31*parameters!$B$87</f>
        <v>0.25674709877712826</v>
      </c>
      <c r="AH32" s="300">
        <f>'Baseline Consumption'!AH31*parameters!$B$87</f>
        <v>0.258666264306677</v>
      </c>
      <c r="AI32" s="300">
        <f>'Baseline Consumption'!AI31*parameters!$B$87</f>
        <v>0.26066351345332262</v>
      </c>
      <c r="AJ32" s="300">
        <f>'Baseline Consumption'!AJ31*parameters!$B$87</f>
        <v>0.26226363636216604</v>
      </c>
      <c r="AK32" s="300">
        <f>'Baseline Consumption'!AK31*parameters!$B$87</f>
        <v>0.26442585040066091</v>
      </c>
      <c r="AL32" s="300">
        <f>'Baseline Consumption'!AL31*parameters!$B$87</f>
        <v>0.26676912568368061</v>
      </c>
      <c r="AM32" s="300">
        <f>'Baseline Consumption'!AM31*parameters!$B$87</f>
        <v>0.26832738756698421</v>
      </c>
      <c r="AN32" s="300">
        <f>'Baseline Consumption'!AN31*parameters!$B$87</f>
        <v>0.2702327176230796</v>
      </c>
      <c r="AO32" s="300">
        <f>'Baseline Consumption'!AO31*parameters!$B$87</f>
        <v>0.27262088295351555</v>
      </c>
      <c r="AP32" s="300">
        <f>'Baseline Consumption'!AP31*parameters!$B$87</f>
        <v>0.2749971384132836</v>
      </c>
      <c r="AQ32" s="300">
        <f>'Baseline Consumption'!AQ31*parameters!$B$87</f>
        <v>0.27756924239104053</v>
      </c>
      <c r="AR32" s="300">
        <f>'Baseline Consumption'!AR31*parameters!$B$87</f>
        <v>0.28009963086359668</v>
      </c>
      <c r="AS32" s="300">
        <f>'Baseline Consumption'!AS31*parameters!$B$87</f>
        <v>0.28265907597316725</v>
      </c>
      <c r="AT32" s="300">
        <f>'Baseline Consumption'!AT31*parameters!$B$87</f>
        <v>0.28490835796171293</v>
      </c>
      <c r="AU32" s="300">
        <f>'Baseline Consumption'!AU31*parameters!$B$87</f>
        <v>0.28716980784323598</v>
      </c>
      <c r="AV32" s="442">
        <f t="shared" ref="AV32:AV60" si="6">(AU32-Q32)/Q32</f>
        <v>0.23431869485344781</v>
      </c>
    </row>
    <row r="33" spans="1:48">
      <c r="A33" s="178" t="s">
        <v>28</v>
      </c>
      <c r="B33" s="300">
        <f>'Baseline Consumption'!B32*parameters!$B$71</f>
        <v>0.41049136637050876</v>
      </c>
      <c r="C33" s="300">
        <f>'Baseline Consumption'!C32*parameters!$B$71</f>
        <v>0.42081465420273995</v>
      </c>
      <c r="D33" s="300">
        <f>'Baseline Consumption'!D32*parameters!$B$71</f>
        <v>0.32875299486989901</v>
      </c>
      <c r="E33" s="300">
        <f>'Baseline Consumption'!E32*parameters!$B$71</f>
        <v>0.31933275502852382</v>
      </c>
      <c r="F33" s="300">
        <f>'Baseline Consumption'!F32*parameters!$B$71</f>
        <v>0.27888113688614796</v>
      </c>
      <c r="G33" s="300">
        <f>'Baseline Consumption'!G32*parameters!$B$71</f>
        <v>0.33458093229711899</v>
      </c>
      <c r="H33" s="300">
        <f>'Baseline Consumption'!H32*parameters!$B$71</f>
        <v>0.40442064146593498</v>
      </c>
      <c r="I33" s="300">
        <f>'Baseline Consumption'!I32*parameters!$B$71</f>
        <v>0.34394384816380014</v>
      </c>
      <c r="J33" s="300">
        <f>'Baseline Consumption'!J32*parameters!$B$71</f>
        <v>0.36305183972845573</v>
      </c>
      <c r="K33" s="300">
        <f>'Baseline Consumption'!K32*parameters!$B$71</f>
        <v>0.41829304334187495</v>
      </c>
      <c r="L33" s="300">
        <f>'Baseline Consumption'!L32*parameters!$B$71</f>
        <v>0.32080407037900227</v>
      </c>
      <c r="M33" s="300">
        <f>'Baseline Consumption'!M32*parameters!$B$71</f>
        <v>0.40533831863025982</v>
      </c>
      <c r="N33" s="300">
        <f>'Baseline Consumption'!N32*parameters!$B$71</f>
        <v>0.38129611065460961</v>
      </c>
      <c r="O33" s="300">
        <f>'Baseline Consumption'!O32*parameters!$B$71</f>
        <v>0.37573107705149855</v>
      </c>
      <c r="P33" s="300">
        <f>'Baseline Consumption'!P32*parameters!$B$71</f>
        <v>0.37037723095616087</v>
      </c>
      <c r="Q33" s="300">
        <f>'Baseline Consumption'!Q32*parameters!$B$71</f>
        <v>0.3790569910344132</v>
      </c>
      <c r="R33" s="300">
        <f>'Baseline Consumption'!R32*parameters!$B$71</f>
        <v>0.3875994798127112</v>
      </c>
      <c r="S33" s="300">
        <f>'Baseline Consumption'!S32*parameters!$B$71</f>
        <v>0.39474954527151246</v>
      </c>
      <c r="T33" s="300">
        <f>'Baseline Consumption'!T32*parameters!$B$71</f>
        <v>0.40165594025354906</v>
      </c>
      <c r="U33" s="300">
        <f>'Baseline Consumption'!U32*parameters!$B$71</f>
        <v>0.40759618960472349</v>
      </c>
      <c r="V33" s="300">
        <f>'Baseline Consumption'!V32*parameters!$B$71</f>
        <v>0.41268091007150443</v>
      </c>
      <c r="W33" s="300">
        <f>'Baseline Consumption'!W32*parameters!$B$71</f>
        <v>0.41679463313149551</v>
      </c>
      <c r="X33" s="300">
        <f>'Baseline Consumption'!X32*parameters!$B$71</f>
        <v>0.4196552122631364</v>
      </c>
      <c r="Y33" s="300">
        <f>'Baseline Consumption'!Y32*parameters!$B$71</f>
        <v>0.42326683654964625</v>
      </c>
      <c r="Z33" s="300">
        <f>'Baseline Consumption'!Z32*parameters!$B$71</f>
        <v>0.42602585415396477</v>
      </c>
      <c r="AA33" s="300">
        <f>'Baseline Consumption'!AA32*parameters!$B$71</f>
        <v>0.42763107822949448</v>
      </c>
      <c r="AB33" s="300">
        <f>'Baseline Consumption'!AB32*parameters!$B$71</f>
        <v>0.43044360358959904</v>
      </c>
      <c r="AC33" s="300">
        <f>'Baseline Consumption'!AC32*parameters!$B$71</f>
        <v>0.4329596240152801</v>
      </c>
      <c r="AD33" s="300">
        <f>'Baseline Consumption'!AD32*parameters!$B$71</f>
        <v>0.43569261638255102</v>
      </c>
      <c r="AE33" s="300">
        <f>'Baseline Consumption'!AE32*parameters!$B$71</f>
        <v>0.43851174218919847</v>
      </c>
      <c r="AF33" s="300">
        <f>'Baseline Consumption'!AF32*parameters!$B$71</f>
        <v>0.44135021086535342</v>
      </c>
      <c r="AG33" s="300">
        <f>'Baseline Consumption'!AG32*parameters!$B$71</f>
        <v>0.44437153969044474</v>
      </c>
      <c r="AH33" s="300">
        <f>'Baseline Consumption'!AH32*parameters!$B$71</f>
        <v>0.44747167034441265</v>
      </c>
      <c r="AI33" s="300">
        <f>'Baseline Consumption'!AI32*parameters!$B$71</f>
        <v>0.45063113475539246</v>
      </c>
      <c r="AJ33" s="300">
        <f>'Baseline Consumption'!AJ32*parameters!$B$71</f>
        <v>0.45348120509156742</v>
      </c>
      <c r="AK33" s="300">
        <f>'Baseline Consumption'!AK32*parameters!$B$71</f>
        <v>0.45665370068963712</v>
      </c>
      <c r="AL33" s="300">
        <f>'Baseline Consumption'!AL32*parameters!$B$71</f>
        <v>0.45992742948381593</v>
      </c>
      <c r="AM33" s="300">
        <f>'Baseline Consumption'!AM32*parameters!$B$71</f>
        <v>0.46278941305211263</v>
      </c>
      <c r="AN33" s="300">
        <f>'Baseline Consumption'!AN32*parameters!$B$71</f>
        <v>0.46555772347368185</v>
      </c>
      <c r="AO33" s="300">
        <f>'Baseline Consumption'!AO32*parameters!$B$71</f>
        <v>0.46851265007913506</v>
      </c>
      <c r="AP33" s="300">
        <f>'Baseline Consumption'!AP32*parameters!$B$71</f>
        <v>0.47151102240125475</v>
      </c>
      <c r="AQ33" s="300">
        <f>'Baseline Consumption'!AQ32*parameters!$B$71</f>
        <v>0.47454599282320098</v>
      </c>
      <c r="AR33" s="300">
        <f>'Baseline Consumption'!AR32*parameters!$B$71</f>
        <v>0.47750477990532153</v>
      </c>
      <c r="AS33" s="300">
        <f>'Baseline Consumption'!AS32*parameters!$B$71</f>
        <v>0.48055260171293646</v>
      </c>
      <c r="AT33" s="300">
        <f>'Baseline Consumption'!AT32*parameters!$B$71</f>
        <v>0.48327724052925669</v>
      </c>
      <c r="AU33" s="300">
        <f>'Baseline Consumption'!AU32*parameters!$B$71</f>
        <v>0.48577820646675346</v>
      </c>
      <c r="AV33" s="442">
        <f t="shared" si="6"/>
        <v>0.28154398403550729</v>
      </c>
    </row>
    <row r="34" spans="1:48">
      <c r="A34" s="178" t="s">
        <v>23</v>
      </c>
      <c r="B34" s="300">
        <f>'Baseline Consumption'!B33*parameters!$B$80</f>
        <v>1.3134286543884857</v>
      </c>
      <c r="C34" s="300">
        <f>'Baseline Consumption'!C33*parameters!$B$80</f>
        <v>1.3573026306593434</v>
      </c>
      <c r="D34" s="300">
        <f>'Baseline Consumption'!D33*parameters!$B$80</f>
        <v>1.1723652917900003</v>
      </c>
      <c r="E34" s="300">
        <f>'Baseline Consumption'!E33*parameters!$B$80</f>
        <v>1.0886973363805001</v>
      </c>
      <c r="F34" s="300">
        <f>'Baseline Consumption'!F33*parameters!$B$80</f>
        <v>1.1255462268050003</v>
      </c>
      <c r="G34" s="300">
        <f>'Baseline Consumption'!G33*parameters!$B$80</f>
        <v>1.1880710503200003</v>
      </c>
      <c r="H34" s="300">
        <f>'Baseline Consumption'!H33*parameters!$B$80</f>
        <v>1.2939358150950002</v>
      </c>
      <c r="I34" s="300">
        <f>'Baseline Consumption'!I33*parameters!$B$80</f>
        <v>1.3021863085000003</v>
      </c>
      <c r="J34" s="300">
        <f>'Baseline Consumption'!J33*parameters!$B$80</f>
        <v>1.3419477225000003</v>
      </c>
      <c r="K34" s="300">
        <f>'Baseline Consumption'!K33*parameters!$B$80</f>
        <v>1.3679616276095001</v>
      </c>
      <c r="L34" s="300">
        <f>'Baseline Consumption'!L33*parameters!$B$80</f>
        <v>1.3029517157195001</v>
      </c>
      <c r="M34" s="300">
        <f>'Baseline Consumption'!M33*parameters!$B$80</f>
        <v>1.1297770402520484</v>
      </c>
      <c r="N34" s="300">
        <f>'Baseline Consumption'!N33*parameters!$B$80</f>
        <v>1.2022043948449377</v>
      </c>
      <c r="O34" s="300">
        <f>'Baseline Consumption'!O33*parameters!$B$80</f>
        <v>1.2591676882302236</v>
      </c>
      <c r="P34" s="300">
        <f>'Baseline Consumption'!P33*parameters!$B$80</f>
        <v>1.2790165171212557</v>
      </c>
      <c r="Q34" s="300">
        <f>'Baseline Consumption'!Q33*parameters!$B$80</f>
        <v>1.2967552880388045</v>
      </c>
      <c r="R34" s="300">
        <f>'Baseline Consumption'!R33*parameters!$B$80</f>
        <v>1.3135693947068283</v>
      </c>
      <c r="S34" s="300">
        <f>'Baseline Consumption'!S33*parameters!$B$80</f>
        <v>1.334609904247432</v>
      </c>
      <c r="T34" s="300">
        <f>'Baseline Consumption'!T33*parameters!$B$80</f>
        <v>1.3493385208462709</v>
      </c>
      <c r="U34" s="300">
        <f>'Baseline Consumption'!U33*parameters!$B$80</f>
        <v>1.3637867210405588</v>
      </c>
      <c r="V34" s="300">
        <f>'Baseline Consumption'!V33*parameters!$B$80</f>
        <v>1.3752809088965516</v>
      </c>
      <c r="W34" s="300">
        <f>'Baseline Consumption'!W33*parameters!$B$80</f>
        <v>1.3856117335699132</v>
      </c>
      <c r="X34" s="300">
        <f>'Baseline Consumption'!X33*parameters!$B$80</f>
        <v>1.3970090874621075</v>
      </c>
      <c r="Y34" s="300">
        <f>'Baseline Consumption'!Y33*parameters!$B$80</f>
        <v>1.4095580801099137</v>
      </c>
      <c r="Z34" s="300">
        <f>'Baseline Consumption'!Z33*parameters!$B$80</f>
        <v>1.4231418420299367</v>
      </c>
      <c r="AA34" s="300">
        <f>'Baseline Consumption'!AA33*parameters!$B$80</f>
        <v>1.4335922397427852</v>
      </c>
      <c r="AB34" s="300">
        <f>'Baseline Consumption'!AB33*parameters!$B$80</f>
        <v>1.4489348348551623</v>
      </c>
      <c r="AC34" s="300">
        <f>'Baseline Consumption'!AC33*parameters!$B$80</f>
        <v>1.4634533275426187</v>
      </c>
      <c r="AD34" s="300">
        <f>'Baseline Consumption'!AD33*parameters!$B$80</f>
        <v>1.4783724344297378</v>
      </c>
      <c r="AE34" s="300">
        <f>'Baseline Consumption'!AE33*parameters!$B$80</f>
        <v>1.4920841798166502</v>
      </c>
      <c r="AF34" s="300">
        <f>'Baseline Consumption'!AF33*parameters!$B$80</f>
        <v>1.5102116018882386</v>
      </c>
      <c r="AG34" s="300">
        <f>'Baseline Consumption'!AG33*parameters!$B$80</f>
        <v>1.529968643010766</v>
      </c>
      <c r="AH34" s="300">
        <f>'Baseline Consumption'!AH33*parameters!$B$80</f>
        <v>1.5447229240366194</v>
      </c>
      <c r="AI34" s="300">
        <f>'Baseline Consumption'!AI33*parameters!$B$80</f>
        <v>1.5667249608800833</v>
      </c>
      <c r="AJ34" s="300">
        <f>'Baseline Consumption'!AJ33*parameters!$B$80</f>
        <v>1.5851166919490274</v>
      </c>
      <c r="AK34" s="300">
        <f>'Baseline Consumption'!AK33*parameters!$B$80</f>
        <v>1.6053673552464069</v>
      </c>
      <c r="AL34" s="300">
        <f>'Baseline Consumption'!AL33*parameters!$B$80</f>
        <v>1.6294146405739867</v>
      </c>
      <c r="AM34" s="300">
        <f>'Baseline Consumption'!AM33*parameters!$B$80</f>
        <v>1.6507615165749994</v>
      </c>
      <c r="AN34" s="300">
        <f>'Baseline Consumption'!AN33*parameters!$B$80</f>
        <v>1.6670082533412525</v>
      </c>
      <c r="AO34" s="300">
        <f>'Baseline Consumption'!AO33*parameters!$B$80</f>
        <v>1.6888002075982187</v>
      </c>
      <c r="AP34" s="300">
        <f>'Baseline Consumption'!AP33*parameters!$B$80</f>
        <v>1.7086682429542588</v>
      </c>
      <c r="AQ34" s="300">
        <f>'Baseline Consumption'!AQ33*parameters!$B$80</f>
        <v>1.7304145731735825</v>
      </c>
      <c r="AR34" s="300">
        <f>'Baseline Consumption'!AR33*parameters!$B$80</f>
        <v>1.7517353990110385</v>
      </c>
      <c r="AS34" s="300">
        <f>'Baseline Consumption'!AS33*parameters!$B$80</f>
        <v>1.7760315853118334</v>
      </c>
      <c r="AT34" s="300">
        <f>'Baseline Consumption'!AT33*parameters!$B$80</f>
        <v>1.7923893237043671</v>
      </c>
      <c r="AU34" s="300">
        <f>'Baseline Consumption'!AU33*parameters!$B$80</f>
        <v>1.8120753231199185</v>
      </c>
      <c r="AV34" s="442">
        <f t="shared" si="6"/>
        <v>0.39739189023125343</v>
      </c>
    </row>
    <row r="35" spans="1:48">
      <c r="A35" s="178" t="s">
        <v>29</v>
      </c>
      <c r="B35" s="300">
        <f>'Baseline Consumption'!B34*parameters!$B$94</f>
        <v>6.4940704680892469E-2</v>
      </c>
      <c r="C35" s="300">
        <f>'Baseline Consumption'!C34*parameters!$B$94</f>
        <v>6.8805229156745432E-2</v>
      </c>
      <c r="D35" s="300">
        <f>'Baseline Consumption'!D34*parameters!$B$94</f>
        <v>6.7994791433917068E-2</v>
      </c>
      <c r="E35" s="300">
        <f>'Baseline Consumption'!E34*parameters!$B$94</f>
        <v>7.0678056963643959E-2</v>
      </c>
      <c r="F35" s="300">
        <f>'Baseline Consumption'!F34*parameters!$B$94</f>
        <v>8.1158245891268369E-2</v>
      </c>
      <c r="G35" s="300">
        <f>'Baseline Consumption'!G34*parameters!$B$94</f>
        <v>7.6423897810022498E-2</v>
      </c>
      <c r="H35" s="300">
        <f>'Baseline Consumption'!H34*parameters!$B$94</f>
        <v>7.8250204191511991E-2</v>
      </c>
      <c r="I35" s="300">
        <f>'Baseline Consumption'!I34*parameters!$B$94</f>
        <v>5.6194042507369479E-2</v>
      </c>
      <c r="J35" s="300">
        <f>'Baseline Consumption'!J34*parameters!$B$94</f>
        <v>5.6194042507369479E-2</v>
      </c>
      <c r="K35" s="300">
        <f>'Baseline Consumption'!K34*parameters!$B$94</f>
        <v>3.575345954531383E-2</v>
      </c>
      <c r="L35" s="300">
        <f>'Baseline Consumption'!L34*parameters!$B$94</f>
        <v>2.9417581252607919E-2</v>
      </c>
      <c r="M35" s="300">
        <f>'Baseline Consumption'!M34*parameters!$B$94</f>
        <v>3.2105655743326522E-2</v>
      </c>
      <c r="N35" s="300">
        <f>'Baseline Consumption'!N34*parameters!$B$94</f>
        <v>3.808982220166874E-2</v>
      </c>
      <c r="O35" s="300">
        <f>'Baseline Consumption'!O34*parameters!$B$94</f>
        <v>3.6989025216778278E-2</v>
      </c>
      <c r="P35" s="300">
        <f>'Baseline Consumption'!P34*parameters!$B$94</f>
        <v>3.8927280350917914E-2</v>
      </c>
      <c r="Q35" s="300">
        <f>'Baseline Consumption'!Q34*parameters!$B$94</f>
        <v>2.7645358303895477E-2</v>
      </c>
      <c r="R35" s="300">
        <f>'Baseline Consumption'!R34*parameters!$B$94</f>
        <v>2.8893129763023506E-2</v>
      </c>
      <c r="S35" s="300">
        <f>'Baseline Consumption'!S34*parameters!$B$94</f>
        <v>2.973630230164755E-2</v>
      </c>
      <c r="T35" s="300">
        <f>'Baseline Consumption'!T34*parameters!$B$94</f>
        <v>3.0466733092810686E-2</v>
      </c>
      <c r="U35" s="300">
        <f>'Baseline Consumption'!U34*parameters!$B$94</f>
        <v>3.1163318949306976E-2</v>
      </c>
      <c r="V35" s="300">
        <f>'Baseline Consumption'!V34*parameters!$B$94</f>
        <v>3.185906860038875E-2</v>
      </c>
      <c r="W35" s="300">
        <f>'Baseline Consumption'!W34*parameters!$B$94</f>
        <v>3.2487451713357443E-2</v>
      </c>
      <c r="X35" s="300">
        <f>'Baseline Consumption'!X34*parameters!$B$94</f>
        <v>3.2829650005670029E-2</v>
      </c>
      <c r="Y35" s="300">
        <f>'Baseline Consumption'!Y34*parameters!$B$94</f>
        <v>3.3079983495135155E-2</v>
      </c>
      <c r="Z35" s="300">
        <f>'Baseline Consumption'!Z34*parameters!$B$94</f>
        <v>3.3290494048306828E-2</v>
      </c>
      <c r="AA35" s="300">
        <f>'Baseline Consumption'!AA34*parameters!$B$94</f>
        <v>3.3295959082697495E-2</v>
      </c>
      <c r="AB35" s="300">
        <f>'Baseline Consumption'!AB34*parameters!$B$94</f>
        <v>3.3428026501240431E-2</v>
      </c>
      <c r="AC35" s="300">
        <f>'Baseline Consumption'!AC34*parameters!$B$94</f>
        <v>3.3478026530192488E-2</v>
      </c>
      <c r="AD35" s="300">
        <f>'Baseline Consumption'!AD34*parameters!$B$94</f>
        <v>3.3529525132413834E-2</v>
      </c>
      <c r="AE35" s="300">
        <f>'Baseline Consumption'!AE34*parameters!$B$94</f>
        <v>3.3599687151229234E-2</v>
      </c>
      <c r="AF35" s="300">
        <f>'Baseline Consumption'!AF34*parameters!$B$94</f>
        <v>3.3635165214590333E-2</v>
      </c>
      <c r="AG35" s="300">
        <f>'Baseline Consumption'!AG34*parameters!$B$94</f>
        <v>3.3689031950760354E-2</v>
      </c>
      <c r="AH35" s="300">
        <f>'Baseline Consumption'!AH34*parameters!$B$94</f>
        <v>3.3763363238211178E-2</v>
      </c>
      <c r="AI35" s="300">
        <f>'Baseline Consumption'!AI34*parameters!$B$94</f>
        <v>3.3847478042674399E-2</v>
      </c>
      <c r="AJ35" s="300">
        <f>'Baseline Consumption'!AJ34*parameters!$B$94</f>
        <v>3.3877145737739034E-2</v>
      </c>
      <c r="AK35" s="300">
        <f>'Baseline Consumption'!AK34*parameters!$B$94</f>
        <v>3.3919985899024445E-2</v>
      </c>
      <c r="AL35" s="300">
        <f>'Baseline Consumption'!AL34*parameters!$B$94</f>
        <v>3.3906389139086203E-2</v>
      </c>
      <c r="AM35" s="300">
        <f>'Baseline Consumption'!AM34*parameters!$B$94</f>
        <v>3.3866515928583217E-2</v>
      </c>
      <c r="AN35" s="300">
        <f>'Baseline Consumption'!AN34*parameters!$B$94</f>
        <v>3.3734624576513071E-2</v>
      </c>
      <c r="AO35" s="300">
        <f>'Baseline Consumption'!AO34*parameters!$B$94</f>
        <v>3.3661368482232792E-2</v>
      </c>
      <c r="AP35" s="300">
        <f>'Baseline Consumption'!AP34*parameters!$B$94</f>
        <v>3.3544222660718069E-2</v>
      </c>
      <c r="AQ35" s="300">
        <f>'Baseline Consumption'!AQ34*parameters!$B$94</f>
        <v>3.3453589406279197E-2</v>
      </c>
      <c r="AR35" s="300">
        <f>'Baseline Consumption'!AR34*parameters!$B$94</f>
        <v>3.3308768213351471E-2</v>
      </c>
      <c r="AS35" s="300">
        <f>'Baseline Consumption'!AS34*parameters!$B$94</f>
        <v>3.3179680440114781E-2</v>
      </c>
      <c r="AT35" s="300">
        <f>'Baseline Consumption'!AT34*parameters!$B$94</f>
        <v>3.3008496125851633E-2</v>
      </c>
      <c r="AU35" s="300">
        <f>'Baseline Consumption'!AU34*parameters!$B$94</f>
        <v>3.2921600654287002E-2</v>
      </c>
      <c r="AV35" s="442">
        <f t="shared" si="6"/>
        <v>0.19085454752988518</v>
      </c>
    </row>
    <row r="36" spans="1:48">
      <c r="A36" s="178" t="s">
        <v>58</v>
      </c>
      <c r="B36" s="300">
        <f>'Baseline Consumption'!B35*parameters!$B$98</f>
        <v>0</v>
      </c>
      <c r="C36" s="300">
        <f>'Baseline Consumption'!C35*parameters!$B$98</f>
        <v>0</v>
      </c>
      <c r="D36" s="300">
        <f>'Baseline Consumption'!D35*parameters!$B$98</f>
        <v>0</v>
      </c>
      <c r="E36" s="300">
        <f>'Baseline Consumption'!E35*parameters!$B$97</f>
        <v>0</v>
      </c>
      <c r="F36" s="300">
        <f>'Baseline Consumption'!F35*parameters!$B$97</f>
        <v>0</v>
      </c>
      <c r="G36" s="300">
        <f>'Baseline Consumption'!G35*parameters!$B$97</f>
        <v>0</v>
      </c>
      <c r="H36" s="300">
        <f>'Baseline Consumption'!H35*parameters!$B$97</f>
        <v>0</v>
      </c>
      <c r="I36" s="300">
        <f>'Baseline Consumption'!I35*parameters!$B$97</f>
        <v>0</v>
      </c>
      <c r="J36" s="300">
        <f>'Baseline Consumption'!J35*parameters!$B$97</f>
        <v>0</v>
      </c>
      <c r="K36" s="300">
        <f>'Baseline Consumption'!K35*parameters!$B$97</f>
        <v>0</v>
      </c>
      <c r="L36" s="300">
        <f>'Baseline Consumption'!L35*parameters!$B$97</f>
        <v>0</v>
      </c>
      <c r="M36" s="300">
        <f>'Baseline Consumption'!M35*parameters!$B$97</f>
        <v>0</v>
      </c>
      <c r="N36" s="300">
        <f>'Baseline Consumption'!N35*parameters!$B$97</f>
        <v>0</v>
      </c>
      <c r="O36" s="300">
        <f>'Baseline Consumption'!O35*parameters!$B$97</f>
        <v>0</v>
      </c>
      <c r="P36" s="300">
        <f>'Baseline Consumption'!P35*parameters!$B$97</f>
        <v>0</v>
      </c>
      <c r="Q36" s="300">
        <f>'Baseline Consumption'!Q35*parameters!$B$97</f>
        <v>0</v>
      </c>
      <c r="R36" s="300">
        <f>'Baseline Consumption'!R35*parameters!$B$97</f>
        <v>0</v>
      </c>
      <c r="S36" s="300">
        <f>'Baseline Consumption'!S35*parameters!$B$97</f>
        <v>0</v>
      </c>
      <c r="T36" s="300">
        <f>'Baseline Consumption'!T35*parameters!$B$97</f>
        <v>0</v>
      </c>
      <c r="U36" s="300">
        <f>'Baseline Consumption'!U35*parameters!$B$97</f>
        <v>0</v>
      </c>
      <c r="V36" s="300">
        <f>'Baseline Consumption'!V35*parameters!$B$97</f>
        <v>0</v>
      </c>
      <c r="W36" s="300">
        <f>'Baseline Consumption'!W35*parameters!$B$97</f>
        <v>0</v>
      </c>
      <c r="X36" s="300">
        <f>'Baseline Consumption'!X35*parameters!$B$97</f>
        <v>0</v>
      </c>
      <c r="Y36" s="300">
        <f>'Baseline Consumption'!Y35*parameters!$B$97</f>
        <v>0</v>
      </c>
      <c r="Z36" s="300">
        <f>'Baseline Consumption'!Z35*parameters!$B$97</f>
        <v>0</v>
      </c>
      <c r="AA36" s="300">
        <f>'Baseline Consumption'!AA35*parameters!$B$97</f>
        <v>0</v>
      </c>
      <c r="AB36" s="300">
        <f>'Baseline Consumption'!AB35*parameters!$B$97</f>
        <v>0</v>
      </c>
      <c r="AC36" s="300">
        <f>'Baseline Consumption'!AC35*parameters!$B$97</f>
        <v>0</v>
      </c>
      <c r="AD36" s="300">
        <f>'Baseline Consumption'!AD35*parameters!$B$97</f>
        <v>0</v>
      </c>
      <c r="AE36" s="300">
        <f>'Baseline Consumption'!AE35*parameters!$B$97</f>
        <v>0</v>
      </c>
      <c r="AF36" s="300">
        <f>'Baseline Consumption'!AF35*parameters!$B$97</f>
        <v>0</v>
      </c>
      <c r="AG36" s="300">
        <f>'Baseline Consumption'!AG35*parameters!$B$97</f>
        <v>0</v>
      </c>
      <c r="AH36" s="300">
        <f>'Baseline Consumption'!AH35*parameters!$B$97</f>
        <v>0</v>
      </c>
      <c r="AI36" s="300">
        <f>'Baseline Consumption'!AI35*parameters!$B$97</f>
        <v>0</v>
      </c>
      <c r="AJ36" s="300">
        <f>'Baseline Consumption'!AJ35*parameters!$B$97</f>
        <v>0</v>
      </c>
      <c r="AK36" s="300">
        <f>'Baseline Consumption'!AK35*parameters!$B$97</f>
        <v>0</v>
      </c>
      <c r="AL36" s="300">
        <f>'Baseline Consumption'!AL35*parameters!$B$97</f>
        <v>0</v>
      </c>
      <c r="AM36" s="300">
        <f>'Baseline Consumption'!AM35*parameters!$B$97</f>
        <v>0</v>
      </c>
      <c r="AN36" s="300">
        <f>'Baseline Consumption'!AN35*parameters!$B$97</f>
        <v>0</v>
      </c>
      <c r="AO36" s="300">
        <f>'Baseline Consumption'!AO35*parameters!$B$97</f>
        <v>0</v>
      </c>
      <c r="AP36" s="300">
        <f>'Baseline Consumption'!AP35*parameters!$B$97</f>
        <v>0</v>
      </c>
      <c r="AQ36" s="300">
        <f>'Baseline Consumption'!AQ35*parameters!$B$97</f>
        <v>0</v>
      </c>
      <c r="AR36" s="300">
        <f>'Baseline Consumption'!AR35*parameters!$B$97</f>
        <v>0</v>
      </c>
      <c r="AS36" s="300">
        <f>'Baseline Consumption'!AS35*parameters!$B$97</f>
        <v>0</v>
      </c>
      <c r="AT36" s="300">
        <f>'Baseline Consumption'!AT35*parameters!$B$97</f>
        <v>0</v>
      </c>
      <c r="AU36" s="300">
        <f>'Baseline Consumption'!AU35*parameters!$B$97</f>
        <v>0</v>
      </c>
      <c r="AV36" s="442"/>
    </row>
    <row r="37" spans="1:48" s="143" customFormat="1" ht="13">
      <c r="A37" s="475" t="s">
        <v>31</v>
      </c>
      <c r="B37" s="300">
        <f>'Baseline Consumption'!B36*parameters!$B$78</f>
        <v>5.8477902065251364</v>
      </c>
      <c r="C37" s="300">
        <f>'Baseline Consumption'!C36*parameters!$B$78</f>
        <v>5.8756500167088532</v>
      </c>
      <c r="D37" s="300">
        <f>'Baseline Consumption'!D36*parameters!$B$78</f>
        <v>5.2585708581390369</v>
      </c>
      <c r="E37" s="300">
        <f>'Baseline Consumption'!E36*parameters!$B$78</f>
        <v>4.9716626603635543</v>
      </c>
      <c r="F37" s="300">
        <f>'Baseline Consumption'!F36*parameters!$B$78</f>
        <v>4.1347556691349086</v>
      </c>
      <c r="G37" s="300">
        <f>'Baseline Consumption'!G36*parameters!$B$78</f>
        <v>4.2987696939088895</v>
      </c>
      <c r="H37" s="300">
        <f>'Baseline Consumption'!H36*parameters!$B$78</f>
        <v>4.0287149842891452</v>
      </c>
      <c r="I37" s="300">
        <f>'Baseline Consumption'!I36*parameters!$B$78</f>
        <v>4.0305432719588996</v>
      </c>
      <c r="J37" s="300">
        <f>'Baseline Consumption'!J36*parameters!$B$78</f>
        <v>4.3546488134153885</v>
      </c>
      <c r="K37" s="300">
        <f>'Baseline Consumption'!K36*parameters!$B$78</f>
        <v>4.104331300230494</v>
      </c>
      <c r="L37" s="300">
        <f>'Baseline Consumption'!L36*parameters!$B$78</f>
        <v>3.9663371331565189</v>
      </c>
      <c r="M37" s="300">
        <f>'Baseline Consumption'!M36*parameters!$B$78</f>
        <v>5.0099084864082339</v>
      </c>
      <c r="N37" s="300">
        <f>'Baseline Consumption'!N36*parameters!$B$78</f>
        <v>4.8224212930491364</v>
      </c>
      <c r="O37" s="300">
        <f>'Baseline Consumption'!O36*parameters!$B$78</f>
        <v>4.7315650063645789</v>
      </c>
      <c r="P37" s="300">
        <f>'Baseline Consumption'!P36*parameters!$B$78</f>
        <v>4.7917651945481019</v>
      </c>
      <c r="Q37" s="300">
        <f>'Baseline Consumption'!Q36*parameters!$B$78</f>
        <v>4.3050343745854436</v>
      </c>
      <c r="R37" s="300">
        <f>'Baseline Consumption'!R36*parameters!$B$78</f>
        <v>4.1730307973225491</v>
      </c>
      <c r="S37" s="300">
        <f>'Baseline Consumption'!S36*parameters!$B$78</f>
        <v>4.0252978366542926</v>
      </c>
      <c r="T37" s="300">
        <f>'Baseline Consumption'!T36*parameters!$B$78</f>
        <v>3.9099277639213814</v>
      </c>
      <c r="U37" s="300">
        <f>'Baseline Consumption'!U36*parameters!$B$78</f>
        <v>3.8995371173907305</v>
      </c>
      <c r="V37" s="300">
        <f>'Baseline Consumption'!V36*parameters!$B$78</f>
        <v>3.9399406293012769</v>
      </c>
      <c r="W37" s="300">
        <f>'Baseline Consumption'!W36*parameters!$B$78</f>
        <v>3.8267561983465526</v>
      </c>
      <c r="X37" s="300">
        <f>'Baseline Consumption'!X36*parameters!$B$78</f>
        <v>3.7099522638291056</v>
      </c>
      <c r="Y37" s="300">
        <f>'Baseline Consumption'!Y36*parameters!$B$78</f>
        <v>3.7528094514008248</v>
      </c>
      <c r="Z37" s="300">
        <f>'Baseline Consumption'!Z36*parameters!$B$78</f>
        <v>3.7444138198520558</v>
      </c>
      <c r="AA37" s="300">
        <f>'Baseline Consumption'!AA36*parameters!$B$78</f>
        <v>3.7430379080498137</v>
      </c>
      <c r="AB37" s="300">
        <f>'Baseline Consumption'!AB36*parameters!$B$78</f>
        <v>3.7598024213662713</v>
      </c>
      <c r="AC37" s="300">
        <f>'Baseline Consumption'!AC36*parameters!$B$78</f>
        <v>3.8075949276971186</v>
      </c>
      <c r="AD37" s="300">
        <f>'Baseline Consumption'!AD36*parameters!$B$78</f>
        <v>3.9011539550706482</v>
      </c>
      <c r="AE37" s="300">
        <f>'Baseline Consumption'!AE36*parameters!$B$78</f>
        <v>4.0276411886107253</v>
      </c>
      <c r="AF37" s="300">
        <f>'Baseline Consumption'!AF36*parameters!$B$78</f>
        <v>4.0468675941103216</v>
      </c>
      <c r="AG37" s="300">
        <f>'Baseline Consumption'!AG36*parameters!$B$78</f>
        <v>3.9898360318056265</v>
      </c>
      <c r="AH37" s="300">
        <f>'Baseline Consumption'!AH36*parameters!$B$78</f>
        <v>3.990179338242545</v>
      </c>
      <c r="AI37" s="300">
        <f>'Baseline Consumption'!AI36*parameters!$B$78</f>
        <v>4.0094461905164476</v>
      </c>
      <c r="AJ37" s="300">
        <f>'Baseline Consumption'!AJ36*parameters!$B$78</f>
        <v>4.1418348941446608</v>
      </c>
      <c r="AK37" s="300">
        <f>'Baseline Consumption'!AK36*parameters!$B$78</f>
        <v>4.129243860270126</v>
      </c>
      <c r="AL37" s="300">
        <f>'Baseline Consumption'!AL36*parameters!$B$78</f>
        <v>4.1815114918869627</v>
      </c>
      <c r="AM37" s="300">
        <f>'Baseline Consumption'!AM36*parameters!$B$78</f>
        <v>4.2099139424573657</v>
      </c>
      <c r="AN37" s="300">
        <f>'Baseline Consumption'!AN36*parameters!$B$78</f>
        <v>4.2797292806351512</v>
      </c>
      <c r="AO37" s="300">
        <f>'Baseline Consumption'!AO36*parameters!$B$78</f>
        <v>4.2679022477858251</v>
      </c>
      <c r="AP37" s="300">
        <f>'Baseline Consumption'!AP36*parameters!$B$78</f>
        <v>4.3842060210078841</v>
      </c>
      <c r="AQ37" s="300">
        <f>'Baseline Consumption'!AQ36*parameters!$B$78</f>
        <v>4.4209047774842585</v>
      </c>
      <c r="AR37" s="300">
        <f>'Baseline Consumption'!AR36*parameters!$B$78</f>
        <v>4.4504582296568804</v>
      </c>
      <c r="AS37" s="300">
        <f>'Baseline Consumption'!AS36*parameters!$B$78</f>
        <v>4.487517198824297</v>
      </c>
      <c r="AT37" s="300">
        <f>'Baseline Consumption'!AT36*parameters!$B$78</f>
        <v>4.5283271140713426</v>
      </c>
      <c r="AU37" s="300">
        <f>'Baseline Consumption'!AU36*parameters!$B$78</f>
        <v>4.639779011539952</v>
      </c>
      <c r="AV37" s="442">
        <f t="shared" si="6"/>
        <v>7.7756553799118708E-2</v>
      </c>
    </row>
    <row r="38" spans="1:48" s="143" customFormat="1" ht="13">
      <c r="A38" s="475" t="s">
        <v>24</v>
      </c>
      <c r="B38" s="300">
        <f>'Baseline Consumption'!B37*parameters!$B$76</f>
        <v>3.6529515000000021</v>
      </c>
      <c r="C38" s="300">
        <f>'Baseline Consumption'!C37*parameters!$B$76</f>
        <v>3.8666106966666689</v>
      </c>
      <c r="D38" s="300">
        <f>'Baseline Consumption'!D37*parameters!$B$76</f>
        <v>4.0026479900000025</v>
      </c>
      <c r="E38" s="300">
        <f>'Baseline Consumption'!E37*parameters!$B$76</f>
        <v>4.139958643333336</v>
      </c>
      <c r="F38" s="300">
        <f>'Baseline Consumption'!F37*parameters!$B$76</f>
        <v>3.8955265800000025</v>
      </c>
      <c r="G38" s="300">
        <f>'Baseline Consumption'!G37*parameters!$B$76</f>
        <v>3.9057134600000025</v>
      </c>
      <c r="H38" s="300">
        <f>'Baseline Consumption'!H37*parameters!$B$76</f>
        <v>4.165691126666669</v>
      </c>
      <c r="I38" s="300">
        <f>'Baseline Consumption'!I37*parameters!$B$76</f>
        <v>4.2705841566666694</v>
      </c>
      <c r="J38" s="300">
        <f>'Baseline Consumption'!J37*parameters!$B$76</f>
        <v>4.4339456333333365</v>
      </c>
      <c r="K38" s="300">
        <f>'Baseline Consumption'!K37*parameters!$B$76</f>
        <v>4.402005520000003</v>
      </c>
      <c r="L38" s="300">
        <f>'Baseline Consumption'!L37*parameters!$B$76</f>
        <v>4.3182290433333366</v>
      </c>
      <c r="M38" s="300">
        <f>'Baseline Consumption'!M37*parameters!$B$76</f>
        <v>4.5371939066666691</v>
      </c>
      <c r="N38" s="300">
        <f>'Baseline Consumption'!N37*parameters!$B$76</f>
        <v>4.2793385066666696</v>
      </c>
      <c r="O38" s="300">
        <f>'Baseline Consumption'!O37*parameters!$B$76</f>
        <v>4.1500924666666688</v>
      </c>
      <c r="P38" s="300">
        <f>'Baseline Consumption'!P37*parameters!$B$76</f>
        <v>3.8647184442642044</v>
      </c>
      <c r="Q38" s="300">
        <f>'Baseline Consumption'!Q37*parameters!$B$76</f>
        <v>4.2065202423967749</v>
      </c>
      <c r="R38" s="300">
        <f>'Baseline Consumption'!R37*parameters!$B$76</f>
        <v>4.2382947744407211</v>
      </c>
      <c r="S38" s="300">
        <f>'Baseline Consumption'!S37*parameters!$B$76</f>
        <v>4.3316339702605244</v>
      </c>
      <c r="T38" s="300">
        <f>'Baseline Consumption'!T37*parameters!$B$76</f>
        <v>4.3839618740126909</v>
      </c>
      <c r="U38" s="300">
        <f>'Baseline Consumption'!U37*parameters!$B$76</f>
        <v>4.8038575355178832</v>
      </c>
      <c r="V38" s="300">
        <f>'Baseline Consumption'!V37*parameters!$B$76</f>
        <v>4.8367188081642718</v>
      </c>
      <c r="W38" s="300">
        <f>'Baseline Consumption'!W37*parameters!$B$76</f>
        <v>5.0371730058360757</v>
      </c>
      <c r="X38" s="300">
        <f>'Baseline Consumption'!X37*parameters!$B$76</f>
        <v>4.9827387727454635</v>
      </c>
      <c r="Y38" s="300">
        <f>'Baseline Consumption'!Y37*parameters!$B$76</f>
        <v>5.0585249935008703</v>
      </c>
      <c r="Z38" s="300">
        <f>'Baseline Consumption'!Z37*parameters!$B$76</f>
        <v>4.8320837570388768</v>
      </c>
      <c r="AA38" s="300">
        <f>'Baseline Consumption'!AA37*parameters!$B$76</f>
        <v>4.8937534013133739</v>
      </c>
      <c r="AB38" s="300">
        <f>'Baseline Consumption'!AB37*parameters!$B$76</f>
        <v>4.8744718016371733</v>
      </c>
      <c r="AC38" s="300">
        <f>'Baseline Consumption'!AC37*parameters!$B$76</f>
        <v>4.8493175302978804</v>
      </c>
      <c r="AD38" s="300">
        <f>'Baseline Consumption'!AD37*parameters!$B$76</f>
        <v>4.8414419203325645</v>
      </c>
      <c r="AE38" s="300">
        <f>'Baseline Consumption'!AE37*parameters!$B$76</f>
        <v>4.8810639232697781</v>
      </c>
      <c r="AF38" s="300">
        <f>'Baseline Consumption'!AF37*parameters!$B$76</f>
        <v>4.8731094144406928</v>
      </c>
      <c r="AG38" s="300">
        <f>'Baseline Consumption'!AG37*parameters!$B$76</f>
        <v>4.9141062114363372</v>
      </c>
      <c r="AH38" s="300">
        <f>'Baseline Consumption'!AH37*parameters!$B$76</f>
        <v>4.9326812958857804</v>
      </c>
      <c r="AI38" s="300">
        <f>'Baseline Consumption'!AI37*parameters!$B$76</f>
        <v>4.9902036180708924</v>
      </c>
      <c r="AJ38" s="300">
        <f>'Baseline Consumption'!AJ37*parameters!$B$76</f>
        <v>5.0206315882021482</v>
      </c>
      <c r="AK38" s="300">
        <f>'Baseline Consumption'!AK37*parameters!$B$76</f>
        <v>5.0548234312923377</v>
      </c>
      <c r="AL38" s="300">
        <f>'Baseline Consumption'!AL37*parameters!$B$76</f>
        <v>5.1161520591823288</v>
      </c>
      <c r="AM38" s="300">
        <f>'Baseline Consumption'!AM37*parameters!$B$76</f>
        <v>5.1289959863543144</v>
      </c>
      <c r="AN38" s="300">
        <f>'Baseline Consumption'!AN37*parameters!$B$76</f>
        <v>5.1853870513558959</v>
      </c>
      <c r="AO38" s="300">
        <f>'Baseline Consumption'!AO37*parameters!$B$76</f>
        <v>5.2740014860790732</v>
      </c>
      <c r="AP38" s="300">
        <f>'Baseline Consumption'!AP37*parameters!$B$76</f>
        <v>5.4165060714726145</v>
      </c>
      <c r="AQ38" s="300">
        <f>'Baseline Consumption'!AQ37*parameters!$B$76</f>
        <v>5.4419080311566956</v>
      </c>
      <c r="AR38" s="300">
        <f>'Baseline Consumption'!AR37*parameters!$B$76</f>
        <v>5.5048039957611037</v>
      </c>
      <c r="AS38" s="300">
        <f>'Baseline Consumption'!AS37*parameters!$B$76</f>
        <v>5.5778439611444943</v>
      </c>
      <c r="AT38" s="300">
        <f>'Baseline Consumption'!AT37*parameters!$B$76</f>
        <v>5.6316019780069793</v>
      </c>
      <c r="AU38" s="300">
        <f>'Baseline Consumption'!AU37*parameters!$B$76</f>
        <v>5.6771941470885228</v>
      </c>
      <c r="AV38" s="442">
        <f t="shared" si="6"/>
        <v>0.34961769347240629</v>
      </c>
    </row>
    <row r="39" spans="1:48">
      <c r="A39" s="178" t="s">
        <v>59</v>
      </c>
      <c r="B39" s="300">
        <f>'Baseline Consumption'!B38*parameters!$B$76</f>
        <v>0</v>
      </c>
      <c r="C39" s="300">
        <f>'Baseline Consumption'!C38*parameters!$B$76</f>
        <v>0</v>
      </c>
      <c r="D39" s="300">
        <f>'Baseline Consumption'!D38*parameters!$B$76</f>
        <v>0</v>
      </c>
      <c r="E39" s="300">
        <f>'Baseline Consumption'!E38*parameters!$B$76</f>
        <v>0</v>
      </c>
      <c r="F39" s="300">
        <f>'Baseline Consumption'!F38*parameters!$B$76</f>
        <v>0</v>
      </c>
      <c r="G39" s="300">
        <f>'Baseline Consumption'!G38*parameters!$B$76</f>
        <v>0</v>
      </c>
      <c r="H39" s="300">
        <f>'Baseline Consumption'!H38*parameters!$B$76</f>
        <v>0</v>
      </c>
      <c r="I39" s="300">
        <f>'Baseline Consumption'!I38*parameters!$B$76</f>
        <v>0</v>
      </c>
      <c r="J39" s="300">
        <f>'Baseline Consumption'!J38*parameters!$B$76</f>
        <v>0</v>
      </c>
      <c r="K39" s="300">
        <f>'Baseline Consumption'!K38*parameters!$B$76</f>
        <v>0</v>
      </c>
      <c r="L39" s="300">
        <f>'Baseline Consumption'!L38*parameters!$B$76</f>
        <v>0</v>
      </c>
      <c r="M39" s="300">
        <f>'Baseline Consumption'!M38*parameters!$B$76</f>
        <v>0</v>
      </c>
      <c r="N39" s="300">
        <f>'Baseline Consumption'!N38*parameters!$B$76</f>
        <v>0</v>
      </c>
      <c r="O39" s="300">
        <f>'Baseline Consumption'!O38*parameters!$B$76</f>
        <v>0</v>
      </c>
      <c r="P39" s="300">
        <f>'Baseline Consumption'!P38*parameters!$B$76</f>
        <v>0</v>
      </c>
      <c r="Q39" s="300">
        <f>'Baseline Consumption'!Q38*parameters!$B$76</f>
        <v>0</v>
      </c>
      <c r="R39" s="300">
        <f>'Baseline Consumption'!R38*parameters!$B$76</f>
        <v>0</v>
      </c>
      <c r="S39" s="300">
        <f>'Baseline Consumption'!S38*parameters!$B$76</f>
        <v>0</v>
      </c>
      <c r="T39" s="300">
        <f>'Baseline Consumption'!T38*parameters!$B$76</f>
        <v>0</v>
      </c>
      <c r="U39" s="300">
        <f>'Baseline Consumption'!U38*parameters!$B$76</f>
        <v>0</v>
      </c>
      <c r="V39" s="300">
        <f>'Baseline Consumption'!V38*parameters!$B$76</f>
        <v>0</v>
      </c>
      <c r="W39" s="300">
        <f>'Baseline Consumption'!W38*parameters!$B$76</f>
        <v>0</v>
      </c>
      <c r="X39" s="300">
        <f>'Baseline Consumption'!X38*parameters!$B$76</f>
        <v>0</v>
      </c>
      <c r="Y39" s="300">
        <f>'Baseline Consumption'!Y38*parameters!$B$76</f>
        <v>0</v>
      </c>
      <c r="Z39" s="300">
        <f>'Baseline Consumption'!Z38*parameters!$B$76</f>
        <v>0</v>
      </c>
      <c r="AA39" s="300">
        <f>'Baseline Consumption'!AA38*parameters!$B$76</f>
        <v>0</v>
      </c>
      <c r="AB39" s="300">
        <f>'Baseline Consumption'!AB38*parameters!$B$76</f>
        <v>0</v>
      </c>
      <c r="AC39" s="300">
        <f>'Baseline Consumption'!AC38*parameters!$B$76</f>
        <v>0</v>
      </c>
      <c r="AD39" s="300">
        <f>'Baseline Consumption'!AD38*parameters!$B$76</f>
        <v>0</v>
      </c>
      <c r="AE39" s="300">
        <f>'Baseline Consumption'!AE38*parameters!$B$76</f>
        <v>0</v>
      </c>
      <c r="AF39" s="300">
        <f>'Baseline Consumption'!AF38*parameters!$B$76</f>
        <v>0</v>
      </c>
      <c r="AG39" s="300">
        <f>'Baseline Consumption'!AG38*parameters!$B$76</f>
        <v>0</v>
      </c>
      <c r="AH39" s="300">
        <f>'Baseline Consumption'!AH38*parameters!$B$76</f>
        <v>0</v>
      </c>
      <c r="AI39" s="300">
        <f>'Baseline Consumption'!AI38*parameters!$B$76</f>
        <v>0</v>
      </c>
      <c r="AJ39" s="300">
        <f>'Baseline Consumption'!AJ38*parameters!$B$76</f>
        <v>0</v>
      </c>
      <c r="AK39" s="300">
        <f>'Baseline Consumption'!AK38*parameters!$B$76</f>
        <v>0</v>
      </c>
      <c r="AL39" s="300">
        <f>'Baseline Consumption'!AL38*parameters!$B$76</f>
        <v>0</v>
      </c>
      <c r="AM39" s="300">
        <f>'Baseline Consumption'!AM38*parameters!$B$76</f>
        <v>0</v>
      </c>
      <c r="AN39" s="300">
        <f>'Baseline Consumption'!AN38*parameters!$B$76</f>
        <v>0</v>
      </c>
      <c r="AO39" s="300">
        <f>'Baseline Consumption'!AO38*parameters!$B$76</f>
        <v>0</v>
      </c>
      <c r="AP39" s="300">
        <f>'Baseline Consumption'!AP38*parameters!$B$76</f>
        <v>0</v>
      </c>
      <c r="AQ39" s="300">
        <f>'Baseline Consumption'!AQ38*parameters!$B$76</f>
        <v>0</v>
      </c>
      <c r="AR39" s="300">
        <f>'Baseline Consumption'!AR38*parameters!$B$76</f>
        <v>0</v>
      </c>
      <c r="AS39" s="300">
        <f>'Baseline Consumption'!AS38*parameters!$B$76</f>
        <v>0</v>
      </c>
      <c r="AT39" s="300">
        <f>'Baseline Consumption'!AT38*parameters!$B$76</f>
        <v>0</v>
      </c>
      <c r="AU39" s="300">
        <f>'Baseline Consumption'!AU38*parameters!$B$76</f>
        <v>0</v>
      </c>
      <c r="AV39" s="442"/>
    </row>
    <row r="40" spans="1:48">
      <c r="A40" s="178" t="s">
        <v>33</v>
      </c>
      <c r="B40" s="300">
        <f>'Baseline Consumption'!B39*parameters!$B$76</f>
        <v>0</v>
      </c>
      <c r="C40" s="300">
        <f>'Baseline Consumption'!C39*parameters!$B$76</f>
        <v>0</v>
      </c>
      <c r="D40" s="300">
        <f>'Baseline Consumption'!D39*parameters!$B$76</f>
        <v>0</v>
      </c>
      <c r="E40" s="300">
        <f>'Baseline Consumption'!E39*parameters!$B$76</f>
        <v>0</v>
      </c>
      <c r="F40" s="300">
        <f>'Baseline Consumption'!F39*parameters!$B$76</f>
        <v>0</v>
      </c>
      <c r="G40" s="300">
        <f>'Baseline Consumption'!G39*parameters!$B$76</f>
        <v>0</v>
      </c>
      <c r="H40" s="300">
        <f>'Baseline Consumption'!H39*parameters!$B$76</f>
        <v>0</v>
      </c>
      <c r="I40" s="300">
        <f>'Baseline Consumption'!I39*parameters!$B$76</f>
        <v>0</v>
      </c>
      <c r="J40" s="300">
        <f>'Baseline Consumption'!J39*parameters!$B$76</f>
        <v>0</v>
      </c>
      <c r="K40" s="300">
        <f>'Baseline Consumption'!K39*parameters!$B$76</f>
        <v>0</v>
      </c>
      <c r="L40" s="300">
        <f>'Baseline Consumption'!L39*parameters!$B$76</f>
        <v>0</v>
      </c>
      <c r="M40" s="300">
        <f>'Baseline Consumption'!M39*parameters!$B$76</f>
        <v>0</v>
      </c>
      <c r="N40" s="300">
        <f>'Baseline Consumption'!N39*parameters!$B$76</f>
        <v>0</v>
      </c>
      <c r="O40" s="300">
        <f>'Baseline Consumption'!O39*parameters!$B$76</f>
        <v>0</v>
      </c>
      <c r="P40" s="300">
        <f>'Baseline Consumption'!P39*parameters!$B$76</f>
        <v>0</v>
      </c>
      <c r="Q40" s="300">
        <f>'Baseline Consumption'!Q39*parameters!$B$76</f>
        <v>0</v>
      </c>
      <c r="R40" s="300">
        <f>'Baseline Consumption'!R39*parameters!$B$76</f>
        <v>0</v>
      </c>
      <c r="S40" s="300">
        <f>'Baseline Consumption'!S39*parameters!$B$76</f>
        <v>0</v>
      </c>
      <c r="T40" s="300">
        <f>'Baseline Consumption'!T39*parameters!$B$76</f>
        <v>0</v>
      </c>
      <c r="U40" s="300">
        <f>'Baseline Consumption'!U39*parameters!$B$76</f>
        <v>0</v>
      </c>
      <c r="V40" s="300">
        <f>'Baseline Consumption'!V39*parameters!$B$76</f>
        <v>0</v>
      </c>
      <c r="W40" s="300">
        <f>'Baseline Consumption'!W39*parameters!$B$76</f>
        <v>0</v>
      </c>
      <c r="X40" s="300">
        <f>'Baseline Consumption'!X39*parameters!$B$76</f>
        <v>0</v>
      </c>
      <c r="Y40" s="300">
        <f>'Baseline Consumption'!Y39*parameters!$B$76</f>
        <v>0</v>
      </c>
      <c r="Z40" s="300">
        <f>'Baseline Consumption'!Z39*parameters!$B$76</f>
        <v>0</v>
      </c>
      <c r="AA40" s="300">
        <f>'Baseline Consumption'!AA39*parameters!$B$76</f>
        <v>0</v>
      </c>
      <c r="AB40" s="300">
        <f>'Baseline Consumption'!AB39*parameters!$B$76</f>
        <v>0</v>
      </c>
      <c r="AC40" s="300">
        <f>'Baseline Consumption'!AC39*parameters!$B$76</f>
        <v>0</v>
      </c>
      <c r="AD40" s="300">
        <f>'Baseline Consumption'!AD39*parameters!$B$76</f>
        <v>0</v>
      </c>
      <c r="AE40" s="300">
        <f>'Baseline Consumption'!AE39*parameters!$B$76</f>
        <v>0</v>
      </c>
      <c r="AF40" s="300">
        <f>'Baseline Consumption'!AF39*parameters!$B$76</f>
        <v>0</v>
      </c>
      <c r="AG40" s="300">
        <f>'Baseline Consumption'!AG39*parameters!$B$76</f>
        <v>0</v>
      </c>
      <c r="AH40" s="300">
        <f>'Baseline Consumption'!AH39*parameters!$B$76</f>
        <v>0</v>
      </c>
      <c r="AI40" s="300">
        <f>'Baseline Consumption'!AI39*parameters!$B$76</f>
        <v>0</v>
      </c>
      <c r="AJ40" s="300">
        <f>'Baseline Consumption'!AJ39*parameters!$B$76</f>
        <v>0</v>
      </c>
      <c r="AK40" s="300">
        <f>'Baseline Consumption'!AK39*parameters!$B$76</f>
        <v>0</v>
      </c>
      <c r="AL40" s="300">
        <f>'Baseline Consumption'!AL39*parameters!$B$76</f>
        <v>0</v>
      </c>
      <c r="AM40" s="300">
        <f>'Baseline Consumption'!AM39*parameters!$B$76</f>
        <v>0</v>
      </c>
      <c r="AN40" s="300">
        <f>'Baseline Consumption'!AN39*parameters!$B$76</f>
        <v>0</v>
      </c>
      <c r="AO40" s="300">
        <f>'Baseline Consumption'!AO39*parameters!$B$76</f>
        <v>0</v>
      </c>
      <c r="AP40" s="300">
        <f>'Baseline Consumption'!AP39*parameters!$B$76</f>
        <v>0</v>
      </c>
      <c r="AQ40" s="300">
        <f>'Baseline Consumption'!AQ39*parameters!$B$76</f>
        <v>0</v>
      </c>
      <c r="AR40" s="300">
        <f>'Baseline Consumption'!AR39*parameters!$B$76</f>
        <v>0</v>
      </c>
      <c r="AS40" s="300">
        <f>'Baseline Consumption'!AS39*parameters!$B$76</f>
        <v>0</v>
      </c>
      <c r="AT40" s="300">
        <f>'Baseline Consumption'!AT39*parameters!$B$76</f>
        <v>0</v>
      </c>
      <c r="AU40" s="300">
        <f>'Baseline Consumption'!AU39*parameters!$B$76</f>
        <v>0</v>
      </c>
      <c r="AV40" s="442"/>
    </row>
    <row r="41" spans="1:48">
      <c r="A41" s="178" t="s">
        <v>60</v>
      </c>
      <c r="B41" s="300">
        <f>SUM(B38:B40)</f>
        <v>3.6529515000000021</v>
      </c>
      <c r="C41" s="300">
        <f>SUM(C38:C40)</f>
        <v>3.8666106966666689</v>
      </c>
      <c r="D41" s="300">
        <f>SUM(D38:D40)</f>
        <v>4.0026479900000025</v>
      </c>
      <c r="E41" s="300">
        <f t="shared" ref="E41:AF41" si="7">SUM(E38:E40)</f>
        <v>4.139958643333336</v>
      </c>
      <c r="F41" s="300">
        <f t="shared" si="7"/>
        <v>3.8955265800000025</v>
      </c>
      <c r="G41" s="300">
        <f t="shared" si="7"/>
        <v>3.9057134600000025</v>
      </c>
      <c r="H41" s="300">
        <f t="shared" si="7"/>
        <v>4.165691126666669</v>
      </c>
      <c r="I41" s="300">
        <f t="shared" si="7"/>
        <v>4.2705841566666694</v>
      </c>
      <c r="J41" s="300">
        <f t="shared" si="7"/>
        <v>4.4339456333333365</v>
      </c>
      <c r="K41" s="300">
        <f t="shared" si="7"/>
        <v>4.402005520000003</v>
      </c>
      <c r="L41" s="300">
        <f t="shared" si="7"/>
        <v>4.3182290433333366</v>
      </c>
      <c r="M41" s="300">
        <f t="shared" si="7"/>
        <v>4.5371939066666691</v>
      </c>
      <c r="N41" s="300">
        <f t="shared" si="7"/>
        <v>4.2793385066666696</v>
      </c>
      <c r="O41" s="300">
        <f t="shared" si="7"/>
        <v>4.1500924666666688</v>
      </c>
      <c r="P41" s="300">
        <f t="shared" si="7"/>
        <v>3.8647184442642044</v>
      </c>
      <c r="Q41" s="300">
        <f t="shared" si="7"/>
        <v>4.2065202423967749</v>
      </c>
      <c r="R41" s="300">
        <f t="shared" si="7"/>
        <v>4.2382947744407211</v>
      </c>
      <c r="S41" s="300">
        <f t="shared" si="7"/>
        <v>4.3316339702605244</v>
      </c>
      <c r="T41" s="300">
        <f t="shared" si="7"/>
        <v>4.3839618740126909</v>
      </c>
      <c r="U41" s="300">
        <f t="shared" si="7"/>
        <v>4.8038575355178832</v>
      </c>
      <c r="V41" s="300">
        <f t="shared" si="7"/>
        <v>4.8367188081642718</v>
      </c>
      <c r="W41" s="300">
        <f t="shared" si="7"/>
        <v>5.0371730058360757</v>
      </c>
      <c r="X41" s="300">
        <f t="shared" si="7"/>
        <v>4.9827387727454635</v>
      </c>
      <c r="Y41" s="300">
        <f t="shared" si="7"/>
        <v>5.0585249935008703</v>
      </c>
      <c r="Z41" s="300">
        <f t="shared" si="7"/>
        <v>4.8320837570388768</v>
      </c>
      <c r="AA41" s="300">
        <f t="shared" si="7"/>
        <v>4.8937534013133739</v>
      </c>
      <c r="AB41" s="300">
        <f t="shared" si="7"/>
        <v>4.8744718016371733</v>
      </c>
      <c r="AC41" s="300">
        <f t="shared" si="7"/>
        <v>4.8493175302978804</v>
      </c>
      <c r="AD41" s="300">
        <f t="shared" si="7"/>
        <v>4.8414419203325645</v>
      </c>
      <c r="AE41" s="300">
        <f t="shared" si="7"/>
        <v>4.8810639232697781</v>
      </c>
      <c r="AF41" s="300">
        <f t="shared" si="7"/>
        <v>4.8731094144406928</v>
      </c>
      <c r="AG41" s="300">
        <f>SUM(AG38:AG40)</f>
        <v>4.9141062114363372</v>
      </c>
      <c r="AH41" s="300">
        <f>SUM(AH38:AH40)</f>
        <v>4.9326812958857804</v>
      </c>
      <c r="AI41" s="300">
        <f>SUM(AI38:AI40)</f>
        <v>4.9902036180708924</v>
      </c>
      <c r="AJ41" s="300">
        <f>SUM(AJ38:AJ40)</f>
        <v>5.0206315882021482</v>
      </c>
      <c r="AK41" s="300">
        <f>SUM(AK38:AK40)</f>
        <v>5.0548234312923377</v>
      </c>
      <c r="AL41" s="300">
        <f t="shared" ref="AL41:AU41" si="8">SUM(AL38:AL40)</f>
        <v>5.1161520591823288</v>
      </c>
      <c r="AM41" s="300">
        <f t="shared" si="8"/>
        <v>5.1289959863543144</v>
      </c>
      <c r="AN41" s="300">
        <f t="shared" si="8"/>
        <v>5.1853870513558959</v>
      </c>
      <c r="AO41" s="300">
        <f t="shared" si="8"/>
        <v>5.2740014860790732</v>
      </c>
      <c r="AP41" s="300">
        <f t="shared" si="8"/>
        <v>5.4165060714726145</v>
      </c>
      <c r="AQ41" s="300">
        <f t="shared" si="8"/>
        <v>5.4419080311566956</v>
      </c>
      <c r="AR41" s="300">
        <f t="shared" si="8"/>
        <v>5.5048039957611037</v>
      </c>
      <c r="AS41" s="300">
        <f t="shared" si="8"/>
        <v>5.5778439611444943</v>
      </c>
      <c r="AT41" s="300">
        <f t="shared" si="8"/>
        <v>5.6316019780069793</v>
      </c>
      <c r="AU41" s="300">
        <f t="shared" si="8"/>
        <v>5.6771941470885228</v>
      </c>
      <c r="AV41" s="442">
        <f t="shared" si="6"/>
        <v>0.34961769347240629</v>
      </c>
    </row>
    <row r="42" spans="1:48">
      <c r="A42" s="178" t="s">
        <v>34</v>
      </c>
      <c r="B42" s="300">
        <f>'Baseline Consumption'!B41*parameters!$B$79</f>
        <v>0</v>
      </c>
      <c r="C42" s="300">
        <f>'Baseline Consumption'!C41*parameters!$B$79</f>
        <v>0</v>
      </c>
      <c r="D42" s="300">
        <f>'Baseline Consumption'!D41*parameters!$B$79</f>
        <v>0</v>
      </c>
      <c r="E42" s="300">
        <f>'Baseline Consumption'!E41*parameters!$B$79</f>
        <v>0</v>
      </c>
      <c r="F42" s="300">
        <f>'Baseline Consumption'!F41*parameters!$B$79</f>
        <v>8.5336161511314094E-4</v>
      </c>
      <c r="G42" s="300">
        <f>'Baseline Consumption'!G41*parameters!$B$79</f>
        <v>0</v>
      </c>
      <c r="H42" s="300">
        <f>'Baseline Consumption'!H41*parameters!$B$79</f>
        <v>0</v>
      </c>
      <c r="I42" s="300">
        <f>'Baseline Consumption'!I41*parameters!$B$79</f>
        <v>0</v>
      </c>
      <c r="J42" s="300">
        <f>'Baseline Consumption'!J41*parameters!$B$79</f>
        <v>0</v>
      </c>
      <c r="K42" s="300">
        <f>'Baseline Consumption'!K41*parameters!$B$79</f>
        <v>0</v>
      </c>
      <c r="L42" s="300">
        <f>'Baseline Consumption'!L41*parameters!$B$79</f>
        <v>0</v>
      </c>
      <c r="M42" s="300">
        <f>'Baseline Consumption'!M41*parameters!$B$79</f>
        <v>0</v>
      </c>
      <c r="N42" s="300">
        <f>'Baseline Consumption'!N41*parameters!$B$79</f>
        <v>0</v>
      </c>
      <c r="O42" s="300">
        <f>'Baseline Consumption'!O41*parameters!$B$79</f>
        <v>0</v>
      </c>
      <c r="P42" s="300">
        <f>'Baseline Consumption'!P41*parameters!$B$79</f>
        <v>0</v>
      </c>
      <c r="Q42" s="300">
        <f>'Baseline Consumption'!Q41*parameters!$B$79</f>
        <v>0</v>
      </c>
      <c r="R42" s="300">
        <f>'Baseline Consumption'!R41*parameters!$B$79</f>
        <v>0</v>
      </c>
      <c r="S42" s="300">
        <f>'Baseline Consumption'!S41*parameters!$B$79</f>
        <v>0</v>
      </c>
      <c r="T42" s="300">
        <f>'Baseline Consumption'!T41*parameters!$B$79</f>
        <v>0</v>
      </c>
      <c r="U42" s="300">
        <f>'Baseline Consumption'!U41*parameters!$B$79</f>
        <v>0</v>
      </c>
      <c r="V42" s="300">
        <f>'Baseline Consumption'!V41*parameters!$B$79</f>
        <v>0</v>
      </c>
      <c r="W42" s="300">
        <f>'Baseline Consumption'!W41*parameters!$B$79</f>
        <v>0</v>
      </c>
      <c r="X42" s="300">
        <f>'Baseline Consumption'!X41*parameters!$B$79</f>
        <v>0</v>
      </c>
      <c r="Y42" s="300">
        <f>'Baseline Consumption'!Y41*parameters!$B$79</f>
        <v>0</v>
      </c>
      <c r="Z42" s="300">
        <f>'Baseline Consumption'!Z41*parameters!$B$79</f>
        <v>0</v>
      </c>
      <c r="AA42" s="300">
        <f>'Baseline Consumption'!AA41*parameters!$B$79</f>
        <v>0</v>
      </c>
      <c r="AB42" s="300">
        <f>'Baseline Consumption'!AB41*parameters!$B$79</f>
        <v>0</v>
      </c>
      <c r="AC42" s="300">
        <f>'Baseline Consumption'!AC41*parameters!$B$79</f>
        <v>0</v>
      </c>
      <c r="AD42" s="300">
        <f>'Baseline Consumption'!AD41*parameters!$B$79</f>
        <v>0</v>
      </c>
      <c r="AE42" s="300">
        <f>'Baseline Consumption'!AE41*parameters!$B$79</f>
        <v>0</v>
      </c>
      <c r="AF42" s="300">
        <f>'Baseline Consumption'!AF41*parameters!$B$79</f>
        <v>0</v>
      </c>
      <c r="AG42" s="300">
        <f>'Baseline Consumption'!AG41*parameters!$B$79</f>
        <v>0</v>
      </c>
      <c r="AH42" s="300">
        <f>'Baseline Consumption'!AH41*parameters!$B$79</f>
        <v>0</v>
      </c>
      <c r="AI42" s="300">
        <f>'Baseline Consumption'!AI41*parameters!$B$79</f>
        <v>0</v>
      </c>
      <c r="AJ42" s="300">
        <f>'Baseline Consumption'!AJ41*parameters!$B$79</f>
        <v>0</v>
      </c>
      <c r="AK42" s="300">
        <f>'Baseline Consumption'!AK41*parameters!$B$79</f>
        <v>0</v>
      </c>
      <c r="AL42" s="300">
        <f>'Baseline Consumption'!AL41*parameters!$B$79</f>
        <v>0</v>
      </c>
      <c r="AM42" s="300">
        <f>'Baseline Consumption'!AM41*parameters!$B$79</f>
        <v>0</v>
      </c>
      <c r="AN42" s="300">
        <f>'Baseline Consumption'!AN41*parameters!$B$79</f>
        <v>0</v>
      </c>
      <c r="AO42" s="300">
        <f>'Baseline Consumption'!AO41*parameters!$B$79</f>
        <v>0</v>
      </c>
      <c r="AP42" s="300">
        <f>'Baseline Consumption'!AP41*parameters!$B$79</f>
        <v>0</v>
      </c>
      <c r="AQ42" s="300">
        <f>'Baseline Consumption'!AQ41*parameters!$B$79</f>
        <v>0</v>
      </c>
      <c r="AR42" s="300">
        <f>'Baseline Consumption'!AR41*parameters!$B$79</f>
        <v>0</v>
      </c>
      <c r="AS42" s="300">
        <f>'Baseline Consumption'!AS41*parameters!$B$79</f>
        <v>0</v>
      </c>
      <c r="AT42" s="300">
        <f>'Baseline Consumption'!AT41*parameters!$B$79</f>
        <v>0</v>
      </c>
      <c r="AU42" s="300">
        <f>'Baseline Consumption'!AU41*parameters!$B$79</f>
        <v>0</v>
      </c>
      <c r="AV42" s="442"/>
    </row>
    <row r="43" spans="1:48">
      <c r="A43" s="178" t="s">
        <v>35</v>
      </c>
      <c r="B43" s="300">
        <f>'Baseline Consumption'!B42*parameters!$B$79</f>
        <v>0.33890495067688509</v>
      </c>
      <c r="C43" s="300">
        <f>'Baseline Consumption'!C42*parameters!$B$79</f>
        <v>0.33503363630557448</v>
      </c>
      <c r="D43" s="300">
        <f>'Baseline Consumption'!D42*parameters!$B$79</f>
        <v>0.34107373759601411</v>
      </c>
      <c r="E43" s="300">
        <f>'Baseline Consumption'!E42*parameters!$B$79</f>
        <v>0.32232687290844925</v>
      </c>
      <c r="F43" s="300">
        <f>'Baseline Consumption'!F42*parameters!$B$79</f>
        <v>0.26311983132655181</v>
      </c>
      <c r="G43" s="300">
        <f>'Baseline Consumption'!G42*parameters!$B$79</f>
        <v>0.26589664293128507</v>
      </c>
      <c r="H43" s="300">
        <f>'Baseline Consumption'!H42*parameters!$B$79</f>
        <v>0.27510753020552214</v>
      </c>
      <c r="I43" s="300">
        <f>'Baseline Consumption'!I42*parameters!$B$79</f>
        <v>0.24381760431804025</v>
      </c>
      <c r="J43" s="300">
        <f>'Baseline Consumption'!J42*parameters!$B$79</f>
        <v>0.22349947062487024</v>
      </c>
      <c r="K43" s="300">
        <f>'Baseline Consumption'!K42*parameters!$B$79</f>
        <v>0.24145392809840152</v>
      </c>
      <c r="L43" s="300">
        <f>'Baseline Consumption'!L42*parameters!$B$79</f>
        <v>0.23891416138675528</v>
      </c>
      <c r="M43" s="300">
        <f>'Baseline Consumption'!M42*parameters!$B$79</f>
        <v>9.6345592609171235E-2</v>
      </c>
      <c r="N43" s="300">
        <f>'Baseline Consumption'!N42*parameters!$B$79</f>
        <v>0.1701519160175467</v>
      </c>
      <c r="O43" s="300">
        <f>'Baseline Consumption'!O42*parameters!$B$79</f>
        <v>0.15534095075060181</v>
      </c>
      <c r="P43" s="300">
        <f>'Baseline Consumption'!P42*parameters!$B$79</f>
        <v>0.15296614659117749</v>
      </c>
      <c r="Q43" s="300">
        <f>'Baseline Consumption'!Q42*parameters!$B$79</f>
        <v>0.16046272463898426</v>
      </c>
      <c r="R43" s="300">
        <f>'Baseline Consumption'!R42*parameters!$B$79</f>
        <v>0.16437783985298374</v>
      </c>
      <c r="S43" s="300">
        <f>'Baseline Consumption'!S42*parameters!$B$79</f>
        <v>0.16593390073856609</v>
      </c>
      <c r="T43" s="300">
        <f>'Baseline Consumption'!T42*parameters!$B$79</f>
        <v>0.16745377277016429</v>
      </c>
      <c r="U43" s="300">
        <f>'Baseline Consumption'!U42*parameters!$B$79</f>
        <v>0.16889391583209359</v>
      </c>
      <c r="V43" s="300">
        <f>'Baseline Consumption'!V42*parameters!$B$79</f>
        <v>0.17032393721856159</v>
      </c>
      <c r="W43" s="300">
        <f>'Baseline Consumption'!W42*parameters!$B$79</f>
        <v>0.17054450593055837</v>
      </c>
      <c r="X43" s="300">
        <f>'Baseline Consumption'!X42*parameters!$B$79</f>
        <v>0.1698895692963853</v>
      </c>
      <c r="Y43" s="300">
        <f>'Baseline Consumption'!Y42*parameters!$B$79</f>
        <v>0.16958048638867804</v>
      </c>
      <c r="Z43" s="300">
        <f>'Baseline Consumption'!Z42*parameters!$B$79</f>
        <v>0.16890074328344151</v>
      </c>
      <c r="AA43" s="300">
        <f>'Baseline Consumption'!AA42*parameters!$B$79</f>
        <v>0.16693651144281499</v>
      </c>
      <c r="AB43" s="300">
        <f>'Baseline Consumption'!AB42*parameters!$B$79</f>
        <v>0.16530428825296592</v>
      </c>
      <c r="AC43" s="300">
        <f>'Baseline Consumption'!AC42*parameters!$B$79</f>
        <v>0.16348856335166584</v>
      </c>
      <c r="AD43" s="300">
        <f>'Baseline Consumption'!AD42*parameters!$B$79</f>
        <v>0.16170226345978431</v>
      </c>
      <c r="AE43" s="300">
        <f>'Baseline Consumption'!AE42*parameters!$B$79</f>
        <v>0.16048196089741479</v>
      </c>
      <c r="AF43" s="300">
        <f>'Baseline Consumption'!AF42*parameters!$B$79</f>
        <v>0.1589884957988999</v>
      </c>
      <c r="AG43" s="300">
        <f>'Baseline Consumption'!AG42*parameters!$B$79</f>
        <v>0.15890760584757829</v>
      </c>
      <c r="AH43" s="300">
        <f>'Baseline Consumption'!AH42*parameters!$B$79</f>
        <v>0.15904657740682493</v>
      </c>
      <c r="AI43" s="300">
        <f>'Baseline Consumption'!AI42*parameters!$B$79</f>
        <v>0.15942591736136968</v>
      </c>
      <c r="AJ43" s="300">
        <f>'Baseline Consumption'!AJ42*parameters!$B$79</f>
        <v>0.15959272944695357</v>
      </c>
      <c r="AK43" s="300">
        <f>'Baseline Consumption'!AK42*parameters!$B$79</f>
        <v>0.15993532204393524</v>
      </c>
      <c r="AL43" s="300">
        <f>'Baseline Consumption'!AL42*parameters!$B$79</f>
        <v>0.1604415651387292</v>
      </c>
      <c r="AM43" s="300">
        <f>'Baseline Consumption'!AM42*parameters!$B$79</f>
        <v>0.16075358827573077</v>
      </c>
      <c r="AN43" s="300">
        <f>'Baseline Consumption'!AN42*parameters!$B$79</f>
        <v>0.16118606023776674</v>
      </c>
      <c r="AO43" s="300">
        <f>'Baseline Consumption'!AO42*parameters!$B$79</f>
        <v>0.16169736955496433</v>
      </c>
      <c r="AP43" s="300">
        <f>'Baseline Consumption'!AP42*parameters!$B$79</f>
        <v>0.16234180153077582</v>
      </c>
      <c r="AQ43" s="300">
        <f>'Baseline Consumption'!AQ42*parameters!$B$79</f>
        <v>0.16286400207232424</v>
      </c>
      <c r="AR43" s="300">
        <f>'Baseline Consumption'!AR42*parameters!$B$79</f>
        <v>0.16348488576474046</v>
      </c>
      <c r="AS43" s="300">
        <f>'Baseline Consumption'!AS42*parameters!$B$79</f>
        <v>0.16411521594459536</v>
      </c>
      <c r="AT43" s="300">
        <f>'Baseline Consumption'!AT42*parameters!$B$79</f>
        <v>0.16468733582591247</v>
      </c>
      <c r="AU43" s="300">
        <f>'Baseline Consumption'!AU42*parameters!$B$79</f>
        <v>0.16534700657270052</v>
      </c>
      <c r="AV43" s="442">
        <f t="shared" si="6"/>
        <v>3.0438732389127275E-2</v>
      </c>
    </row>
    <row r="44" spans="1:48">
      <c r="A44" s="178" t="s">
        <v>61</v>
      </c>
      <c r="B44" s="300">
        <f>'Baseline Consumption'!B43*parameters!$B$79</f>
        <v>0</v>
      </c>
      <c r="C44" s="300">
        <f>'Baseline Consumption'!C43*parameters!$B$79</f>
        <v>0</v>
      </c>
      <c r="D44" s="300">
        <f>'Baseline Consumption'!D43*parameters!$B$79</f>
        <v>0</v>
      </c>
      <c r="E44" s="300">
        <f>'Baseline Consumption'!E43*parameters!$B$79</f>
        <v>0</v>
      </c>
      <c r="F44" s="300">
        <f>'Baseline Consumption'!F43*parameters!$B$79</f>
        <v>0</v>
      </c>
      <c r="G44" s="300">
        <f>'Baseline Consumption'!G43*parameters!$B$79</f>
        <v>0</v>
      </c>
      <c r="H44" s="300">
        <f>'Baseline Consumption'!H43*parameters!$B$79</f>
        <v>0</v>
      </c>
      <c r="I44" s="300">
        <f>'Baseline Consumption'!I43*parameters!$B$79</f>
        <v>0</v>
      </c>
      <c r="J44" s="300">
        <f>'Baseline Consumption'!J43*parameters!$B$79</f>
        <v>0</v>
      </c>
      <c r="K44" s="300">
        <f>'Baseline Consumption'!K43*parameters!$B$79</f>
        <v>0</v>
      </c>
      <c r="L44" s="300">
        <f>'Baseline Consumption'!L43*parameters!$B$79</f>
        <v>0</v>
      </c>
      <c r="M44" s="300">
        <f>'Baseline Consumption'!M43*parameters!$B$79</f>
        <v>0</v>
      </c>
      <c r="N44" s="300">
        <f>'Baseline Consumption'!N43*parameters!$B$79</f>
        <v>0</v>
      </c>
      <c r="O44" s="300">
        <f>'Baseline Consumption'!O43*parameters!$B$79</f>
        <v>0</v>
      </c>
      <c r="P44" s="300">
        <f>'Baseline Consumption'!P43*parameters!$B$79</f>
        <v>0</v>
      </c>
      <c r="Q44" s="300">
        <f>'Baseline Consumption'!Q43*parameters!$B$79</f>
        <v>0</v>
      </c>
      <c r="R44" s="300">
        <f>'Baseline Consumption'!R43*parameters!$B$79</f>
        <v>0</v>
      </c>
      <c r="S44" s="300">
        <f>'Baseline Consumption'!S43*parameters!$B$79</f>
        <v>0</v>
      </c>
      <c r="T44" s="300">
        <f>'Baseline Consumption'!T43*parameters!$B$79</f>
        <v>0</v>
      </c>
      <c r="U44" s="300">
        <f>'Baseline Consumption'!U43*parameters!$B$79</f>
        <v>0</v>
      </c>
      <c r="V44" s="300">
        <f>'Baseline Consumption'!V43*parameters!$B$79</f>
        <v>0</v>
      </c>
      <c r="W44" s="300">
        <f>'Baseline Consumption'!W43*parameters!$B$79</f>
        <v>0</v>
      </c>
      <c r="X44" s="300">
        <f>'Baseline Consumption'!X43*parameters!$B$79</f>
        <v>0</v>
      </c>
      <c r="Y44" s="300">
        <f>'Baseline Consumption'!Y43*parameters!$B$79</f>
        <v>0</v>
      </c>
      <c r="Z44" s="300">
        <f>'Baseline Consumption'!Z43*parameters!$B$79</f>
        <v>0</v>
      </c>
      <c r="AA44" s="300">
        <f>'Baseline Consumption'!AA43*parameters!$B$79</f>
        <v>0</v>
      </c>
      <c r="AB44" s="300">
        <f>'Baseline Consumption'!AB43*parameters!$B$79</f>
        <v>0</v>
      </c>
      <c r="AC44" s="300">
        <f>'Baseline Consumption'!AC43*parameters!$B$79</f>
        <v>0</v>
      </c>
      <c r="AD44" s="300">
        <f>'Baseline Consumption'!AD43*parameters!$B$79</f>
        <v>0</v>
      </c>
      <c r="AE44" s="300">
        <f>'Baseline Consumption'!AE43*parameters!$B$79</f>
        <v>0</v>
      </c>
      <c r="AF44" s="300">
        <f>'Baseline Consumption'!AF43*parameters!$B$79</f>
        <v>0</v>
      </c>
      <c r="AG44" s="300">
        <f>'Baseline Consumption'!AG43*parameters!$B$79</f>
        <v>0</v>
      </c>
      <c r="AH44" s="300">
        <f>'Baseline Consumption'!AH43*parameters!$B$79</f>
        <v>0</v>
      </c>
      <c r="AI44" s="300">
        <f>'Baseline Consumption'!AI43*parameters!$B$79</f>
        <v>0</v>
      </c>
      <c r="AJ44" s="300">
        <f>'Baseline Consumption'!AJ43*parameters!$B$79</f>
        <v>0</v>
      </c>
      <c r="AK44" s="300">
        <f>'Baseline Consumption'!AK43*parameters!$B$79</f>
        <v>0</v>
      </c>
      <c r="AL44" s="300">
        <f>'Baseline Consumption'!AL43*parameters!$B$79</f>
        <v>0</v>
      </c>
      <c r="AM44" s="300">
        <f>'Baseline Consumption'!AM43*parameters!$B$79</f>
        <v>0</v>
      </c>
      <c r="AN44" s="300">
        <f>'Baseline Consumption'!AN43*parameters!$B$79</f>
        <v>0</v>
      </c>
      <c r="AO44" s="300">
        <f>'Baseline Consumption'!AO43*parameters!$B$79</f>
        <v>0</v>
      </c>
      <c r="AP44" s="300">
        <f>'Baseline Consumption'!AP43*parameters!$B$79</f>
        <v>0</v>
      </c>
      <c r="AQ44" s="300">
        <f>'Baseline Consumption'!AQ43*parameters!$B$79</f>
        <v>0</v>
      </c>
      <c r="AR44" s="300">
        <f>'Baseline Consumption'!AR43*parameters!$B$79</f>
        <v>0</v>
      </c>
      <c r="AS44" s="300">
        <f>'Baseline Consumption'!AS43*parameters!$B$79</f>
        <v>0</v>
      </c>
      <c r="AT44" s="300">
        <f>'Baseline Consumption'!AT43*parameters!$B$79</f>
        <v>0</v>
      </c>
      <c r="AU44" s="300">
        <f>'Baseline Consumption'!AU43*parameters!$B$79</f>
        <v>0</v>
      </c>
      <c r="AV44" s="442"/>
    </row>
    <row r="45" spans="1:48">
      <c r="A45" s="178" t="s">
        <v>62</v>
      </c>
      <c r="B45" s="300">
        <f>'Baseline Consumption'!B44*parameters!$B$79</f>
        <v>0</v>
      </c>
      <c r="C45" s="300">
        <f>'Baseline Consumption'!C44*parameters!$B$79</f>
        <v>0</v>
      </c>
      <c r="D45" s="300">
        <f>'Baseline Consumption'!D44*parameters!$B$79</f>
        <v>0</v>
      </c>
      <c r="E45" s="300">
        <f>'Baseline Consumption'!E44*parameters!$B$79</f>
        <v>0</v>
      </c>
      <c r="F45" s="300">
        <f>'Baseline Consumption'!F44*parameters!$B$79</f>
        <v>0</v>
      </c>
      <c r="G45" s="300">
        <f>'Baseline Consumption'!G44*parameters!$B$79</f>
        <v>0</v>
      </c>
      <c r="H45" s="300">
        <f>'Baseline Consumption'!H44*parameters!$B$79</f>
        <v>0</v>
      </c>
      <c r="I45" s="300">
        <f>'Baseline Consumption'!I44*parameters!$B$79</f>
        <v>0</v>
      </c>
      <c r="J45" s="300">
        <f>'Baseline Consumption'!J44*parameters!$B$79</f>
        <v>0</v>
      </c>
      <c r="K45" s="300">
        <f>'Baseline Consumption'!K44*parameters!$B$79</f>
        <v>0</v>
      </c>
      <c r="L45" s="300">
        <f>'Baseline Consumption'!L44*parameters!$B$79</f>
        <v>0</v>
      </c>
      <c r="M45" s="300">
        <f>'Baseline Consumption'!M44*parameters!$B$79</f>
        <v>0</v>
      </c>
      <c r="N45" s="300">
        <f>'Baseline Consumption'!N44*parameters!$B$79</f>
        <v>0</v>
      </c>
      <c r="O45" s="300">
        <f>'Baseline Consumption'!O44*parameters!$B$79</f>
        <v>0</v>
      </c>
      <c r="P45" s="300">
        <f>'Baseline Consumption'!P44*parameters!$B$79</f>
        <v>0</v>
      </c>
      <c r="Q45" s="300">
        <f>'Baseline Consumption'!Q44*parameters!$B$79</f>
        <v>0</v>
      </c>
      <c r="R45" s="300">
        <f>'Baseline Consumption'!R44*parameters!$B$79</f>
        <v>0</v>
      </c>
      <c r="S45" s="300">
        <f>'Baseline Consumption'!S44*parameters!$B$79</f>
        <v>0</v>
      </c>
      <c r="T45" s="300">
        <f>'Baseline Consumption'!T44*parameters!$B$79</f>
        <v>0</v>
      </c>
      <c r="U45" s="300">
        <f>'Baseline Consumption'!U44*parameters!$B$79</f>
        <v>0</v>
      </c>
      <c r="V45" s="300">
        <f>'Baseline Consumption'!V44*parameters!$B$79</f>
        <v>0</v>
      </c>
      <c r="W45" s="300">
        <f>'Baseline Consumption'!W44*parameters!$B$79</f>
        <v>0</v>
      </c>
      <c r="X45" s="300">
        <f>'Baseline Consumption'!X44*parameters!$B$79</f>
        <v>0</v>
      </c>
      <c r="Y45" s="300">
        <f>'Baseline Consumption'!Y44*parameters!$B$79</f>
        <v>0</v>
      </c>
      <c r="Z45" s="300">
        <f>'Baseline Consumption'!Z44*parameters!$B$79</f>
        <v>0</v>
      </c>
      <c r="AA45" s="300">
        <f>'Baseline Consumption'!AA44*parameters!$B$79</f>
        <v>0</v>
      </c>
      <c r="AB45" s="300">
        <f>'Baseline Consumption'!AB44*parameters!$B$79</f>
        <v>0</v>
      </c>
      <c r="AC45" s="300">
        <f>'Baseline Consumption'!AC44*parameters!$B$79</f>
        <v>0</v>
      </c>
      <c r="AD45" s="300">
        <f>'Baseline Consumption'!AD44*parameters!$B$79</f>
        <v>0</v>
      </c>
      <c r="AE45" s="300">
        <f>'Baseline Consumption'!AE44*parameters!$B$79</f>
        <v>0</v>
      </c>
      <c r="AF45" s="300">
        <f>'Baseline Consumption'!AF44*parameters!$B$79</f>
        <v>0</v>
      </c>
      <c r="AG45" s="300">
        <f>'Baseline Consumption'!AG44*parameters!$B$79</f>
        <v>0</v>
      </c>
      <c r="AH45" s="300">
        <f>'Baseline Consumption'!AH44*parameters!$B$79</f>
        <v>0</v>
      </c>
      <c r="AI45" s="300">
        <f>'Baseline Consumption'!AI44*parameters!$B$79</f>
        <v>0</v>
      </c>
      <c r="AJ45" s="300">
        <f>'Baseline Consumption'!AJ44*parameters!$B$79</f>
        <v>0</v>
      </c>
      <c r="AK45" s="300">
        <f>'Baseline Consumption'!AK44*parameters!$B$79</f>
        <v>0</v>
      </c>
      <c r="AL45" s="300">
        <f>'Baseline Consumption'!AL44*parameters!$B$79</f>
        <v>0</v>
      </c>
      <c r="AM45" s="300">
        <f>'Baseline Consumption'!AM44*parameters!$B$79</f>
        <v>0</v>
      </c>
      <c r="AN45" s="300">
        <f>'Baseline Consumption'!AN44*parameters!$B$79</f>
        <v>0</v>
      </c>
      <c r="AO45" s="300">
        <f>'Baseline Consumption'!AO44*parameters!$B$79</f>
        <v>0</v>
      </c>
      <c r="AP45" s="300">
        <f>'Baseline Consumption'!AP44*parameters!$B$79</f>
        <v>0</v>
      </c>
      <c r="AQ45" s="300">
        <f>'Baseline Consumption'!AQ44*parameters!$B$79</f>
        <v>0</v>
      </c>
      <c r="AR45" s="300">
        <f>'Baseline Consumption'!AR44*parameters!$B$79</f>
        <v>0</v>
      </c>
      <c r="AS45" s="300">
        <f>'Baseline Consumption'!AS44*parameters!$B$79</f>
        <v>0</v>
      </c>
      <c r="AT45" s="300">
        <f>'Baseline Consumption'!AT44*parameters!$B$79</f>
        <v>0</v>
      </c>
      <c r="AU45" s="300">
        <f>'Baseline Consumption'!AU44*parameters!$B$79</f>
        <v>0</v>
      </c>
      <c r="AV45" s="442"/>
    </row>
    <row r="46" spans="1:48">
      <c r="A46" s="178" t="s">
        <v>63</v>
      </c>
      <c r="B46" s="300">
        <f>SUM(B43:B45)</f>
        <v>0.33890495067688509</v>
      </c>
      <c r="C46" s="300">
        <f>SUM(C43:C45)</f>
        <v>0.33503363630557448</v>
      </c>
      <c r="D46" s="300">
        <f>SUM(D43:D45)</f>
        <v>0.34107373759601411</v>
      </c>
      <c r="E46" s="300">
        <f t="shared" ref="E46:AF46" si="9">SUM(E43:E45)</f>
        <v>0.32232687290844925</v>
      </c>
      <c r="F46" s="300">
        <f t="shared" si="9"/>
        <v>0.26311983132655181</v>
      </c>
      <c r="G46" s="300">
        <f t="shared" si="9"/>
        <v>0.26589664293128507</v>
      </c>
      <c r="H46" s="300">
        <f t="shared" si="9"/>
        <v>0.27510753020552214</v>
      </c>
      <c r="I46" s="300">
        <f t="shared" si="9"/>
        <v>0.24381760431804025</v>
      </c>
      <c r="J46" s="300">
        <f t="shared" si="9"/>
        <v>0.22349947062487024</v>
      </c>
      <c r="K46" s="300">
        <f t="shared" si="9"/>
        <v>0.24145392809840152</v>
      </c>
      <c r="L46" s="300">
        <f t="shared" si="9"/>
        <v>0.23891416138675528</v>
      </c>
      <c r="M46" s="300">
        <f t="shared" si="9"/>
        <v>9.6345592609171235E-2</v>
      </c>
      <c r="N46" s="300">
        <f t="shared" si="9"/>
        <v>0.1701519160175467</v>
      </c>
      <c r="O46" s="300">
        <f t="shared" si="9"/>
        <v>0.15534095075060181</v>
      </c>
      <c r="P46" s="300">
        <f t="shared" si="9"/>
        <v>0.15296614659117749</v>
      </c>
      <c r="Q46" s="300">
        <f t="shared" si="9"/>
        <v>0.16046272463898426</v>
      </c>
      <c r="R46" s="300">
        <f t="shared" si="9"/>
        <v>0.16437783985298374</v>
      </c>
      <c r="S46" s="300">
        <f t="shared" si="9"/>
        <v>0.16593390073856609</v>
      </c>
      <c r="T46" s="300">
        <f t="shared" si="9"/>
        <v>0.16745377277016429</v>
      </c>
      <c r="U46" s="300">
        <f t="shared" si="9"/>
        <v>0.16889391583209359</v>
      </c>
      <c r="V46" s="300">
        <f t="shared" si="9"/>
        <v>0.17032393721856159</v>
      </c>
      <c r="W46" s="300">
        <f t="shared" si="9"/>
        <v>0.17054450593055837</v>
      </c>
      <c r="X46" s="300">
        <f t="shared" si="9"/>
        <v>0.1698895692963853</v>
      </c>
      <c r="Y46" s="300">
        <f t="shared" si="9"/>
        <v>0.16958048638867804</v>
      </c>
      <c r="Z46" s="300">
        <f t="shared" si="9"/>
        <v>0.16890074328344151</v>
      </c>
      <c r="AA46" s="300">
        <f t="shared" si="9"/>
        <v>0.16693651144281499</v>
      </c>
      <c r="AB46" s="300">
        <f t="shared" si="9"/>
        <v>0.16530428825296592</v>
      </c>
      <c r="AC46" s="300">
        <f t="shared" si="9"/>
        <v>0.16348856335166584</v>
      </c>
      <c r="AD46" s="300">
        <f t="shared" si="9"/>
        <v>0.16170226345978431</v>
      </c>
      <c r="AE46" s="300">
        <f t="shared" si="9"/>
        <v>0.16048196089741479</v>
      </c>
      <c r="AF46" s="300">
        <f t="shared" si="9"/>
        <v>0.1589884957988999</v>
      </c>
      <c r="AG46" s="300">
        <f>SUM(AG43:AG45)</f>
        <v>0.15890760584757829</v>
      </c>
      <c r="AH46" s="300">
        <f>SUM(AH43:AH45)</f>
        <v>0.15904657740682493</v>
      </c>
      <c r="AI46" s="300">
        <f>SUM(AI43:AI45)</f>
        <v>0.15942591736136968</v>
      </c>
      <c r="AJ46" s="300">
        <f>SUM(AJ43:AJ45)</f>
        <v>0.15959272944695357</v>
      </c>
      <c r="AK46" s="300">
        <f>SUM(AK43:AK45)</f>
        <v>0.15993532204393524</v>
      </c>
      <c r="AL46" s="300">
        <f t="shared" ref="AL46:AU46" si="10">SUM(AL43:AL45)</f>
        <v>0.1604415651387292</v>
      </c>
      <c r="AM46" s="300">
        <f t="shared" si="10"/>
        <v>0.16075358827573077</v>
      </c>
      <c r="AN46" s="300">
        <f t="shared" si="10"/>
        <v>0.16118606023776674</v>
      </c>
      <c r="AO46" s="300">
        <f t="shared" si="10"/>
        <v>0.16169736955496433</v>
      </c>
      <c r="AP46" s="300">
        <f t="shared" si="10"/>
        <v>0.16234180153077582</v>
      </c>
      <c r="AQ46" s="300">
        <f t="shared" si="10"/>
        <v>0.16286400207232424</v>
      </c>
      <c r="AR46" s="300">
        <f t="shared" si="10"/>
        <v>0.16348488576474046</v>
      </c>
      <c r="AS46" s="300">
        <f t="shared" si="10"/>
        <v>0.16411521594459536</v>
      </c>
      <c r="AT46" s="300">
        <f t="shared" si="10"/>
        <v>0.16468733582591247</v>
      </c>
      <c r="AU46" s="300">
        <f t="shared" si="10"/>
        <v>0.16534700657270052</v>
      </c>
      <c r="AV46" s="442">
        <f t="shared" si="6"/>
        <v>3.0438732389127275E-2</v>
      </c>
    </row>
    <row r="47" spans="1:48">
      <c r="A47" s="178" t="s">
        <v>64</v>
      </c>
      <c r="B47" s="300">
        <f>'Baseline Consumption'!B46*parameters!$B$98</f>
        <v>0</v>
      </c>
      <c r="C47" s="300">
        <f>'Baseline Consumption'!C46*parameters!$B$98</f>
        <v>0</v>
      </c>
      <c r="D47" s="300">
        <f>'Baseline Consumption'!D46*parameters!$B$98</f>
        <v>0</v>
      </c>
      <c r="E47" s="300">
        <f>'Baseline Consumption'!E46*parameters!$B$98</f>
        <v>0</v>
      </c>
      <c r="F47" s="300">
        <f>'Baseline Consumption'!F46*parameters!$B$98</f>
        <v>0</v>
      </c>
      <c r="G47" s="300">
        <f>'Baseline Consumption'!G46*parameters!$B$98</f>
        <v>0</v>
      </c>
      <c r="H47" s="300">
        <f>'Baseline Consumption'!H46*parameters!$B$98</f>
        <v>0</v>
      </c>
      <c r="I47" s="300">
        <f>'Baseline Consumption'!I46*parameters!$B$98</f>
        <v>0</v>
      </c>
      <c r="J47" s="300">
        <f>'Baseline Consumption'!J46*parameters!$B$98</f>
        <v>0</v>
      </c>
      <c r="K47" s="300">
        <f>'Baseline Consumption'!K46*parameters!$B$98</f>
        <v>0</v>
      </c>
      <c r="L47" s="300">
        <f>'Baseline Consumption'!L46*parameters!$B$98</f>
        <v>0</v>
      </c>
      <c r="M47" s="300">
        <f>'Baseline Consumption'!M46*parameters!$B$98</f>
        <v>0</v>
      </c>
      <c r="N47" s="300">
        <f>'Baseline Consumption'!N46*parameters!$B$98</f>
        <v>0</v>
      </c>
      <c r="O47" s="300">
        <f>'Baseline Consumption'!O46*parameters!$B$98</f>
        <v>0</v>
      </c>
      <c r="P47" s="300">
        <f>'Baseline Consumption'!P46*parameters!$B$98</f>
        <v>0</v>
      </c>
      <c r="Q47" s="300">
        <f>'Baseline Consumption'!Q46*parameters!$B$98</f>
        <v>0</v>
      </c>
      <c r="R47" s="300">
        <f>'Baseline Consumption'!R46*parameters!$B$98</f>
        <v>0</v>
      </c>
      <c r="S47" s="300">
        <f>'Baseline Consumption'!S46*parameters!$B$98</f>
        <v>0</v>
      </c>
      <c r="T47" s="300">
        <f>'Baseline Consumption'!T46*parameters!$B$98</f>
        <v>0</v>
      </c>
      <c r="U47" s="300">
        <f>'Baseline Consumption'!U46*parameters!$B$98</f>
        <v>0</v>
      </c>
      <c r="V47" s="300">
        <f>'Baseline Consumption'!V46*parameters!$B$98</f>
        <v>0</v>
      </c>
      <c r="W47" s="300">
        <f>'Baseline Consumption'!W46*parameters!$B$98</f>
        <v>0</v>
      </c>
      <c r="X47" s="300">
        <f>'Baseline Consumption'!X46*parameters!$B$98</f>
        <v>0</v>
      </c>
      <c r="Y47" s="300">
        <f>'Baseline Consumption'!Y46*parameters!$B$98</f>
        <v>0</v>
      </c>
      <c r="Z47" s="300">
        <f>'Baseline Consumption'!Z46*parameters!$B$98</f>
        <v>0</v>
      </c>
      <c r="AA47" s="300">
        <f>'Baseline Consumption'!AA46*parameters!$B$98</f>
        <v>0</v>
      </c>
      <c r="AB47" s="300">
        <f>'Baseline Consumption'!AB46*parameters!$B$98</f>
        <v>0</v>
      </c>
      <c r="AC47" s="300">
        <f>'Baseline Consumption'!AC46*parameters!$B$98</f>
        <v>0</v>
      </c>
      <c r="AD47" s="300">
        <f>'Baseline Consumption'!AD46*parameters!$B$98</f>
        <v>0</v>
      </c>
      <c r="AE47" s="300">
        <f>'Baseline Consumption'!AE46*parameters!$B$98</f>
        <v>0</v>
      </c>
      <c r="AF47" s="300">
        <f>'Baseline Consumption'!AF46*parameters!$B$98</f>
        <v>0</v>
      </c>
      <c r="AG47" s="300">
        <f>'Baseline Consumption'!AG46*parameters!$B$98</f>
        <v>0</v>
      </c>
      <c r="AH47" s="300">
        <f>'Baseline Consumption'!AH46*parameters!$B$98</f>
        <v>0</v>
      </c>
      <c r="AI47" s="300">
        <f>'Baseline Consumption'!AI46*parameters!$B$98</f>
        <v>0</v>
      </c>
      <c r="AJ47" s="300">
        <f>'Baseline Consumption'!AJ46*parameters!$B$98</f>
        <v>0</v>
      </c>
      <c r="AK47" s="300">
        <f>'Baseline Consumption'!AK46*parameters!$B$98</f>
        <v>0</v>
      </c>
      <c r="AL47" s="300">
        <f>'Baseline Consumption'!AL46*parameters!$B$98</f>
        <v>0</v>
      </c>
      <c r="AM47" s="300">
        <f>'Baseline Consumption'!AM46*parameters!$B$98</f>
        <v>0</v>
      </c>
      <c r="AN47" s="300">
        <f>'Baseline Consumption'!AN46*parameters!$B$98</f>
        <v>0</v>
      </c>
      <c r="AO47" s="300">
        <f>'Baseline Consumption'!AO46*parameters!$B$98</f>
        <v>0</v>
      </c>
      <c r="AP47" s="300">
        <f>'Baseline Consumption'!AP46*parameters!$B$98</f>
        <v>0</v>
      </c>
      <c r="AQ47" s="300">
        <f>'Baseline Consumption'!AQ46*parameters!$B$98</f>
        <v>0</v>
      </c>
      <c r="AR47" s="300">
        <f>'Baseline Consumption'!AR46*parameters!$B$98</f>
        <v>0</v>
      </c>
      <c r="AS47" s="300">
        <f>'Baseline Consumption'!AS46*parameters!$B$98</f>
        <v>0</v>
      </c>
      <c r="AT47" s="300">
        <f>'Baseline Consumption'!AT46*parameters!$B$98</f>
        <v>0</v>
      </c>
      <c r="AU47" s="300">
        <f>'Baseline Consumption'!AU46*parameters!$B$98</f>
        <v>0</v>
      </c>
      <c r="AV47" s="442"/>
    </row>
    <row r="48" spans="1:48">
      <c r="A48" s="178" t="s">
        <v>65</v>
      </c>
      <c r="B48" s="300">
        <f>'Baseline Consumption'!B47*parameters!$B$98</f>
        <v>0</v>
      </c>
      <c r="C48" s="300">
        <f>'Baseline Consumption'!C47*parameters!$B$98</f>
        <v>0</v>
      </c>
      <c r="D48" s="300">
        <f>'Baseline Consumption'!D47*parameters!$B$98</f>
        <v>0</v>
      </c>
      <c r="E48" s="300">
        <f>'Baseline Consumption'!E47*parameters!$B$98</f>
        <v>0</v>
      </c>
      <c r="F48" s="300">
        <f>'Baseline Consumption'!F47*parameters!$B$98</f>
        <v>0</v>
      </c>
      <c r="G48" s="300">
        <f>'Baseline Consumption'!G47*parameters!$B$98</f>
        <v>0</v>
      </c>
      <c r="H48" s="300">
        <f>'Baseline Consumption'!H47*parameters!$B$98</f>
        <v>0</v>
      </c>
      <c r="I48" s="300">
        <f>'Baseline Consumption'!I47*parameters!$B$98</f>
        <v>0</v>
      </c>
      <c r="J48" s="300">
        <f>'Baseline Consumption'!J47*parameters!$B$98</f>
        <v>0</v>
      </c>
      <c r="K48" s="300">
        <f>'Baseline Consumption'!K47*parameters!$B$98</f>
        <v>0</v>
      </c>
      <c r="L48" s="300">
        <f>'Baseline Consumption'!L47*parameters!$B$98</f>
        <v>0</v>
      </c>
      <c r="M48" s="300">
        <f>'Baseline Consumption'!M47*parameters!$B$98</f>
        <v>0</v>
      </c>
      <c r="N48" s="300">
        <f>'Baseline Consumption'!N47*parameters!$B$98</f>
        <v>0</v>
      </c>
      <c r="O48" s="300">
        <f>'Baseline Consumption'!O47*parameters!$B$98</f>
        <v>0</v>
      </c>
      <c r="P48" s="300">
        <f>'Baseline Consumption'!P47*parameters!$B$98</f>
        <v>0</v>
      </c>
      <c r="Q48" s="300">
        <f>'Baseline Consumption'!Q47*parameters!$B$98</f>
        <v>0</v>
      </c>
      <c r="R48" s="300">
        <f>'Baseline Consumption'!R47*parameters!$B$98</f>
        <v>0</v>
      </c>
      <c r="S48" s="300">
        <f>'Baseline Consumption'!S47*parameters!$B$98</f>
        <v>0</v>
      </c>
      <c r="T48" s="300">
        <f>'Baseline Consumption'!T47*parameters!$B$98</f>
        <v>0</v>
      </c>
      <c r="U48" s="300">
        <f>'Baseline Consumption'!U47*parameters!$B$98</f>
        <v>0</v>
      </c>
      <c r="V48" s="300">
        <f>'Baseline Consumption'!V47*parameters!$B$98</f>
        <v>0</v>
      </c>
      <c r="W48" s="300">
        <f>'Baseline Consumption'!W47*parameters!$B$98</f>
        <v>0</v>
      </c>
      <c r="X48" s="300">
        <f>'Baseline Consumption'!X47*parameters!$B$98</f>
        <v>0</v>
      </c>
      <c r="Y48" s="300">
        <f>'Baseline Consumption'!Y47*parameters!$B$98</f>
        <v>0</v>
      </c>
      <c r="Z48" s="300">
        <f>'Baseline Consumption'!Z47*parameters!$B$98</f>
        <v>0</v>
      </c>
      <c r="AA48" s="300">
        <f>'Baseline Consumption'!AA47*parameters!$B$98</f>
        <v>0</v>
      </c>
      <c r="AB48" s="300">
        <f>'Baseline Consumption'!AB47*parameters!$B$98</f>
        <v>0</v>
      </c>
      <c r="AC48" s="300">
        <f>'Baseline Consumption'!AC47*parameters!$B$98</f>
        <v>0</v>
      </c>
      <c r="AD48" s="300">
        <f>'Baseline Consumption'!AD47*parameters!$B$98</f>
        <v>0</v>
      </c>
      <c r="AE48" s="300">
        <f>'Baseline Consumption'!AE47*parameters!$B$98</f>
        <v>0</v>
      </c>
      <c r="AF48" s="300">
        <f>'Baseline Consumption'!AF47*parameters!$B$98</f>
        <v>0</v>
      </c>
      <c r="AG48" s="300">
        <f>'Baseline Consumption'!AG47*parameters!$B$98</f>
        <v>0</v>
      </c>
      <c r="AH48" s="300">
        <f>'Baseline Consumption'!AH47*parameters!$B$98</f>
        <v>0</v>
      </c>
      <c r="AI48" s="300">
        <f>'Baseline Consumption'!AI47*parameters!$B$98</f>
        <v>0</v>
      </c>
      <c r="AJ48" s="300">
        <f>'Baseline Consumption'!AJ47*parameters!$B$98</f>
        <v>0</v>
      </c>
      <c r="AK48" s="300">
        <f>'Baseline Consumption'!AK47*parameters!$B$98</f>
        <v>0</v>
      </c>
      <c r="AL48" s="300">
        <f>'Baseline Consumption'!AL47*parameters!$B$98</f>
        <v>0</v>
      </c>
      <c r="AM48" s="300">
        <f>'Baseline Consumption'!AM47*parameters!$B$98</f>
        <v>0</v>
      </c>
      <c r="AN48" s="300">
        <f>'Baseline Consumption'!AN47*parameters!$B$98</f>
        <v>0</v>
      </c>
      <c r="AO48" s="300">
        <f>'Baseline Consumption'!AO47*parameters!$B$98</f>
        <v>0</v>
      </c>
      <c r="AP48" s="300">
        <f>'Baseline Consumption'!AP47*parameters!$B$98</f>
        <v>0</v>
      </c>
      <c r="AQ48" s="300">
        <f>'Baseline Consumption'!AQ47*parameters!$B$98</f>
        <v>0</v>
      </c>
      <c r="AR48" s="300">
        <f>'Baseline Consumption'!AR47*parameters!$B$98</f>
        <v>0</v>
      </c>
      <c r="AS48" s="300">
        <f>'Baseline Consumption'!AS47*parameters!$B$98</f>
        <v>0</v>
      </c>
      <c r="AT48" s="300">
        <f>'Baseline Consumption'!AT47*parameters!$B$98</f>
        <v>0</v>
      </c>
      <c r="AU48" s="300">
        <f>'Baseline Consumption'!AU47*parameters!$B$98</f>
        <v>0</v>
      </c>
      <c r="AV48" s="442"/>
    </row>
    <row r="49" spans="1:56">
      <c r="A49" s="178" t="s">
        <v>25</v>
      </c>
      <c r="B49" s="300">
        <f>B83*'Baseline Consumption'!B103</f>
        <v>4.8080994402248907</v>
      </c>
      <c r="C49" s="300">
        <f>C83*'Baseline Consumption'!C103</f>
        <v>4.354753323446289</v>
      </c>
      <c r="D49" s="300">
        <f>D83*'Baseline Consumption'!D103</f>
        <v>4.3310147258614853</v>
      </c>
      <c r="E49" s="300">
        <f>E83*'Baseline Consumption'!E103</f>
        <v>4.4504143326141543</v>
      </c>
      <c r="F49" s="300">
        <f>F83*'Baseline Consumption'!F103</f>
        <v>5.1709826228272169</v>
      </c>
      <c r="G49" s="300">
        <f>G83*'Baseline Consumption'!G103</f>
        <v>6.3450588160968531</v>
      </c>
      <c r="H49" s="300">
        <f>H83*'Baseline Consumption'!H103</f>
        <v>4.8553370134970253</v>
      </c>
      <c r="I49" s="300">
        <f>I83*'Baseline Consumption'!I103</f>
        <v>4.6461502665879744</v>
      </c>
      <c r="J49" s="300">
        <f>J83*'Baseline Consumption'!J103</f>
        <v>5.4958951567117422</v>
      </c>
      <c r="K49" s="300">
        <f>K83*'Baseline Consumption'!K103</f>
        <v>5.2685295126406686</v>
      </c>
      <c r="L49" s="300">
        <f>L83*'Baseline Consumption'!L103</f>
        <v>5.349020315859657</v>
      </c>
      <c r="M49" s="300">
        <f>M83*'Baseline Consumption'!M103</f>
        <v>4.630167801304081</v>
      </c>
      <c r="N49" s="451">
        <f>N83*'Baseline Consumption'!N103</f>
        <v>3.4898402982191028</v>
      </c>
      <c r="O49" s="300">
        <f>O83*'Baseline Consumption'!O103</f>
        <v>3.6414033253891267</v>
      </c>
      <c r="P49" s="300">
        <f>P83*'Baseline Consumption'!P103</f>
        <v>3.430023231640678</v>
      </c>
      <c r="Q49" s="300">
        <f>Q83*'Baseline Consumption'!Q103</f>
        <v>3.2881877683865444</v>
      </c>
      <c r="R49" s="300">
        <f>R83*'Baseline Consumption'!R103</f>
        <v>3.0546816901037466</v>
      </c>
      <c r="S49" s="300">
        <f>S83*'Baseline Consumption'!S103</f>
        <v>3.072288446487093</v>
      </c>
      <c r="T49" s="300">
        <f>T83*'Baseline Consumption'!T103</f>
        <v>2.7381463297979169</v>
      </c>
      <c r="U49" s="300">
        <f>U83*'Baseline Consumption'!U103</f>
        <v>2.5954946748662713</v>
      </c>
      <c r="V49" s="300">
        <f>V83*'Baseline Consumption'!V103</f>
        <v>2.614065110173482</v>
      </c>
      <c r="W49" s="300">
        <f>W83*'Baseline Consumption'!W103</f>
        <v>2.3578740593420462</v>
      </c>
      <c r="X49" s="300">
        <f>X83*'Baseline Consumption'!X103</f>
        <v>2.3761105210354465</v>
      </c>
      <c r="Y49" s="300">
        <f>Y83*'Baseline Consumption'!Y103</f>
        <v>2.4202628441659431</v>
      </c>
      <c r="Z49" s="300">
        <f>Z83*'Baseline Consumption'!Z103</f>
        <v>2.2588733694929459</v>
      </c>
      <c r="AA49" s="300">
        <f>AA83*'Baseline Consumption'!AA103</f>
        <v>2.2912374794199493</v>
      </c>
      <c r="AB49" s="300">
        <f>AB83*'Baseline Consumption'!AB103</f>
        <v>2.2986468374536937</v>
      </c>
      <c r="AC49" s="300">
        <f>AC83*'Baseline Consumption'!AC103</f>
        <v>2.3329102638921753</v>
      </c>
      <c r="AD49" s="300">
        <f>AD83*'Baseline Consumption'!AD103</f>
        <v>2.3674787807277404</v>
      </c>
      <c r="AE49" s="300">
        <f>AE83*'Baseline Consumption'!AE103</f>
        <v>2.402435294266493</v>
      </c>
      <c r="AF49" s="300">
        <f>AF83*'Baseline Consumption'!AF103</f>
        <v>2.4396259218819476</v>
      </c>
      <c r="AG49" s="300">
        <f>AG83*'Baseline Consumption'!AG103</f>
        <v>2.4641767062320614</v>
      </c>
      <c r="AH49" s="300">
        <f>AH83*'Baseline Consumption'!AH103</f>
        <v>2.4952588805058862</v>
      </c>
      <c r="AI49" s="300">
        <f>AI83*'Baseline Consumption'!AI103</f>
        <v>2.5263410547797238</v>
      </c>
      <c r="AJ49" s="300">
        <f>AJ83*'Baseline Consumption'!AJ103</f>
        <v>2.5574232290535486</v>
      </c>
      <c r="AK49" s="300">
        <f>AK83*'Baseline Consumption'!AK103</f>
        <v>2.5885054033273747</v>
      </c>
      <c r="AL49" s="300">
        <f>AL83*'Baseline Consumption'!AL103</f>
        <v>2.6195875776012003</v>
      </c>
      <c r="AM49" s="300">
        <f>AM83*'Baseline Consumption'!AM103</f>
        <v>2.6506697518750255</v>
      </c>
      <c r="AN49" s="300">
        <f>AN83*'Baseline Consumption'!AN103</f>
        <v>2.6817519261488512</v>
      </c>
      <c r="AO49" s="300">
        <f>AO83*'Baseline Consumption'!AO103</f>
        <v>2.7128341004226768</v>
      </c>
      <c r="AP49" s="300">
        <f>AP83*'Baseline Consumption'!AP103</f>
        <v>2.7439162746965136</v>
      </c>
      <c r="AQ49" s="300">
        <f>AQ83*'Baseline Consumption'!AQ103</f>
        <v>2.7749984489703388</v>
      </c>
      <c r="AR49" s="300">
        <f>AR83*'Baseline Consumption'!AR103</f>
        <v>2.8060806232441649</v>
      </c>
      <c r="AS49" s="300">
        <f>AS83*'Baseline Consumption'!AS103</f>
        <v>2.8371627975179905</v>
      </c>
      <c r="AT49" s="300">
        <f>AT83*'Baseline Consumption'!AT103</f>
        <v>2.868244971791817</v>
      </c>
      <c r="AU49" s="300">
        <f>AU83*'Baseline Consumption'!AU103</f>
        <v>2.8993271460656418</v>
      </c>
      <c r="AV49" s="442">
        <f t="shared" si="6"/>
        <v>-0.1182598591417149</v>
      </c>
    </row>
    <row r="50" spans="1:56" s="7" customFormat="1">
      <c r="A50" s="218" t="s">
        <v>26</v>
      </c>
      <c r="B50" s="300">
        <f>SUM(B32:B35,B37,B41,B46:B49)</f>
        <v>16.730372289355486</v>
      </c>
      <c r="C50" s="300">
        <f t="shared" ref="C50:AK50" si="11">SUM(C32:C35,C37,C41,C46:C49)</f>
        <v>16.543621405801375</v>
      </c>
      <c r="D50" s="300">
        <f t="shared" si="11"/>
        <v>15.614992845320391</v>
      </c>
      <c r="E50" s="300">
        <f t="shared" si="11"/>
        <v>15.475902610650106</v>
      </c>
      <c r="F50" s="300">
        <f t="shared" si="11"/>
        <v>15.288181960576267</v>
      </c>
      <c r="G50" s="300">
        <f t="shared" si="11"/>
        <v>16.738515567636352</v>
      </c>
      <c r="H50" s="300">
        <f>SUM(H32:H35,H37,H41,H46:H49)</f>
        <v>15.474021479762687</v>
      </c>
      <c r="I50" s="300">
        <f t="shared" si="11"/>
        <v>15.227059048868618</v>
      </c>
      <c r="J50" s="300">
        <f t="shared" si="11"/>
        <v>16.615179249363539</v>
      </c>
      <c r="K50" s="300">
        <f>SUM(K32:K35,K37,K41,K46:K49)</f>
        <v>16.127532096358177</v>
      </c>
      <c r="L50" s="300">
        <f t="shared" si="11"/>
        <v>15.853814697185694</v>
      </c>
      <c r="M50" s="300">
        <f>SUM(M32:M35,M37,M41,M46:M49)</f>
        <v>16.197300979143183</v>
      </c>
      <c r="N50" s="300">
        <f>SUM(N32:N35,N37,N41,N46:N49)</f>
        <v>14.777113390113573</v>
      </c>
      <c r="O50" s="300">
        <f t="shared" si="11"/>
        <v>14.813437691938315</v>
      </c>
      <c r="P50" s="300">
        <f t="shared" si="11"/>
        <v>14.328079766064544</v>
      </c>
      <c r="Q50" s="300">
        <f t="shared" si="11"/>
        <v>13.896317254718019</v>
      </c>
      <c r="R50" s="300">
        <f t="shared" si="11"/>
        <v>13.594243866264385</v>
      </c>
      <c r="S50" s="300">
        <f t="shared" si="11"/>
        <v>13.589510335612943</v>
      </c>
      <c r="T50" s="300">
        <f t="shared" si="11"/>
        <v>13.217809895095167</v>
      </c>
      <c r="U50" s="300">
        <f t="shared" si="11"/>
        <v>13.508129811641194</v>
      </c>
      <c r="V50" s="300">
        <f t="shared" si="11"/>
        <v>13.620166639787985</v>
      </c>
      <c r="W50" s="300">
        <f t="shared" si="11"/>
        <v>13.467593594015097</v>
      </c>
      <c r="X50" s="300">
        <f t="shared" si="11"/>
        <v>13.329056501370863</v>
      </c>
      <c r="Y50" s="300">
        <f t="shared" si="11"/>
        <v>13.50965779766733</v>
      </c>
      <c r="Z50" s="300">
        <f t="shared" si="11"/>
        <v>13.131537961047759</v>
      </c>
      <c r="AA50" s="300">
        <f t="shared" si="11"/>
        <v>13.235503948303911</v>
      </c>
      <c r="AB50" s="300">
        <f t="shared" si="11"/>
        <v>13.259034688480153</v>
      </c>
      <c r="AC50" s="300">
        <f t="shared" si="11"/>
        <v>13.332670506287316</v>
      </c>
      <c r="AD50" s="300">
        <f t="shared" si="11"/>
        <v>13.470298854062712</v>
      </c>
      <c r="AE50" s="300">
        <f t="shared" si="11"/>
        <v>13.688748216948284</v>
      </c>
      <c r="AF50" s="300">
        <f t="shared" si="11"/>
        <v>13.758810799000344</v>
      </c>
      <c r="AG50" s="300">
        <f t="shared" si="11"/>
        <v>13.791802868750702</v>
      </c>
      <c r="AH50" s="300">
        <f t="shared" si="11"/>
        <v>13.861790313966956</v>
      </c>
      <c r="AI50" s="300">
        <f t="shared" si="11"/>
        <v>13.997283867859908</v>
      </c>
      <c r="AJ50" s="300">
        <f t="shared" si="11"/>
        <v>14.214221119987812</v>
      </c>
      <c r="AK50" s="300">
        <f t="shared" si="11"/>
        <v>14.292874909169504</v>
      </c>
      <c r="AL50" s="300">
        <f t="shared" ref="AL50:AU50" si="12">SUM(AL32:AL35,AL37,AL41,AL46:AL49)</f>
        <v>14.467710278689792</v>
      </c>
      <c r="AM50" s="300">
        <f t="shared" si="12"/>
        <v>14.566078102085115</v>
      </c>
      <c r="AN50" s="300">
        <f t="shared" si="12"/>
        <v>14.744587637392193</v>
      </c>
      <c r="AO50" s="300">
        <f t="shared" si="12"/>
        <v>14.880030312955641</v>
      </c>
      <c r="AP50" s="300">
        <f t="shared" si="12"/>
        <v>15.195690795137303</v>
      </c>
      <c r="AQ50" s="300">
        <f t="shared" si="12"/>
        <v>15.316658657477719</v>
      </c>
      <c r="AR50" s="300">
        <f t="shared" si="12"/>
        <v>15.467476312420198</v>
      </c>
      <c r="AS50" s="300">
        <f t="shared" si="12"/>
        <v>15.639062116869431</v>
      </c>
      <c r="AT50" s="300">
        <f t="shared" si="12"/>
        <v>15.786444818017239</v>
      </c>
      <c r="AU50" s="300">
        <f t="shared" si="12"/>
        <v>15.999592249351011</v>
      </c>
      <c r="AV50" s="442">
        <f t="shared" si="6"/>
        <v>0.15135484863220841</v>
      </c>
    </row>
    <row r="51" spans="1:56" s="7" customFormat="1">
      <c r="A51" s="218"/>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442"/>
    </row>
    <row r="52" spans="1:56" ht="13">
      <c r="A52" s="481" t="s">
        <v>1398</v>
      </c>
      <c r="B52" s="300"/>
      <c r="C52" s="300"/>
      <c r="D52" s="300"/>
      <c r="E52" s="300"/>
      <c r="F52" s="300"/>
      <c r="G52" s="300"/>
      <c r="H52" s="300"/>
      <c r="I52" s="300"/>
      <c r="J52" s="300"/>
      <c r="K52" s="230"/>
      <c r="L52" s="230"/>
      <c r="M52" s="230"/>
      <c r="N52" s="451" t="s">
        <v>1105</v>
      </c>
      <c r="O52" s="450"/>
      <c r="P52" s="450"/>
      <c r="Q52" s="450"/>
      <c r="R52" s="230"/>
      <c r="S52" s="230"/>
      <c r="T52" s="230"/>
      <c r="U52" s="230"/>
      <c r="V52" s="230"/>
      <c r="W52" s="230"/>
      <c r="X52" s="230"/>
      <c r="Y52" s="230"/>
      <c r="Z52" s="230"/>
      <c r="AA52" s="230"/>
      <c r="AB52" s="230"/>
      <c r="AC52" s="230"/>
      <c r="AD52" s="230"/>
      <c r="AE52" s="230"/>
      <c r="AF52" s="230"/>
      <c r="AG52" s="230"/>
      <c r="AH52" s="230"/>
      <c r="AI52" s="230"/>
      <c r="AJ52" s="230"/>
      <c r="AK52" s="300"/>
      <c r="AL52" s="300"/>
      <c r="AM52" s="300"/>
      <c r="AN52" s="300"/>
      <c r="AO52" s="300"/>
      <c r="AP52" s="300"/>
      <c r="AQ52" s="300"/>
      <c r="AR52" s="300"/>
      <c r="AS52" s="300"/>
      <c r="AT52" s="300"/>
      <c r="AU52" s="300"/>
      <c r="AV52" s="442"/>
      <c r="AW52"/>
      <c r="AX52"/>
      <c r="AY52"/>
      <c r="AZ52"/>
      <c r="BA52"/>
      <c r="BB52"/>
      <c r="BC52"/>
      <c r="BD52"/>
    </row>
    <row r="53" spans="1:56">
      <c r="A53" s="112" t="s">
        <v>449</v>
      </c>
      <c r="B53" s="306">
        <f>IF(parameters!$B$33="B",'consumption scenario B'!B76,IF(parameters!$B$33="C",'consumption scenario C'!B76,'consumption scenario A'!B76))</f>
        <v>0.5</v>
      </c>
      <c r="C53" s="306">
        <f>IF(parameters!$B$33="B",'consumption scenario B'!C76,IF(parameters!$B$33="C",'consumption scenario C'!C76,'consumption scenario A'!C76))</f>
        <v>0.5</v>
      </c>
      <c r="D53" s="306">
        <f>IF(parameters!$B$33="B",'consumption scenario B'!D76,IF(parameters!$B$33="C",'consumption scenario C'!D76,'consumption scenario A'!D76))</f>
        <v>0.5</v>
      </c>
      <c r="E53" s="306">
        <f>IF(parameters!$B$33="B",'consumption scenario B'!E76,IF(parameters!$B$33="C",'consumption scenario C'!E76,'consumption scenario A'!E76))</f>
        <v>0.3</v>
      </c>
      <c r="F53" s="306">
        <f>IF(parameters!$B$33="B",'consumption scenario B'!F76,IF(parameters!$B$33="C",'consumption scenario C'!F76,'consumption scenario A'!F76))</f>
        <v>0.3</v>
      </c>
      <c r="G53" s="306">
        <f>IF(parameters!$B$33="B",'consumption scenario B'!G76,IF(parameters!$B$33="C",'consumption scenario C'!G76,'consumption scenario A'!G76))</f>
        <v>0.3</v>
      </c>
      <c r="H53" s="306">
        <f>IF(parameters!$B$33="B",'consumption scenario B'!H76,IF(parameters!$B$33="C",'consumption scenario C'!H76,'consumption scenario A'!H76))</f>
        <v>0.3</v>
      </c>
      <c r="I53" s="306">
        <f>IF(parameters!$B$33="B",'consumption scenario B'!I76,IF(parameters!$B$33="C",'consumption scenario C'!I76,'consumption scenario A'!I76))</f>
        <v>0.34</v>
      </c>
      <c r="J53" s="306">
        <f>IF(parameters!$B$33="B",'consumption scenario B'!J76,IF(parameters!$B$33="C",'consumption scenario C'!J76,'consumption scenario A'!J76))</f>
        <v>0.29199999999999998</v>
      </c>
      <c r="K53" s="306">
        <f>IF(parameters!$B$33="B",'consumption scenario B'!K76,IF(parameters!$B$33="C",'consumption scenario C'!K76,'consumption scenario A'!K76))</f>
        <v>0.29199999999999998</v>
      </c>
      <c r="L53" s="306">
        <f>IF(parameters!$B$33="B",'consumption scenario B'!L76,IF(parameters!$B$33="C",'consumption scenario C'!L76,'consumption scenario A'!L76))</f>
        <v>0.29799999999999999</v>
      </c>
      <c r="M53" s="306">
        <f>IF(parameters!$B$33="B",'consumption scenario B'!M76,IF(parameters!$B$33="C",'consumption scenario C'!M76,'consumption scenario A'!M76))</f>
        <v>0.30193360000000002</v>
      </c>
      <c r="N53" s="306">
        <f>IF(parameters!$B$33="B",'consumption scenario B'!N76,IF(parameters!$B$33="C",'consumption scenario C'!N76,'consumption scenario A'!N76))</f>
        <v>0.30591912352000006</v>
      </c>
      <c r="O53" s="306">
        <f>IF(parameters!$B$33="B",'consumption scenario B'!O76,IF(parameters!$B$33="C",'consumption scenario C'!O76,'consumption scenario A'!O76))</f>
        <v>0.30995725595046408</v>
      </c>
      <c r="P53" s="306">
        <f>IF(parameters!$B$33="B",'consumption scenario B'!P76,IF(parameters!$B$33="C",'consumption scenario C'!P76,'consumption scenario A'!P76))</f>
        <v>0.31404869172901023</v>
      </c>
      <c r="Q53" s="306">
        <f>IF(parameters!$B$33="B",'consumption scenario B'!Q76,IF(parameters!$B$33="C",'consumption scenario C'!Q76,'consumption scenario A'!Q76))</f>
        <v>0.31819413445983319</v>
      </c>
      <c r="R53" s="306">
        <f>IF(parameters!$B$33="B",'consumption scenario B'!R76,IF(parameters!$B$33="C",'consumption scenario C'!R76,'consumption scenario A'!R76))</f>
        <v>0.32239429703470301</v>
      </c>
      <c r="S53" s="306">
        <f>IF(parameters!$B$33="B",'consumption scenario B'!S76,IF(parameters!$B$33="C",'consumption scenario C'!S76,'consumption scenario A'!S76))</f>
        <v>0.32664990175556113</v>
      </c>
      <c r="T53" s="306">
        <f>IF(parameters!$B$33="B",'consumption scenario B'!T76,IF(parameters!$B$33="C",'consumption scenario C'!T76,'consumption scenario A'!T76))</f>
        <v>0.33096168045873459</v>
      </c>
      <c r="U53" s="306">
        <f>IF(parameters!$B$33="B",'consumption scenario B'!U76,IF(parameters!$B$33="C",'consumption scenario C'!U76,'consumption scenario A'!U76))</f>
        <v>0.33533037464078991</v>
      </c>
      <c r="V53" s="306">
        <f>IF(parameters!$B$33="B",'consumption scenario B'!V76,IF(parameters!$B$33="C",'consumption scenario C'!V76,'consumption scenario A'!V76))</f>
        <v>0.33975673558604835</v>
      </c>
      <c r="W53" s="306">
        <f>IF(parameters!$B$33="B",'consumption scenario B'!W76,IF(parameters!$B$33="C",'consumption scenario C'!W76,'consumption scenario A'!W76))</f>
        <v>0.34424152449578421</v>
      </c>
      <c r="X53" s="306">
        <f>IF(parameters!$B$33="B",'consumption scenario B'!X76,IF(parameters!$B$33="C",'consumption scenario C'!X76,'consumption scenario A'!X76))</f>
        <v>0.3487855126191286</v>
      </c>
      <c r="Y53" s="306">
        <f>IF(parameters!$B$33="B",'consumption scenario B'!Y76,IF(parameters!$B$33="C",'consumption scenario C'!Y76,'consumption scenario A'!Y76))</f>
        <v>0.35338948138570114</v>
      </c>
      <c r="Z53" s="306">
        <f>IF(parameters!$B$33="B",'consumption scenario B'!Z76,IF(parameters!$B$33="C",'consumption scenario C'!Z76,'consumption scenario A'!Z76))</f>
        <v>0.35805422253999242</v>
      </c>
      <c r="AA53" s="306">
        <f>IF(parameters!$B$33="B",'consumption scenario B'!AA76,IF(parameters!$B$33="C",'consumption scenario C'!AA76,'consumption scenario A'!AA76))</f>
        <v>0.36278053827752033</v>
      </c>
      <c r="AB53" s="306">
        <f>IF(parameters!$B$33="B",'consumption scenario B'!AB76,IF(parameters!$B$33="C",'consumption scenario C'!AB76,'consumption scenario A'!AB76))</f>
        <v>0.36756924138278363</v>
      </c>
      <c r="AC53" s="306">
        <f>IF(parameters!$B$33="B",'consumption scenario B'!AC76,IF(parameters!$B$33="C",'consumption scenario C'!AC76,'consumption scenario A'!AC76))</f>
        <v>0.37242115536903642</v>
      </c>
      <c r="AD53" s="306">
        <f>IF(parameters!$B$33="B",'consumption scenario B'!AD76,IF(parameters!$B$33="C",'consumption scenario C'!AD76,'consumption scenario A'!AD76))</f>
        <v>0.37733711461990771</v>
      </c>
      <c r="AE53" s="306">
        <f>IF(parameters!$B$33="B",'consumption scenario B'!AE76,IF(parameters!$B$33="C",'consumption scenario C'!AE76,'consumption scenario A'!AE76))</f>
        <v>0.38231796453289052</v>
      </c>
      <c r="AF53" s="306">
        <f>IF(parameters!$B$33="B",'consumption scenario B'!AF76,IF(parameters!$B$33="C",'consumption scenario C'!AF76,'consumption scenario A'!AF76))</f>
        <v>0.38736456166472472</v>
      </c>
      <c r="AG53" s="306">
        <f>IF(parameters!$B$33="B",'consumption scenario B'!AG76,IF(parameters!$B$33="C",'consumption scenario C'!AG76,'consumption scenario A'!AG76))</f>
        <v>0.39247777387869914</v>
      </c>
      <c r="AH53" s="306">
        <f>IF(parameters!$B$33="B",'consumption scenario B'!AH76,IF(parameters!$B$33="C",'consumption scenario C'!AH76,'consumption scenario A'!AH76))</f>
        <v>0.39765848049389801</v>
      </c>
      <c r="AI53" s="306">
        <f>IF(parameters!$B$33="B",'consumption scenario B'!AI76,IF(parameters!$B$33="C",'consumption scenario C'!AI76,'consumption scenario A'!AI76))</f>
        <v>0.4029075724364175</v>
      </c>
      <c r="AJ53" s="306">
        <f>IF(parameters!$B$33="B",'consumption scenario B'!AJ76,IF(parameters!$B$33="C",'consumption scenario C'!AJ76,'consumption scenario A'!AJ76))</f>
        <v>0.40822595239257825</v>
      </c>
      <c r="AK53" s="306">
        <f>IF(parameters!$B$33="B",'consumption scenario B'!AK76,IF(parameters!$B$33="C",'consumption scenario C'!AK76,'consumption scenario A'!AK76))</f>
        <v>0.41361453496416034</v>
      </c>
      <c r="AL53" s="306">
        <f>IF(parameters!$B$33="B",'consumption scenario B'!AL76,IF(parameters!$B$33="C",'consumption scenario C'!AL76,'consumption scenario A'!AL76))</f>
        <v>0.41907424682568728</v>
      </c>
      <c r="AM53" s="306">
        <f>IF(parameters!$B$33="B",'consumption scenario B'!AM76,IF(parameters!$B$33="C",'consumption scenario C'!AM76,'consumption scenario A'!AM76))</f>
        <v>0.4246060268837864</v>
      </c>
      <c r="AN53" s="306">
        <f>IF(parameters!$B$33="B",'consumption scenario B'!AN76,IF(parameters!$B$33="C",'consumption scenario C'!AN76,'consumption scenario A'!AN76))</f>
        <v>0.43021082643865244</v>
      </c>
      <c r="AO53" s="306">
        <f>IF(parameters!$B$33="B",'consumption scenario B'!AO76,IF(parameters!$B$33="C",'consumption scenario C'!AO76,'consumption scenario A'!AO76))</f>
        <v>0.4358896093476427</v>
      </c>
      <c r="AP53" s="306">
        <f>IF(parameters!$B$33="B",'consumption scenario B'!AP76,IF(parameters!$B$33="C",'consumption scenario C'!AP76,'consumption scenario A'!AP76))</f>
        <v>0.44164335219103162</v>
      </c>
      <c r="AQ53" s="306">
        <f>IF(parameters!$B$33="B",'consumption scenario B'!AQ76,IF(parameters!$B$33="C",'consumption scenario C'!AQ76,'consumption scenario A'!AQ76))</f>
        <v>0.44747304443995328</v>
      </c>
      <c r="AR53" s="306">
        <f>IF(parameters!$B$33="B",'consumption scenario B'!AR76,IF(parameters!$B$33="C",'consumption scenario C'!AR76,'consumption scenario A'!AR76))</f>
        <v>0.4533796886265607</v>
      </c>
      <c r="AS53" s="306">
        <f>IF(parameters!$B$33="B",'consumption scenario B'!AS76,IF(parameters!$B$33="C",'consumption scenario C'!AS76,'consumption scenario A'!AS76))</f>
        <v>0.45936430051643135</v>
      </c>
      <c r="AT53" s="306">
        <f>IF(parameters!$B$33="B",'consumption scenario B'!AT76,IF(parameters!$B$33="C",'consumption scenario C'!AT76,'consumption scenario A'!AT76))</f>
        <v>0.46542790928324829</v>
      </c>
      <c r="AU53" s="306">
        <f>IF(parameters!$B$33="B",'consumption scenario B'!AU76,IF(parameters!$B$33="C",'consumption scenario C'!AU76,'consumption scenario A'!AU76))</f>
        <v>0.47157155768578723</v>
      </c>
      <c r="AV53" s="442">
        <f t="shared" si="6"/>
        <v>0.48202467178198549</v>
      </c>
      <c r="AW53"/>
      <c r="AX53"/>
      <c r="AY53"/>
      <c r="AZ53"/>
      <c r="BA53"/>
      <c r="BB53"/>
      <c r="BC53"/>
      <c r="BD53"/>
    </row>
    <row r="54" spans="1:56">
      <c r="A54" s="112" t="s">
        <v>450</v>
      </c>
      <c r="B54" s="306">
        <f>IF(parameters!$B$33="B",'consumption scenario B'!B77,IF(parameters!$B$33="C",'consumption scenario C'!B77,'consumption scenario A'!B77))</f>
        <v>1</v>
      </c>
      <c r="C54" s="306">
        <f>IF(parameters!$B$33="B",'consumption scenario B'!C77,IF(parameters!$B$33="C",'consumption scenario C'!C77,'consumption scenario A'!C77))</f>
        <v>2.1</v>
      </c>
      <c r="D54" s="306">
        <f>IF(parameters!$B$33="B",'consumption scenario B'!D77,IF(parameters!$B$33="C",'consumption scenario C'!D77,'consumption scenario A'!D77))</f>
        <v>0.8</v>
      </c>
      <c r="E54" s="306">
        <f>IF(parameters!$B$33="B",'consumption scenario B'!E77,IF(parameters!$B$33="C",'consumption scenario C'!E77,'consumption scenario A'!E77))</f>
        <v>0.9</v>
      </c>
      <c r="F54" s="306">
        <f>IF(parameters!$B$33="B",'consumption scenario B'!F77,IF(parameters!$B$33="C",'consumption scenario C'!F77,'consumption scenario A'!F77))</f>
        <v>0.5</v>
      </c>
      <c r="G54" s="306">
        <f>IF(parameters!$B$33="B",'consumption scenario B'!G77,IF(parameters!$B$33="C",'consumption scenario C'!G77,'consumption scenario A'!G77))</f>
        <v>0.5</v>
      </c>
      <c r="H54" s="306">
        <f>IF(parameters!$B$33="B",'consumption scenario B'!H77,IF(parameters!$B$33="C",'consumption scenario C'!H77,'consumption scenario A'!H77))</f>
        <v>0.5</v>
      </c>
      <c r="I54" s="306">
        <f>IF(parameters!$B$33="B",'consumption scenario B'!I77,IF(parameters!$B$33="C",'consumption scenario C'!I77,'consumption scenario A'!I77))</f>
        <v>0.64</v>
      </c>
      <c r="J54" s="306">
        <f>IF(parameters!$B$33="B",'consumption scenario B'!J77,IF(parameters!$B$33="C",'consumption scenario C'!J77,'consumption scenario A'!J77))</f>
        <v>0.72599999999999998</v>
      </c>
      <c r="K54" s="306">
        <f>IF(parameters!$B$33="B",'consumption scenario B'!K77,IF(parameters!$B$33="C",'consumption scenario C'!K77,'consumption scenario A'!K77))</f>
        <v>0.72599999999999998</v>
      </c>
      <c r="L54" s="306">
        <f>IF(parameters!$B$33="B",'consumption scenario B'!L77,IF(parameters!$B$33="C",'consumption scenario C'!L77,'consumption scenario A'!L77))</f>
        <v>0.78</v>
      </c>
      <c r="M54" s="306">
        <f>IF(parameters!$B$33="B",'consumption scenario B'!M77,IF(parameters!$B$33="C",'consumption scenario C'!M77,'consumption scenario A'!M77))</f>
        <v>0.79029600000000011</v>
      </c>
      <c r="N54" s="306">
        <f>IF(parameters!$B$33="B",'consumption scenario B'!N77,IF(parameters!$B$33="C",'consumption scenario C'!N77,'consumption scenario A'!N77))</f>
        <v>0.8007279072000002</v>
      </c>
      <c r="O54" s="306">
        <f>IF(parameters!$B$33="B",'consumption scenario B'!O77,IF(parameters!$B$33="C",'consumption scenario C'!O77,'consumption scenario A'!O77))</f>
        <v>0.81129751557504026</v>
      </c>
      <c r="P54" s="306">
        <f>IF(parameters!$B$33="B",'consumption scenario B'!P77,IF(parameters!$B$33="C",'consumption scenario C'!P77,'consumption scenario A'!P77))</f>
        <v>0.82200664278063085</v>
      </c>
      <c r="Q54" s="306">
        <f>IF(parameters!$B$33="B",'consumption scenario B'!Q77,IF(parameters!$B$33="C",'consumption scenario C'!Q77,'consumption scenario A'!Q77))</f>
        <v>0.83285713046533527</v>
      </c>
      <c r="R54" s="306">
        <f>IF(parameters!$B$33="B",'consumption scenario B'!R77,IF(parameters!$B$33="C",'consumption scenario C'!R77,'consumption scenario A'!R77))</f>
        <v>0.84385084458747783</v>
      </c>
      <c r="S54" s="306">
        <f>IF(parameters!$B$33="B",'consumption scenario B'!S77,IF(parameters!$B$33="C",'consumption scenario C'!S77,'consumption scenario A'!S77))</f>
        <v>0.85498967573603257</v>
      </c>
      <c r="T54" s="306">
        <f>IF(parameters!$B$33="B",'consumption scenario B'!T77,IF(parameters!$B$33="C",'consumption scenario C'!T77,'consumption scenario A'!T77))</f>
        <v>0.86627553945574831</v>
      </c>
      <c r="U54" s="306">
        <f>IF(parameters!$B$33="B",'consumption scenario B'!U77,IF(parameters!$B$33="C",'consumption scenario C'!U77,'consumption scenario A'!U77))</f>
        <v>0.87771037657656426</v>
      </c>
      <c r="V54" s="306">
        <f>IF(parameters!$B$33="B",'consumption scenario B'!V77,IF(parameters!$B$33="C",'consumption scenario C'!V77,'consumption scenario A'!V77))</f>
        <v>0.88929615354737501</v>
      </c>
      <c r="W54" s="306">
        <f>IF(parameters!$B$33="B",'consumption scenario B'!W77,IF(parameters!$B$33="C",'consumption scenario C'!W77,'consumption scenario A'!W77))</f>
        <v>0.90103486277420042</v>
      </c>
      <c r="X54" s="306">
        <f>IF(parameters!$B$33="B",'consumption scenario B'!X77,IF(parameters!$B$33="C",'consumption scenario C'!X77,'consumption scenario A'!X77))</f>
        <v>0.9129285229628199</v>
      </c>
      <c r="Y54" s="306">
        <f>IF(parameters!$B$33="B",'consumption scenario B'!Y77,IF(parameters!$B$33="C",'consumption scenario C'!Y77,'consumption scenario A'!Y77))</f>
        <v>0.92497917946592922</v>
      </c>
      <c r="Z54" s="306">
        <f>IF(parameters!$B$33="B",'consumption scenario B'!Z77,IF(parameters!$B$33="C",'consumption scenario C'!Z77,'consumption scenario A'!Z77))</f>
        <v>0.93718890463487958</v>
      </c>
      <c r="AA54" s="306">
        <f>IF(parameters!$B$33="B",'consumption scenario B'!AA77,IF(parameters!$B$33="C",'consumption scenario C'!AA77,'consumption scenario A'!AA77))</f>
        <v>0.94955979817606007</v>
      </c>
      <c r="AB54" s="306">
        <f>IF(parameters!$B$33="B",'consumption scenario B'!AB77,IF(parameters!$B$33="C",'consumption scenario C'!AB77,'consumption scenario A'!AB77))</f>
        <v>0.96209398751198416</v>
      </c>
      <c r="AC54" s="306">
        <f>IF(parameters!$B$33="B",'consumption scenario B'!AC77,IF(parameters!$B$33="C",'consumption scenario C'!AC77,'consumption scenario A'!AC77))</f>
        <v>0.97479362814714243</v>
      </c>
      <c r="AD54" s="306">
        <f>IF(parameters!$B$33="B",'consumption scenario B'!AD77,IF(parameters!$B$33="C",'consumption scenario C'!AD77,'consumption scenario A'!AD77))</f>
        <v>0.98766090403868478</v>
      </c>
      <c r="AE54" s="306">
        <f>IF(parameters!$B$33="B",'consumption scenario B'!AE77,IF(parameters!$B$33="C",'consumption scenario C'!AE77,'consumption scenario A'!AE77))</f>
        <v>1.0006980279719955</v>
      </c>
      <c r="AF54" s="306">
        <f>IF(parameters!$B$33="B",'consumption scenario B'!AF77,IF(parameters!$B$33="C",'consumption scenario C'!AF77,'consumption scenario A'!AF77))</f>
        <v>1.0139072419412258</v>
      </c>
      <c r="AG54" s="306">
        <f>IF(parameters!$B$33="B",'consumption scenario B'!AG77,IF(parameters!$B$33="C",'consumption scenario C'!AG77,'consumption scenario A'!AG77))</f>
        <v>1.0272908175348501</v>
      </c>
      <c r="AH54" s="306">
        <f>IF(parameters!$B$33="B",'consumption scenario B'!AH77,IF(parameters!$B$33="C",'consumption scenario C'!AH77,'consumption scenario A'!AH77))</f>
        <v>1.0408510563263103</v>
      </c>
      <c r="AI54" s="306">
        <f>IF(parameters!$B$33="B",'consumption scenario B'!AI77,IF(parameters!$B$33="C",'consumption scenario C'!AI77,'consumption scenario A'!AI77))</f>
        <v>1.0545902902698177</v>
      </c>
      <c r="AJ54" s="306">
        <f>IF(parameters!$B$33="B",'consumption scenario B'!AJ77,IF(parameters!$B$33="C",'consumption scenario C'!AJ77,'consumption scenario A'!AJ77))</f>
        <v>1.0685108821013793</v>
      </c>
      <c r="AK54" s="306">
        <f>IF(parameters!$B$33="B",'consumption scenario B'!AK77,IF(parameters!$B$33="C",'consumption scenario C'!AK77,'consumption scenario A'!AK77))</f>
        <v>1.0826152257451176</v>
      </c>
      <c r="AL54" s="306">
        <f>IF(parameters!$B$33="B",'consumption scenario B'!AL77,IF(parameters!$B$33="C",'consumption scenario C'!AL77,'consumption scenario A'!AL77))</f>
        <v>1.0969057467249532</v>
      </c>
      <c r="AM54" s="306">
        <f>IF(parameters!$B$33="B",'consumption scenario B'!AM77,IF(parameters!$B$33="C",'consumption scenario C'!AM77,'consumption scenario A'!AM77))</f>
        <v>1.1113849025817226</v>
      </c>
      <c r="AN54" s="306">
        <f>IF(parameters!$B$33="B",'consumption scenario B'!AN77,IF(parameters!$B$33="C",'consumption scenario C'!AN77,'consumption scenario A'!AN77))</f>
        <v>1.1260551832958015</v>
      </c>
      <c r="AO54" s="306">
        <f>IF(parameters!$B$33="B",'consumption scenario B'!AO77,IF(parameters!$B$33="C",'consumption scenario C'!AO77,'consumption scenario A'!AO77))</f>
        <v>1.1409191117153061</v>
      </c>
      <c r="AP54" s="306">
        <f>IF(parameters!$B$33="B",'consumption scenario B'!AP77,IF(parameters!$B$33="C",'consumption scenario C'!AP77,'consumption scenario A'!AP77))</f>
        <v>1.1559792439899483</v>
      </c>
      <c r="AQ54" s="306">
        <f>IF(parameters!$B$33="B",'consumption scenario B'!AQ77,IF(parameters!$B$33="C",'consumption scenario C'!AQ77,'consumption scenario A'!AQ77))</f>
        <v>1.1712381700106158</v>
      </c>
      <c r="AR54" s="306">
        <f>IF(parameters!$B$33="B",'consumption scenario B'!AR77,IF(parameters!$B$33="C",'consumption scenario C'!AR77,'consumption scenario A'!AR77))</f>
        <v>1.1866985138547561</v>
      </c>
      <c r="AS54" s="306">
        <f>IF(parameters!$B$33="B",'consumption scenario B'!AS77,IF(parameters!$B$33="C",'consumption scenario C'!AS77,'consumption scenario A'!AS77))</f>
        <v>1.202362934237639</v>
      </c>
      <c r="AT54" s="306">
        <f>IF(parameters!$B$33="B",'consumption scenario B'!AT77,IF(parameters!$B$33="C",'consumption scenario C'!AT77,'consumption scenario A'!AT77))</f>
        <v>1.2182341249695758</v>
      </c>
      <c r="AU54" s="306">
        <f>IF(parameters!$B$33="B",'consumption scenario B'!AU77,IF(parameters!$B$33="C",'consumption scenario C'!AU77,'consumption scenario A'!AU77))</f>
        <v>1.2343148154191743</v>
      </c>
      <c r="AV54" s="442">
        <f t="shared" si="6"/>
        <v>0.48202467178198494</v>
      </c>
      <c r="AW54"/>
      <c r="AX54"/>
      <c r="AY54"/>
      <c r="AZ54"/>
      <c r="BA54"/>
      <c r="BB54"/>
      <c r="BC54"/>
      <c r="BD54"/>
    </row>
    <row r="55" spans="1:56">
      <c r="A55" s="112" t="s">
        <v>451</v>
      </c>
      <c r="B55" s="306">
        <f>IF(parameters!$B$33="B",'consumption scenario B'!B78,IF(parameters!$B$33="C",'consumption scenario C'!B78,'consumption scenario A'!B78))</f>
        <v>0.03</v>
      </c>
      <c r="C55" s="306">
        <f>IF(parameters!$B$33="B",'consumption scenario B'!C78,IF(parameters!$B$33="C",'consumption scenario C'!C78,'consumption scenario A'!C78))</f>
        <v>2.5000000000000001E-2</v>
      </c>
      <c r="D55" s="306">
        <f>IF(parameters!$B$33="B",'consumption scenario B'!D78,IF(parameters!$B$33="C",'consumption scenario C'!D78,'consumption scenario A'!D78))</f>
        <v>0.02</v>
      </c>
      <c r="E55" s="306">
        <f>IF(parameters!$B$33="B",'consumption scenario B'!E78,IF(parameters!$B$33="C",'consumption scenario C'!E78,'consumption scenario A'!E78))</f>
        <v>0.02</v>
      </c>
      <c r="F55" s="306">
        <f>IF(parameters!$B$33="B",'consumption scenario B'!F78,IF(parameters!$B$33="C",'consumption scenario C'!F78,'consumption scenario A'!F78))</f>
        <v>1.4999999999999999E-2</v>
      </c>
      <c r="G55" s="306">
        <f>IF(parameters!$B$33="B",'consumption scenario B'!G78,IF(parameters!$B$33="C",'consumption scenario C'!G78,'consumption scenario A'!G78))</f>
        <v>0.01</v>
      </c>
      <c r="H55" s="306">
        <f>IF(parameters!$B$33="B",'consumption scenario B'!H78,IF(parameters!$B$33="C",'consumption scenario C'!H78,'consumption scenario A'!H78))</f>
        <v>0.01</v>
      </c>
      <c r="I55" s="306">
        <f>IF(parameters!$B$33="B",'consumption scenario B'!I78,IF(parameters!$B$33="C",'consumption scenario C'!I78,'consumption scenario A'!I78))</f>
        <v>1.4999999999999999E-2</v>
      </c>
      <c r="J55" s="306">
        <f>IF(parameters!$B$33="B",'consumption scenario B'!J78,IF(parameters!$B$33="C",'consumption scenario C'!J78,'consumption scenario A'!J78))</f>
        <v>1.3000000000000001E-2</v>
      </c>
      <c r="K55" s="306">
        <f>IF(parameters!$B$33="B",'consumption scenario B'!K78,IF(parameters!$B$33="C",'consumption scenario C'!K78,'consumption scenario A'!K78))</f>
        <v>1.3000000000000001E-2</v>
      </c>
      <c r="L55" s="306">
        <f>IF(parameters!$B$33="B",'consumption scenario B'!L78,IF(parameters!$B$33="C",'consumption scenario C'!L78,'consumption scenario A'!L78))</f>
        <v>1.1000000000000001E-2</v>
      </c>
      <c r="M55" s="306">
        <f>IF(parameters!$B$33="B",'consumption scenario B'!M78,IF(parameters!$B$33="C",'consumption scenario C'!M78,'consumption scenario A'!M78))</f>
        <v>1.1145200000000003E-2</v>
      </c>
      <c r="N55" s="306">
        <f>IF(parameters!$B$33="B",'consumption scenario B'!N78,IF(parameters!$B$33="C",'consumption scenario C'!N78,'consumption scenario A'!N78))</f>
        <v>1.1292316640000005E-2</v>
      </c>
      <c r="O55" s="306">
        <f>IF(parameters!$B$33="B",'consumption scenario B'!O78,IF(parameters!$B$33="C",'consumption scenario C'!O78,'consumption scenario A'!O78))</f>
        <v>1.1441375219648007E-2</v>
      </c>
      <c r="P55" s="306">
        <f>IF(parameters!$B$33="B",'consumption scenario B'!P78,IF(parameters!$B$33="C",'consumption scenario C'!P78,'consumption scenario A'!P78))</f>
        <v>1.1592401372547361E-2</v>
      </c>
      <c r="Q55" s="306">
        <f>IF(parameters!$B$33="B",'consumption scenario B'!Q78,IF(parameters!$B$33="C",'consumption scenario C'!Q78,'consumption scenario A'!Q78))</f>
        <v>1.1745421070664988E-2</v>
      </c>
      <c r="R55" s="306">
        <f>IF(parameters!$B$33="B",'consumption scenario B'!R78,IF(parameters!$B$33="C",'consumption scenario C'!R78,'consumption scenario A'!R78))</f>
        <v>1.1900460628797767E-2</v>
      </c>
      <c r="S55" s="306">
        <f>IF(parameters!$B$33="B",'consumption scenario B'!S78,IF(parameters!$B$33="C",'consumption scenario C'!S78,'consumption scenario A'!S78))</f>
        <v>1.2057546709097899E-2</v>
      </c>
      <c r="T55" s="306">
        <f>IF(parameters!$B$33="B",'consumption scenario B'!T78,IF(parameters!$B$33="C",'consumption scenario C'!T78,'consumption scenario A'!T78))</f>
        <v>1.2216706325657993E-2</v>
      </c>
      <c r="U55" s="306">
        <f>IF(parameters!$B$33="B",'consumption scenario B'!U78,IF(parameters!$B$33="C",'consumption scenario C'!U78,'consumption scenario A'!U78))</f>
        <v>1.237796684915668E-2</v>
      </c>
      <c r="V55" s="306">
        <f>IF(parameters!$B$33="B",'consumption scenario B'!V78,IF(parameters!$B$33="C",'consumption scenario C'!V78,'consumption scenario A'!V78))</f>
        <v>1.2541356011565549E-2</v>
      </c>
      <c r="W55" s="306">
        <f>IF(parameters!$B$33="B",'consumption scenario B'!W78,IF(parameters!$B$33="C",'consumption scenario C'!W78,'consumption scenario A'!W78))</f>
        <v>1.2706901910918215E-2</v>
      </c>
      <c r="X55" s="306">
        <f>IF(parameters!$B$33="B",'consumption scenario B'!X78,IF(parameters!$B$33="C",'consumption scenario C'!X78,'consumption scenario A'!X78))</f>
        <v>1.2874633016142337E-2</v>
      </c>
      <c r="Y55" s="306">
        <f>IF(parameters!$B$33="B",'consumption scenario B'!Y78,IF(parameters!$B$33="C",'consumption scenario C'!Y78,'consumption scenario A'!Y78))</f>
        <v>1.3044578171955418E-2</v>
      </c>
      <c r="Z55" s="306">
        <f>IF(parameters!$B$33="B",'consumption scenario B'!Z78,IF(parameters!$B$33="C",'consumption scenario C'!Z78,'consumption scenario A'!Z78))</f>
        <v>1.3216766603825231E-2</v>
      </c>
      <c r="AA55" s="306">
        <f>IF(parameters!$B$33="B",'consumption scenario B'!AA78,IF(parameters!$B$33="C",'consumption scenario C'!AA78,'consumption scenario A'!AA78))</f>
        <v>1.3391227922995725E-2</v>
      </c>
      <c r="AB55" s="306">
        <f>IF(parameters!$B$33="B",'consumption scenario B'!AB78,IF(parameters!$B$33="C",'consumption scenario C'!AB78,'consumption scenario A'!AB78))</f>
        <v>1.3567992131579271E-2</v>
      </c>
      <c r="AC55" s="306">
        <f>IF(parameters!$B$33="B",'consumption scenario B'!AC78,IF(parameters!$B$33="C",'consumption scenario C'!AC78,'consumption scenario A'!AC78))</f>
        <v>1.3747089627716119E-2</v>
      </c>
      <c r="AD55" s="306">
        <f>IF(parameters!$B$33="B",'consumption scenario B'!AD78,IF(parameters!$B$33="C",'consumption scenario C'!AD78,'consumption scenario A'!AD78))</f>
        <v>1.3928551210801974E-2</v>
      </c>
      <c r="AE55" s="306">
        <f>IF(parameters!$B$33="B",'consumption scenario B'!AE78,IF(parameters!$B$33="C",'consumption scenario C'!AE78,'consumption scenario A'!AE78))</f>
        <v>1.4112408086784562E-2</v>
      </c>
      <c r="AF55" s="306">
        <f>IF(parameters!$B$33="B",'consumption scenario B'!AF78,IF(parameters!$B$33="C",'consumption scenario C'!AF78,'consumption scenario A'!AF78))</f>
        <v>1.429869187353012E-2</v>
      </c>
      <c r="AG55" s="306">
        <f>IF(parameters!$B$33="B",'consumption scenario B'!AG78,IF(parameters!$B$33="C",'consumption scenario C'!AG78,'consumption scenario A'!AG78))</f>
        <v>1.4487434606260719E-2</v>
      </c>
      <c r="AH55" s="306">
        <f>IF(parameters!$B$33="B",'consumption scenario B'!AH78,IF(parameters!$B$33="C",'consumption scenario C'!AH78,'consumption scenario A'!AH78))</f>
        <v>1.4678668743063361E-2</v>
      </c>
      <c r="AI55" s="306">
        <f>IF(parameters!$B$33="B",'consumption scenario B'!AI78,IF(parameters!$B$33="C",'consumption scenario C'!AI78,'consumption scenario A'!AI78))</f>
        <v>1.4872427170471799E-2</v>
      </c>
      <c r="AJ55" s="306">
        <f>IF(parameters!$B$33="B",'consumption scenario B'!AJ78,IF(parameters!$B$33="C",'consumption scenario C'!AJ78,'consumption scenario A'!AJ78))</f>
        <v>1.5068743209122028E-2</v>
      </c>
      <c r="AK55" s="306">
        <f>IF(parameters!$B$33="B",'consumption scenario B'!AK78,IF(parameters!$B$33="C",'consumption scenario C'!AK78,'consumption scenario A'!AK78))</f>
        <v>1.526765061948244E-2</v>
      </c>
      <c r="AL55" s="306">
        <f>IF(parameters!$B$33="B",'consumption scenario B'!AL78,IF(parameters!$B$33="C",'consumption scenario C'!AL78,'consumption scenario A'!AL78))</f>
        <v>1.5469183607659609E-2</v>
      </c>
      <c r="AM55" s="306">
        <f>IF(parameters!$B$33="B",'consumption scenario B'!AM78,IF(parameters!$B$33="C",'consumption scenario C'!AM78,'consumption scenario A'!AM78))</f>
        <v>1.5673376831280717E-2</v>
      </c>
      <c r="AN55" s="306">
        <f>IF(parameters!$B$33="B",'consumption scenario B'!AN78,IF(parameters!$B$33="C",'consumption scenario C'!AN78,'consumption scenario A'!AN78))</f>
        <v>1.5880265405453623E-2</v>
      </c>
      <c r="AO55" s="306">
        <f>IF(parameters!$B$33="B",'consumption scenario B'!AO78,IF(parameters!$B$33="C",'consumption scenario C'!AO78,'consumption scenario A'!AO78))</f>
        <v>1.6089884908805613E-2</v>
      </c>
      <c r="AP55" s="306">
        <f>IF(parameters!$B$33="B",'consumption scenario B'!AP78,IF(parameters!$B$33="C",'consumption scenario C'!AP78,'consumption scenario A'!AP78))</f>
        <v>1.6302271389601847E-2</v>
      </c>
      <c r="AQ55" s="306">
        <f>IF(parameters!$B$33="B",'consumption scenario B'!AQ78,IF(parameters!$B$33="C",'consumption scenario C'!AQ78,'consumption scenario A'!AQ78))</f>
        <v>1.6517461371944594E-2</v>
      </c>
      <c r="AR55" s="306">
        <f>IF(parameters!$B$33="B",'consumption scenario B'!AR78,IF(parameters!$B$33="C",'consumption scenario C'!AR78,'consumption scenario A'!AR78))</f>
        <v>1.6735491862054263E-2</v>
      </c>
      <c r="AS55" s="306">
        <f>IF(parameters!$B$33="B",'consumption scenario B'!AS78,IF(parameters!$B$33="C",'consumption scenario C'!AS78,'consumption scenario A'!AS78))</f>
        <v>1.6956400354633382E-2</v>
      </c>
      <c r="AT55" s="306">
        <f>IF(parameters!$B$33="B",'consumption scenario B'!AT78,IF(parameters!$B$33="C",'consumption scenario C'!AT78,'consumption scenario A'!AT78))</f>
        <v>1.7180224839314542E-2</v>
      </c>
      <c r="AU55" s="306">
        <f>IF(parameters!$B$33="B",'consumption scenario B'!AU78,IF(parameters!$B$33="C",'consumption scenario C'!AU78,'consumption scenario A'!AU78))</f>
        <v>1.7407003807193497E-2</v>
      </c>
      <c r="AV55" s="442">
        <f t="shared" si="6"/>
        <v>0.48202467178198555</v>
      </c>
    </row>
    <row r="56" spans="1:56">
      <c r="A56" s="112" t="s">
        <v>452</v>
      </c>
      <c r="B56" s="306">
        <f>IF(parameters!$B$33="B",'consumption scenario B'!B79,IF(parameters!$B$33="C",'consumption scenario C'!B79,'consumption scenario A'!B79))</f>
        <v>0.1</v>
      </c>
      <c r="C56" s="306">
        <f>IF(parameters!$B$33="B",'consumption scenario B'!C79,IF(parameters!$B$33="C",'consumption scenario C'!C79,'consumption scenario A'!C79))</f>
        <v>0.1</v>
      </c>
      <c r="D56" s="306">
        <f>IF(parameters!$B$33="B",'consumption scenario B'!D79,IF(parameters!$B$33="C",'consumption scenario C'!D79,'consumption scenario A'!D79))</f>
        <v>0.1</v>
      </c>
      <c r="E56" s="306">
        <f>IF(parameters!$B$33="B",'consumption scenario B'!E79,IF(parameters!$B$33="C",'consumption scenario C'!E79,'consumption scenario A'!E79))</f>
        <v>0.1</v>
      </c>
      <c r="F56" s="306">
        <f>IF(parameters!$B$33="B",'consumption scenario B'!F79,IF(parameters!$B$33="C",'consumption scenario C'!F79,'consumption scenario A'!F79))</f>
        <v>0.1</v>
      </c>
      <c r="G56" s="306">
        <f>IF(parameters!$B$33="B",'consumption scenario B'!G79,IF(parameters!$B$33="C",'consumption scenario C'!G79,'consumption scenario A'!G79))</f>
        <v>0.1</v>
      </c>
      <c r="H56" s="306">
        <f>IF(parameters!$B$33="B",'consumption scenario B'!H79,IF(parameters!$B$33="C",'consumption scenario C'!H79,'consumption scenario A'!H79))</f>
        <v>0.1</v>
      </c>
      <c r="I56" s="306">
        <f>IF(parameters!$B$33="B",'consumption scenario B'!I79,IF(parameters!$B$33="C",'consumption scenario C'!I79,'consumption scenario A'!I79))</f>
        <v>0.1</v>
      </c>
      <c r="J56" s="306">
        <f>IF(parameters!$B$33="B",'consumption scenario B'!J79,IF(parameters!$B$33="C",'consumption scenario C'!J79,'consumption scenario A'!J79))</f>
        <v>0.09</v>
      </c>
      <c r="K56" s="306">
        <f>IF(parameters!$B$33="B",'consumption scenario B'!K79,IF(parameters!$B$33="C",'consumption scenario C'!K79,'consumption scenario A'!K79))</f>
        <v>0.09</v>
      </c>
      <c r="L56" s="306">
        <f>IF(parameters!$B$33="B",'consumption scenario B'!L79,IF(parameters!$B$33="C",'consumption scenario C'!L79,'consumption scenario A'!L79))</f>
        <v>0.08</v>
      </c>
      <c r="M56" s="306">
        <f>IF(parameters!$B$33="B",'consumption scenario B'!M79,IF(parameters!$B$33="C",'consumption scenario C'!M79,'consumption scenario A'!M79))</f>
        <v>8.1056000000000003E-2</v>
      </c>
      <c r="N56" s="306">
        <f>IF(parameters!$B$33="B",'consumption scenario B'!N79,IF(parameters!$B$33="C",'consumption scenario C'!N79,'consumption scenario A'!N79))</f>
        <v>8.2125939200000012E-2</v>
      </c>
      <c r="O56" s="306">
        <f>IF(parameters!$B$33="B",'consumption scenario B'!O79,IF(parameters!$B$33="C",'consumption scenario C'!O79,'consumption scenario A'!O79))</f>
        <v>8.321000159744002E-2</v>
      </c>
      <c r="P56" s="306">
        <f>IF(parameters!$B$33="B",'consumption scenario B'!P79,IF(parameters!$B$33="C",'consumption scenario C'!P79,'consumption scenario A'!P79))</f>
        <v>8.4308373618526236E-2</v>
      </c>
      <c r="Q56" s="306">
        <f>IF(parameters!$B$33="B",'consumption scenario B'!Q79,IF(parameters!$B$33="C",'consumption scenario C'!Q79,'consumption scenario A'!Q79))</f>
        <v>8.5421244150290787E-2</v>
      </c>
      <c r="R56" s="306">
        <f>IF(parameters!$B$33="B",'consumption scenario B'!R79,IF(parameters!$B$33="C",'consumption scenario C'!R79,'consumption scenario A'!R79))</f>
        <v>8.6548804573074636E-2</v>
      </c>
      <c r="S56" s="306">
        <f>IF(parameters!$B$33="B",'consumption scenario B'!S79,IF(parameters!$B$33="C",'consumption scenario C'!S79,'consumption scenario A'!S79))</f>
        <v>8.769124879343923E-2</v>
      </c>
      <c r="T56" s="306">
        <f>IF(parameters!$B$33="B",'consumption scenario B'!T79,IF(parameters!$B$33="C",'consumption scenario C'!T79,'consumption scenario A'!T79))</f>
        <v>8.8848773277512644E-2</v>
      </c>
      <c r="U56" s="306">
        <f>IF(parameters!$B$33="B",'consumption scenario B'!U79,IF(parameters!$B$33="C",'consumption scenario C'!U79,'consumption scenario A'!U79))</f>
        <v>9.0021577084775817E-2</v>
      </c>
      <c r="V56" s="306">
        <f>IF(parameters!$B$33="B",'consumption scenario B'!V79,IF(parameters!$B$33="C",'consumption scenario C'!V79,'consumption scenario A'!V79))</f>
        <v>9.1209861902294867E-2</v>
      </c>
      <c r="W56" s="306">
        <f>IF(parameters!$B$33="B",'consumption scenario B'!W79,IF(parameters!$B$33="C",'consumption scenario C'!W79,'consumption scenario A'!W79))</f>
        <v>9.2413832079405164E-2</v>
      </c>
      <c r="X56" s="306">
        <f>IF(parameters!$B$33="B",'consumption scenario B'!X79,IF(parameters!$B$33="C",'consumption scenario C'!X79,'consumption scenario A'!X79))</f>
        <v>9.3633694662853317E-2</v>
      </c>
      <c r="Y56" s="306">
        <f>IF(parameters!$B$33="B",'consumption scenario B'!Y79,IF(parameters!$B$33="C",'consumption scenario C'!Y79,'consumption scenario A'!Y79))</f>
        <v>9.4869659432402997E-2</v>
      </c>
      <c r="Z56" s="306">
        <f>IF(parameters!$B$33="B",'consumption scenario B'!Z79,IF(parameters!$B$33="C",'consumption scenario C'!Z79,'consumption scenario A'!Z79))</f>
        <v>9.612193893691072E-2</v>
      </c>
      <c r="AA56" s="306">
        <f>IF(parameters!$B$33="B",'consumption scenario B'!AA79,IF(parameters!$B$33="C",'consumption scenario C'!AA79,'consumption scenario A'!AA79))</f>
        <v>9.7390748530877952E-2</v>
      </c>
      <c r="AB56" s="306">
        <f>IF(parameters!$B$33="B",'consumption scenario B'!AB79,IF(parameters!$B$33="C",'consumption scenario C'!AB79,'consumption scenario A'!AB79))</f>
        <v>9.8676306411485545E-2</v>
      </c>
      <c r="AC56" s="306">
        <f>IF(parameters!$B$33="B",'consumption scenario B'!AC79,IF(parameters!$B$33="C",'consumption scenario C'!AC79,'consumption scenario A'!AC79))</f>
        <v>9.9978833656117164E-2</v>
      </c>
      <c r="AD56" s="306">
        <f>IF(parameters!$B$33="B",'consumption scenario B'!AD79,IF(parameters!$B$33="C",'consumption scenario C'!AD79,'consumption scenario A'!AD79))</f>
        <v>0.10129855426037793</v>
      </c>
      <c r="AE56" s="306">
        <f>IF(parameters!$B$33="B",'consumption scenario B'!AE79,IF(parameters!$B$33="C",'consumption scenario C'!AE79,'consumption scenario A'!AE79))</f>
        <v>0.10263569517661493</v>
      </c>
      <c r="AF56" s="306">
        <f>IF(parameters!$B$33="B",'consumption scenario B'!AF79,IF(parameters!$B$33="C",'consumption scenario C'!AF79,'consumption scenario A'!AF79))</f>
        <v>0.10399048635294626</v>
      </c>
      <c r="AG56" s="306">
        <f>IF(parameters!$B$33="B",'consumption scenario B'!AG79,IF(parameters!$B$33="C",'consumption scenario C'!AG79,'consumption scenario A'!AG79))</f>
        <v>0.10536316077280516</v>
      </c>
      <c r="AH56" s="306">
        <f>IF(parameters!$B$33="B",'consumption scenario B'!AH79,IF(parameters!$B$33="C",'consumption scenario C'!AH79,'consumption scenario A'!AH79))</f>
        <v>0.1067539544950062</v>
      </c>
      <c r="AI56" s="306">
        <f>IF(parameters!$B$33="B",'consumption scenario B'!AI79,IF(parameters!$B$33="C",'consumption scenario C'!AI79,'consumption scenario A'!AI79))</f>
        <v>0.10816310669434029</v>
      </c>
      <c r="AJ56" s="306">
        <f>IF(parameters!$B$33="B",'consumption scenario B'!AJ79,IF(parameters!$B$33="C",'consumption scenario C'!AJ79,'consumption scenario A'!AJ79))</f>
        <v>0.10959085970270559</v>
      </c>
      <c r="AK56" s="306">
        <f>IF(parameters!$B$33="B",'consumption scenario B'!AK79,IF(parameters!$B$33="C",'consumption scenario C'!AK79,'consumption scenario A'!AK79))</f>
        <v>0.11103745905078131</v>
      </c>
      <c r="AL56" s="306">
        <f>IF(parameters!$B$33="B",'consumption scenario B'!AL79,IF(parameters!$B$33="C",'consumption scenario C'!AL79,'consumption scenario A'!AL79))</f>
        <v>0.11250315351025164</v>
      </c>
      <c r="AM56" s="306">
        <f>IF(parameters!$B$33="B",'consumption scenario B'!AM79,IF(parameters!$B$33="C",'consumption scenario C'!AM79,'consumption scenario A'!AM79))</f>
        <v>0.11398819513658698</v>
      </c>
      <c r="AN56" s="306">
        <f>IF(parameters!$B$33="B",'consumption scenario B'!AN79,IF(parameters!$B$33="C",'consumption scenario C'!AN79,'consumption scenario A'!AN79))</f>
        <v>0.11549283931238993</v>
      </c>
      <c r="AO56" s="306">
        <f>IF(parameters!$B$33="B",'consumption scenario B'!AO79,IF(parameters!$B$33="C",'consumption scenario C'!AO79,'consumption scenario A'!AO79))</f>
        <v>0.1170173447913135</v>
      </c>
      <c r="AP56" s="306">
        <f>IF(parameters!$B$33="B",'consumption scenario B'!AP79,IF(parameters!$B$33="C",'consumption scenario C'!AP79,'consumption scenario A'!AP79))</f>
        <v>0.11856197374255885</v>
      </c>
      <c r="AQ56" s="306">
        <f>IF(parameters!$B$33="B",'consumption scenario B'!AQ79,IF(parameters!$B$33="C",'consumption scenario C'!AQ79,'consumption scenario A'!AQ79))</f>
        <v>0.12012699179596063</v>
      </c>
      <c r="AR56" s="306">
        <f>IF(parameters!$B$33="B",'consumption scenario B'!AR79,IF(parameters!$B$33="C",'consumption scenario C'!AR79,'consumption scenario A'!AR79))</f>
        <v>0.12171266808766733</v>
      </c>
      <c r="AS56" s="306">
        <f>IF(parameters!$B$33="B",'consumption scenario B'!AS79,IF(parameters!$B$33="C",'consumption scenario C'!AS79,'consumption scenario A'!AS79))</f>
        <v>0.12331927530642454</v>
      </c>
      <c r="AT56" s="306">
        <f>IF(parameters!$B$33="B",'consumption scenario B'!AT79,IF(parameters!$B$33="C",'consumption scenario C'!AT79,'consumption scenario A'!AT79))</f>
        <v>0.12494708974046936</v>
      </c>
      <c r="AU56" s="306">
        <f>IF(parameters!$B$33="B",'consumption scenario B'!AU79,IF(parameters!$B$33="C",'consumption scenario C'!AU79,'consumption scenario A'!AU79))</f>
        <v>0.12659639132504358</v>
      </c>
      <c r="AV56" s="442">
        <f t="shared" si="6"/>
        <v>0.48202467178198577</v>
      </c>
    </row>
    <row r="57" spans="1:56">
      <c r="A57" s="112" t="s">
        <v>453</v>
      </c>
      <c r="B57" s="306">
        <f>IF(parameters!$B$33="B",'consumption scenario B'!B80,IF(parameters!$B$33="C",'consumption scenario C'!B80,'consumption scenario A'!B80))</f>
        <v>2.1</v>
      </c>
      <c r="C57" s="306">
        <f>IF(parameters!$B$33="B",'consumption scenario B'!C80,IF(parameters!$B$33="C",'consumption scenario C'!C80,'consumption scenario A'!C80))</f>
        <v>2.2000000000000002</v>
      </c>
      <c r="D57" s="306">
        <f>IF(parameters!$B$33="B",'consumption scenario B'!D80,IF(parameters!$B$33="C",'consumption scenario C'!D80,'consumption scenario A'!D80))</f>
        <v>2.2000000000000002</v>
      </c>
      <c r="E57" s="306">
        <f>IF(parameters!$B$33="B",'consumption scenario B'!E80,IF(parameters!$B$33="C",'consumption scenario C'!E80,'consumption scenario A'!E80))</f>
        <v>2.2000000000000002</v>
      </c>
      <c r="F57" s="306">
        <f>IF(parameters!$B$33="B",'consumption scenario B'!F80,IF(parameters!$B$33="C",'consumption scenario C'!F80,'consumption scenario A'!F80))</f>
        <v>2.2999999999999998</v>
      </c>
      <c r="G57" s="306">
        <f>IF(parameters!$B$33="B",'consumption scenario B'!G80,IF(parameters!$B$33="C",'consumption scenario C'!G80,'consumption scenario A'!G80))</f>
        <v>2.5</v>
      </c>
      <c r="H57" s="306">
        <f>IF(parameters!$B$33="B",'consumption scenario B'!H80,IF(parameters!$B$33="C",'consumption scenario C'!H80,'consumption scenario A'!H80))</f>
        <v>2.6</v>
      </c>
      <c r="I57" s="306">
        <f>IF(parameters!$B$33="B",'consumption scenario B'!I80,IF(parameters!$B$33="C",'consumption scenario C'!I80,'consumption scenario A'!I80))</f>
        <v>2.36</v>
      </c>
      <c r="J57" s="306">
        <f>IF(parameters!$B$33="B",'consumption scenario B'!J80,IF(parameters!$B$33="C",'consumption scenario C'!J80,'consumption scenario A'!J80))</f>
        <v>2.5799999999999996</v>
      </c>
      <c r="K57" s="306">
        <f>IF(parameters!$B$33="B",'consumption scenario B'!K80,IF(parameters!$B$33="C",'consumption scenario C'!K80,'consumption scenario A'!K80))</f>
        <v>2.5799999999999996</v>
      </c>
      <c r="L57" s="306">
        <f>IF(parameters!$B$33="B",'consumption scenario B'!L80,IF(parameters!$B$33="C",'consumption scenario C'!L80,'consumption scenario A'!L80))</f>
        <v>2.8220000000000001</v>
      </c>
      <c r="M57" s="306">
        <f>IF(parameters!$B$33="B",'consumption scenario B'!M80,IF(parameters!$B$33="C",'consumption scenario C'!M80,'consumption scenario A'!M80))</f>
        <v>2.8990834687246143</v>
      </c>
      <c r="N57" s="306">
        <f>IF(parameters!$B$33="B",'consumption scenario B'!N80,IF(parameters!$B$33="C",'consumption scenario C'!N80,'consumption scenario A'!N80))</f>
        <v>2.978272487112807</v>
      </c>
      <c r="O57" s="306">
        <f>IF(parameters!$B$33="B",'consumption scenario B'!O80,IF(parameters!$B$33="C",'consumption scenario C'!O80,'consumption scenario A'!O80))</f>
        <v>3.0596245686555918</v>
      </c>
      <c r="P57" s="306">
        <f>IF(parameters!$B$33="B",'consumption scenario B'!P80,IF(parameters!$B$33="C",'consumption scenario C'!P80,'consumption scenario A'!P80))</f>
        <v>3.1431987978359692</v>
      </c>
      <c r="Q57" s="306">
        <f>IF(parameters!$B$33="B",'consumption scenario B'!Q80,IF(parameters!$B$33="C",'consumption scenario C'!Q80,'consumption scenario A'!Q80))</f>
        <v>3.2290558730408714</v>
      </c>
      <c r="R57" s="306">
        <f>IF(parameters!$B$33="B",'consumption scenario B'!R80,IF(parameters!$B$33="C",'consumption scenario C'!R80,'consumption scenario A'!R80))</f>
        <v>3.3172581506452579</v>
      </c>
      <c r="S57" s="306">
        <f>IF(parameters!$B$33="B",'consumption scenario B'!S80,IF(parameters!$B$33="C",'consumption scenario C'!S80,'consumption scenario A'!S80))</f>
        <v>3.4078696903003731</v>
      </c>
      <c r="T57" s="306">
        <f>IF(parameters!$B$33="B",'consumption scenario B'!T80,IF(parameters!$B$33="C",'consumption scenario C'!T80,'consumption scenario A'!T80))</f>
        <v>3.5009563014590652</v>
      </c>
      <c r="U57" s="306">
        <f>IF(parameters!$B$33="B",'consumption scenario B'!U80,IF(parameters!$B$33="C",'consumption scenario C'!U80,'consumption scenario A'!U80))</f>
        <v>3.5965855911719502</v>
      </c>
      <c r="V57" s="306">
        <f>IF(parameters!$B$33="B",'consumption scenario B'!V80,IF(parameters!$B$33="C",'consumption scenario C'!V80,'consumption scenario A'!V80))</f>
        <v>3.694827013189137</v>
      </c>
      <c r="W57" s="306">
        <f>IF(parameters!$B$33="B",'consumption scenario B'!W80,IF(parameters!$B$33="C",'consumption scenario C'!W80,'consumption scenario A'!W80))</f>
        <v>3.7957519184031785</v>
      </c>
      <c r="X57" s="306">
        <f>IF(parameters!$B$33="B",'consumption scenario B'!X80,IF(parameters!$B$33="C",'consumption scenario C'!X80,'consumption scenario A'!X80))</f>
        <v>3.899433606669878</v>
      </c>
      <c r="Y57" s="306">
        <f>IF(parameters!$B$33="B",'consumption scenario B'!Y80,IF(parameters!$B$33="C",'consumption scenario C'!Y80,'consumption scenario A'!Y80))</f>
        <v>4.0059473800445939</v>
      </c>
      <c r="Z57" s="306">
        <f>IF(parameters!$B$33="B",'consumption scenario B'!Z80,IF(parameters!$B$33="C",'consumption scenario C'!Z80,'consumption scenario A'!Z80))</f>
        <v>4.1153705974727011</v>
      </c>
      <c r="AA57" s="306">
        <f>IF(parameters!$B$33="B",'consumption scenario B'!AA80,IF(parameters!$B$33="C",'consumption scenario C'!AA80,'consumption scenario A'!AA80))</f>
        <v>4.227782730973936</v>
      </c>
      <c r="AB57" s="306">
        <f>IF(parameters!$B$33="B",'consumption scenario B'!AB80,IF(parameters!$B$33="C",'consumption scenario C'!AB80,'consumption scenario A'!AB80))</f>
        <v>4.3432654233614247</v>
      </c>
      <c r="AC57" s="306">
        <f>IF(parameters!$B$33="B",'consumption scenario B'!AC80,IF(parameters!$B$33="C",'consumption scenario C'!AC80,'consumption scenario A'!AC80))</f>
        <v>4.4619025475373206</v>
      </c>
      <c r="AD57" s="306">
        <f>IF(parameters!$B$33="B",'consumption scenario B'!AD80,IF(parameters!$B$33="C",'consumption scenario C'!AD80,'consumption scenario A'!AD80))</f>
        <v>4.5837802674081107</v>
      </c>
      <c r="AE57" s="306">
        <f>IF(parameters!$B$33="B",'consumption scenario B'!AE80,IF(parameters!$B$33="C",'consumption scenario C'!AE80,'consumption scenario A'!AE80))</f>
        <v>4.708987100463836</v>
      </c>
      <c r="AF57" s="306">
        <f>IF(parameters!$B$33="B",'consumption scenario B'!AF80,IF(parameters!$B$33="C",'consumption scenario C'!AF80,'consumption scenario A'!AF80))</f>
        <v>4.8376139820666761</v>
      </c>
      <c r="AG57" s="306">
        <f>IF(parameters!$B$33="B",'consumption scenario B'!AG80,IF(parameters!$B$33="C",'consumption scenario C'!AG80,'consumption scenario A'!AG80))</f>
        <v>4.9697543314955892</v>
      </c>
      <c r="AH57" s="306">
        <f>IF(parameters!$B$33="B",'consumption scenario B'!AH80,IF(parameters!$B$33="C",'consumption scenario C'!AH80,'consumption scenario A'!AH80))</f>
        <v>5.1055041197949711</v>
      </c>
      <c r="AI57" s="306">
        <f>IF(parameters!$B$33="B",'consumption scenario B'!AI80,IF(parameters!$B$33="C",'consumption scenario C'!AI80,'consumption scenario A'!AI80))</f>
        <v>5.2449619394766174</v>
      </c>
      <c r="AJ57" s="306">
        <f>IF(parameters!$B$33="B",'consumption scenario B'!AJ80,IF(parameters!$B$33="C",'consumption scenario C'!AJ80,'consumption scenario A'!AJ80))</f>
        <v>5.3882290761256035</v>
      </c>
      <c r="AK57" s="306">
        <f>IF(parameters!$B$33="B",'consumption scenario B'!AK80,IF(parameters!$B$33="C",'consumption scenario C'!AK80,'consumption scenario A'!AK80))</f>
        <v>5.5354095819620976</v>
      </c>
      <c r="AL57" s="306">
        <f>IF(parameters!$B$33="B",'consumption scenario B'!AL80,IF(parameters!$B$33="C",'consumption scenario C'!AL80,'consumption scenario A'!AL80))</f>
        <v>5.6866103514125248</v>
      </c>
      <c r="AM57" s="306">
        <f>IF(parameters!$B$33="B",'consumption scenario B'!AM80,IF(parameters!$B$33="C",'consumption scenario C'!AM80,'consumption scenario A'!AM80))</f>
        <v>5.8419411987449754</v>
      </c>
      <c r="AN57" s="306">
        <f>IF(parameters!$B$33="B",'consumption scenario B'!AN80,IF(parameters!$B$33="C",'consumption scenario C'!AN80,'consumption scenario A'!AN80))</f>
        <v>6.0015149378252355</v>
      </c>
      <c r="AO57" s="306">
        <f>IF(parameters!$B$33="B",'consumption scenario B'!AO80,IF(parameters!$B$33="C",'consumption scenario C'!AO80,'consumption scenario A'!AO80))</f>
        <v>6.1654474640513719</v>
      </c>
      <c r="AP57" s="306">
        <f>IF(parameters!$B$33="B",'consumption scenario B'!AP80,IF(parameters!$B$33="C",'consumption scenario C'!AP80,'consumption scenario A'!AP80))</f>
        <v>6.3338578385263737</v>
      </c>
      <c r="AQ57" s="306">
        <f>IF(parameters!$B$33="B",'consumption scenario B'!AQ80,IF(parameters!$B$33="C",'consumption scenario C'!AQ80,'consumption scenario A'!AQ80))</f>
        <v>6.5068683745299882</v>
      </c>
      <c r="AR57" s="306">
        <f>IF(parameters!$B$33="B",'consumption scenario B'!AR80,IF(parameters!$B$33="C",'consumption scenario C'!AR80,'consumption scenario A'!AR80))</f>
        <v>6.6846047263525481</v>
      </c>
      <c r="AS57" s="306">
        <f>IF(parameters!$B$33="B",'consumption scenario B'!AS80,IF(parameters!$B$33="C",'consumption scenario C'!AS80,'consumption scenario A'!AS80))</f>
        <v>6.867195980555314</v>
      </c>
      <c r="AT57" s="306">
        <f>IF(parameters!$B$33="B",'consumption scenario B'!AT80,IF(parameters!$B$33="C",'consumption scenario C'!AT80,'consumption scenario A'!AT80))</f>
        <v>7.0547747497236104</v>
      </c>
      <c r="AU57" s="306">
        <f>IF(parameters!$B$33="B",'consumption scenario B'!AU80,IF(parameters!$B$33="C",'consumption scenario C'!AU80,'consumption scenario A'!AU80))</f>
        <v>7.2474772687808455</v>
      </c>
      <c r="AV57" s="442">
        <f t="shared" si="6"/>
        <v>1.2444570653885094</v>
      </c>
    </row>
    <row r="58" spans="1:56">
      <c r="A58" s="112" t="s">
        <v>454</v>
      </c>
      <c r="B58" s="306">
        <f>IF(parameters!$B$33="B",'consumption scenario B'!B81,IF(parameters!$B$33="C",'consumption scenario C'!B81,'consumption scenario A'!B81))</f>
        <v>0.1</v>
      </c>
      <c r="C58" s="306">
        <f>IF(parameters!$B$33="B",'consumption scenario B'!C81,IF(parameters!$B$33="C",'consumption scenario C'!C81,'consumption scenario A'!C81))</f>
        <v>0.1</v>
      </c>
      <c r="D58" s="306">
        <f>IF(parameters!$B$33="B",'consumption scenario B'!D81,IF(parameters!$B$33="C",'consumption scenario C'!D81,'consumption scenario A'!D81))</f>
        <v>0.1</v>
      </c>
      <c r="E58" s="306">
        <f>IF(parameters!$B$33="B",'consumption scenario B'!E81,IF(parameters!$B$33="C",'consumption scenario C'!E81,'consumption scenario A'!E81))</f>
        <v>0.1</v>
      </c>
      <c r="F58" s="306">
        <f>IF(parameters!$B$33="B",'consumption scenario B'!F81,IF(parameters!$B$33="C",'consumption scenario C'!F81,'consumption scenario A'!F81))</f>
        <v>0.1</v>
      </c>
      <c r="G58" s="306">
        <f>IF(parameters!$B$33="B",'consumption scenario B'!G81,IF(parameters!$B$33="C",'consumption scenario C'!G81,'consumption scenario A'!G81))</f>
        <v>0.1</v>
      </c>
      <c r="H58" s="306">
        <f>IF(parameters!$B$33="B",'consumption scenario B'!H81,IF(parameters!$B$33="C",'consumption scenario C'!H81,'consumption scenario A'!H81))</f>
        <v>0.1</v>
      </c>
      <c r="I58" s="306">
        <f>IF(parameters!$B$33="B",'consumption scenario B'!I81,IF(parameters!$B$33="C",'consumption scenario C'!I81,'consumption scenario A'!I81))</f>
        <v>0.1</v>
      </c>
      <c r="J58" s="306">
        <f>IF(parameters!$B$33="B",'consumption scenario B'!J81,IF(parameters!$B$33="C",'consumption scenario C'!J81,'consumption scenario A'!J81))</f>
        <v>9.1999999999999998E-2</v>
      </c>
      <c r="K58" s="306">
        <f>IF(parameters!$B$33="B",'consumption scenario B'!K81,IF(parameters!$B$33="C",'consumption scenario C'!K81,'consumption scenario A'!K81))</f>
        <v>9.1999999999999998E-2</v>
      </c>
      <c r="L58" s="306">
        <f>IF(parameters!$B$33="B",'consumption scenario B'!L81,IF(parameters!$B$33="C",'consumption scenario C'!L81,'consumption scenario A'!L81))</f>
        <v>8.6000000000000007E-2</v>
      </c>
      <c r="M58" s="306">
        <f>IF(parameters!$B$33="B",'consumption scenario B'!M81,IF(parameters!$B$33="C",'consumption scenario C'!M81,'consumption scenario A'!M81))</f>
        <v>8.713520000000001E-2</v>
      </c>
      <c r="N58" s="306">
        <f>IF(parameters!$B$33="B",'consumption scenario B'!N81,IF(parameters!$B$33="C",'consumption scenario C'!N81,'consumption scenario A'!N81))</f>
        <v>8.828538464000002E-2</v>
      </c>
      <c r="O58" s="306">
        <f>IF(parameters!$B$33="B",'consumption scenario B'!O81,IF(parameters!$B$33="C",'consumption scenario C'!O81,'consumption scenario A'!O81))</f>
        <v>8.9450751717248034E-2</v>
      </c>
      <c r="P58" s="306">
        <f>IF(parameters!$B$33="B",'consumption scenario B'!P81,IF(parameters!$B$33="C",'consumption scenario C'!P81,'consumption scenario A'!P81))</f>
        <v>9.0631501639915721E-2</v>
      </c>
      <c r="Q58" s="306">
        <f>IF(parameters!$B$33="B",'consumption scenario B'!Q81,IF(parameters!$B$33="C",'consumption scenario C'!Q81,'consumption scenario A'!Q81))</f>
        <v>9.1827837461562617E-2</v>
      </c>
      <c r="R58" s="306">
        <f>IF(parameters!$B$33="B",'consumption scenario B'!R81,IF(parameters!$B$33="C",'consumption scenario C'!R81,'consumption scenario A'!R81))</f>
        <v>9.3039964916055248E-2</v>
      </c>
      <c r="S58" s="306">
        <f>IF(parameters!$B$33="B",'consumption scenario B'!S81,IF(parameters!$B$33="C",'consumption scenario C'!S81,'consumption scenario A'!S81))</f>
        <v>9.4268092452947191E-2</v>
      </c>
      <c r="T58" s="306">
        <f>IF(parameters!$B$33="B",'consumption scenario B'!T81,IF(parameters!$B$33="C",'consumption scenario C'!T81,'consumption scenario A'!T81))</f>
        <v>9.5512431273326107E-2</v>
      </c>
      <c r="U58" s="306">
        <f>IF(parameters!$B$33="B",'consumption scenario B'!U81,IF(parameters!$B$33="C",'consumption scenario C'!U81,'consumption scenario A'!U81))</f>
        <v>9.6773195366134018E-2</v>
      </c>
      <c r="V58" s="306">
        <f>IF(parameters!$B$33="B",'consumption scenario B'!V81,IF(parameters!$B$33="C",'consumption scenario C'!V81,'consumption scenario A'!V81))</f>
        <v>9.8050601544967003E-2</v>
      </c>
      <c r="W58" s="306">
        <f>IF(parameters!$B$33="B",'consumption scenario B'!W81,IF(parameters!$B$33="C",'consumption scenario C'!W81,'consumption scenario A'!W81))</f>
        <v>9.9344869485360573E-2</v>
      </c>
      <c r="X58" s="306">
        <f>IF(parameters!$B$33="B",'consumption scenario B'!X81,IF(parameters!$B$33="C",'consumption scenario C'!X81,'consumption scenario A'!X81))</f>
        <v>0.10065622176256735</v>
      </c>
      <c r="Y58" s="306">
        <f>IF(parameters!$B$33="B",'consumption scenario B'!Y81,IF(parameters!$B$33="C",'consumption scenario C'!Y81,'consumption scenario A'!Y81))</f>
        <v>0.10198488388983325</v>
      </c>
      <c r="Z58" s="306">
        <f>IF(parameters!$B$33="B",'consumption scenario B'!Z81,IF(parameters!$B$33="C",'consumption scenario C'!Z81,'consumption scenario A'!Z81))</f>
        <v>0.10333108435717905</v>
      </c>
      <c r="AA58" s="306">
        <f>IF(parameters!$B$33="B",'consumption scenario B'!AA81,IF(parameters!$B$33="C",'consumption scenario C'!AA81,'consumption scenario A'!AA81))</f>
        <v>0.10469505467069383</v>
      </c>
      <c r="AB58" s="306">
        <f>IF(parameters!$B$33="B",'consumption scenario B'!AB81,IF(parameters!$B$33="C",'consumption scenario C'!AB81,'consumption scenario A'!AB81))</f>
        <v>0.10607702939234701</v>
      </c>
      <c r="AC58" s="306">
        <f>IF(parameters!$B$33="B",'consumption scenario B'!AC81,IF(parameters!$B$33="C",'consumption scenario C'!AC81,'consumption scenario A'!AC81))</f>
        <v>0.107477246180326</v>
      </c>
      <c r="AD58" s="306">
        <f>IF(parameters!$B$33="B",'consumption scenario B'!AD81,IF(parameters!$B$33="C",'consumption scenario C'!AD81,'consumption scenario A'!AD81))</f>
        <v>0.10889594582990632</v>
      </c>
      <c r="AE58" s="306">
        <f>IF(parameters!$B$33="B",'consumption scenario B'!AE81,IF(parameters!$B$33="C",'consumption scenario C'!AE81,'consumption scenario A'!AE81))</f>
        <v>0.11033337231486109</v>
      </c>
      <c r="AF58" s="306">
        <f>IF(parameters!$B$33="B",'consumption scenario B'!AF81,IF(parameters!$B$33="C",'consumption scenario C'!AF81,'consumption scenario A'!AF81))</f>
        <v>0.11178977282941727</v>
      </c>
      <c r="AG58" s="306">
        <f>IF(parameters!$B$33="B",'consumption scenario B'!AG81,IF(parameters!$B$33="C",'consumption scenario C'!AG81,'consumption scenario A'!AG81))</f>
        <v>0.11326539783076559</v>
      </c>
      <c r="AH58" s="306">
        <f>IF(parameters!$B$33="B",'consumption scenario B'!AH81,IF(parameters!$B$33="C",'consumption scenario C'!AH81,'consumption scenario A'!AH81))</f>
        <v>0.11476050108213171</v>
      </c>
      <c r="AI58" s="306">
        <f>IF(parameters!$B$33="B",'consumption scenario B'!AI81,IF(parameters!$B$33="C",'consumption scenario C'!AI81,'consumption scenario A'!AI81))</f>
        <v>0.11627533969641586</v>
      </c>
      <c r="AJ58" s="306">
        <f>IF(parameters!$B$33="B",'consumption scenario B'!AJ81,IF(parameters!$B$33="C",'consumption scenario C'!AJ81,'consumption scenario A'!AJ81))</f>
        <v>0.11781017418040857</v>
      </c>
      <c r="AK58" s="306">
        <f>IF(parameters!$B$33="B",'consumption scenario B'!AK81,IF(parameters!$B$33="C",'consumption scenario C'!AK81,'consumption scenario A'!AK81))</f>
        <v>0.11936526847958998</v>
      </c>
      <c r="AL58" s="306">
        <f>IF(parameters!$B$33="B",'consumption scenario B'!AL81,IF(parameters!$B$33="C",'consumption scenario C'!AL81,'consumption scenario A'!AL81))</f>
        <v>0.12094089002352057</v>
      </c>
      <c r="AM58" s="306">
        <f>IF(parameters!$B$33="B",'consumption scenario B'!AM81,IF(parameters!$B$33="C",'consumption scenario C'!AM81,'consumption scenario A'!AM81))</f>
        <v>0.12253730977183105</v>
      </c>
      <c r="AN58" s="306">
        <f>IF(parameters!$B$33="B",'consumption scenario B'!AN81,IF(parameters!$B$33="C",'consumption scenario C'!AN81,'consumption scenario A'!AN81))</f>
        <v>0.12415480226081924</v>
      </c>
      <c r="AO58" s="306">
        <f>IF(parameters!$B$33="B",'consumption scenario B'!AO81,IF(parameters!$B$33="C",'consumption scenario C'!AO81,'consumption scenario A'!AO81))</f>
        <v>0.12579364565066206</v>
      </c>
      <c r="AP58" s="306">
        <f>IF(parameters!$B$33="B",'consumption scenario B'!AP81,IF(parameters!$B$33="C",'consumption scenario C'!AP81,'consumption scenario A'!AP81))</f>
        <v>0.1274541217732508</v>
      </c>
      <c r="AQ58" s="306">
        <f>IF(parameters!$B$33="B",'consumption scenario B'!AQ81,IF(parameters!$B$33="C",'consumption scenario C'!AQ81,'consumption scenario A'!AQ81))</f>
        <v>0.12913651618065772</v>
      </c>
      <c r="AR58" s="306">
        <f>IF(parameters!$B$33="B",'consumption scenario B'!AR81,IF(parameters!$B$33="C",'consumption scenario C'!AR81,'consumption scenario A'!AR81))</f>
        <v>0.13084111819424241</v>
      </c>
      <c r="AS58" s="306">
        <f>IF(parameters!$B$33="B",'consumption scenario B'!AS81,IF(parameters!$B$33="C",'consumption scenario C'!AS81,'consumption scenario A'!AS81))</f>
        <v>0.13256822095440643</v>
      </c>
      <c r="AT58" s="306">
        <f>IF(parameters!$B$33="B",'consumption scenario B'!AT81,IF(parameters!$B$33="C",'consumption scenario C'!AT81,'consumption scenario A'!AT81))</f>
        <v>0.13431812147100461</v>
      </c>
      <c r="AU58" s="306">
        <f>IF(parameters!$B$33="B",'consumption scenario B'!AU81,IF(parameters!$B$33="C",'consumption scenario C'!AU81,'consumption scenario A'!AU81))</f>
        <v>0.13609112067442189</v>
      </c>
      <c r="AV58" s="442">
        <f t="shared" si="6"/>
        <v>0.48202467178198594</v>
      </c>
    </row>
    <row r="59" spans="1:56">
      <c r="A59" s="112" t="s">
        <v>455</v>
      </c>
      <c r="B59" s="306">
        <f>IF(parameters!$B$33="B",'consumption scenario B'!B82,IF(parameters!$B$33="C",'consumption scenario C'!B82,'consumption scenario A'!B82))</f>
        <v>0.19</v>
      </c>
      <c r="C59" s="306">
        <f>IF(parameters!$B$33="B",'consumption scenario B'!C82,IF(parameters!$B$33="C",'consumption scenario C'!C82,'consumption scenario A'!C82))</f>
        <v>0.18</v>
      </c>
      <c r="D59" s="306">
        <f>IF(parameters!$B$33="B",'consumption scenario B'!D82,IF(parameters!$B$33="C",'consumption scenario C'!D82,'consumption scenario A'!D82))</f>
        <v>0.17</v>
      </c>
      <c r="E59" s="306">
        <f>IF(parameters!$B$33="B",'consumption scenario B'!E82,IF(parameters!$B$33="C",'consumption scenario C'!E82,'consumption scenario A'!E82))</f>
        <v>0.16</v>
      </c>
      <c r="F59" s="306">
        <f>IF(parameters!$B$33="B",'consumption scenario B'!F82,IF(parameters!$B$33="C",'consumption scenario C'!F82,'consumption scenario A'!F82))</f>
        <v>0.15</v>
      </c>
      <c r="G59" s="306">
        <f>IF(parameters!$B$33="B",'consumption scenario B'!G82,IF(parameters!$B$33="C",'consumption scenario C'!G82,'consumption scenario A'!G82))</f>
        <v>0.14000000000000001</v>
      </c>
      <c r="H59" s="306">
        <f>IF(parameters!$B$33="B",'consumption scenario B'!H82,IF(parameters!$B$33="C",'consumption scenario C'!H82,'consumption scenario A'!H82))</f>
        <v>0.13</v>
      </c>
      <c r="I59" s="306">
        <f>IF(parameters!$B$33="B",'consumption scenario B'!I82,IF(parameters!$B$33="C",'consumption scenario C'!I82,'consumption scenario A'!I82))</f>
        <v>0.15</v>
      </c>
      <c r="J59" s="306">
        <f>IF(parameters!$B$33="B",'consumption scenario B'!J82,IF(parameters!$B$33="C",'consumption scenario C'!J82,'consumption scenario A'!J82))</f>
        <v>0.14000000000000001</v>
      </c>
      <c r="K59" s="306">
        <f>IF(parameters!$B$33="B",'consumption scenario B'!K82,IF(parameters!$B$33="C",'consumption scenario C'!K82,'consumption scenario A'!K82))</f>
        <v>0.14000000000000001</v>
      </c>
      <c r="L59" s="306">
        <f>IF(parameters!$B$33="B",'consumption scenario B'!L82,IF(parameters!$B$33="C",'consumption scenario C'!L82,'consumption scenario A'!L82))</f>
        <v>0.13</v>
      </c>
      <c r="M59" s="306">
        <f>IF(parameters!$B$33="B",'consumption scenario B'!M82,IF(parameters!$B$33="C",'consumption scenario C'!M82,'consumption scenario A'!M82))</f>
        <v>0.13171600000000003</v>
      </c>
      <c r="N59" s="306">
        <f>IF(parameters!$B$33="B",'consumption scenario B'!N82,IF(parameters!$B$33="C",'consumption scenario C'!N82,'consumption scenario A'!N82))</f>
        <v>0.13345465120000005</v>
      </c>
      <c r="O59" s="306">
        <f>IF(parameters!$B$33="B",'consumption scenario B'!O82,IF(parameters!$B$33="C",'consumption scenario C'!O82,'consumption scenario A'!O82))</f>
        <v>0.13521625259584005</v>
      </c>
      <c r="P59" s="306">
        <f>IF(parameters!$B$33="B",'consumption scenario B'!P82,IF(parameters!$B$33="C",'consumption scenario C'!P82,'consumption scenario A'!P82))</f>
        <v>0.13700110713010516</v>
      </c>
      <c r="Q59" s="306">
        <f>IF(parameters!$B$33="B",'consumption scenario B'!Q82,IF(parameters!$B$33="C",'consumption scenario C'!Q82,'consumption scenario A'!Q82))</f>
        <v>0.13880952174422256</v>
      </c>
      <c r="R59" s="306">
        <f>IF(parameters!$B$33="B",'consumption scenario B'!R82,IF(parameters!$B$33="C",'consumption scenario C'!R82,'consumption scenario A'!R82))</f>
        <v>0.14064180743124632</v>
      </c>
      <c r="S59" s="306">
        <f>IF(parameters!$B$33="B",'consumption scenario B'!S82,IF(parameters!$B$33="C",'consumption scenario C'!S82,'consumption scenario A'!S82))</f>
        <v>0.14249827928933878</v>
      </c>
      <c r="T59" s="306">
        <f>IF(parameters!$B$33="B",'consumption scenario B'!T82,IF(parameters!$B$33="C",'consumption scenario C'!T82,'consumption scenario A'!T82))</f>
        <v>0.14437925657595807</v>
      </c>
      <c r="U59" s="306">
        <f>IF(parameters!$B$33="B",'consumption scenario B'!U82,IF(parameters!$B$33="C",'consumption scenario C'!U82,'consumption scenario A'!U82))</f>
        <v>0.14628506276276074</v>
      </c>
      <c r="V59" s="306">
        <f>IF(parameters!$B$33="B",'consumption scenario B'!V82,IF(parameters!$B$33="C",'consumption scenario C'!V82,'consumption scenario A'!V82))</f>
        <v>0.14821602559122921</v>
      </c>
      <c r="W59" s="306">
        <f>IF(parameters!$B$33="B",'consumption scenario B'!W82,IF(parameters!$B$33="C",'consumption scenario C'!W82,'consumption scenario A'!W82))</f>
        <v>0.15017247712903345</v>
      </c>
      <c r="X59" s="306">
        <f>IF(parameters!$B$33="B",'consumption scenario B'!X82,IF(parameters!$B$33="C",'consumption scenario C'!X82,'consumption scenario A'!X82))</f>
        <v>0.1521547538271367</v>
      </c>
      <c r="Y59" s="306">
        <f>IF(parameters!$B$33="B",'consumption scenario B'!Y82,IF(parameters!$B$33="C",'consumption scenario C'!Y82,'consumption scenario A'!Y82))</f>
        <v>0.15416319657765493</v>
      </c>
      <c r="Z59" s="306">
        <f>IF(parameters!$B$33="B",'consumption scenario B'!Z82,IF(parameters!$B$33="C",'consumption scenario C'!Z82,'consumption scenario A'!Z82))</f>
        <v>0.15619815077247998</v>
      </c>
      <c r="AA59" s="306">
        <f>IF(parameters!$B$33="B",'consumption scenario B'!AA82,IF(parameters!$B$33="C",'consumption scenario C'!AA82,'consumption scenario A'!AA82))</f>
        <v>0.15825996636267672</v>
      </c>
      <c r="AB59" s="306">
        <f>IF(parameters!$B$33="B",'consumption scenario B'!AB82,IF(parameters!$B$33="C",'consumption scenario C'!AB82,'consumption scenario A'!AB82))</f>
        <v>0.16034899791866408</v>
      </c>
      <c r="AC59" s="306">
        <f>IF(parameters!$B$33="B",'consumption scenario B'!AC82,IF(parameters!$B$33="C",'consumption scenario C'!AC82,'consumption scenario A'!AC82))</f>
        <v>0.16246560469119045</v>
      </c>
      <c r="AD59" s="306">
        <f>IF(parameters!$B$33="B",'consumption scenario B'!AD82,IF(parameters!$B$33="C",'consumption scenario C'!AD82,'consumption scenario A'!AD82))</f>
        <v>0.16461015067311419</v>
      </c>
      <c r="AE59" s="306">
        <f>IF(parameters!$B$33="B",'consumption scenario B'!AE82,IF(parameters!$B$33="C",'consumption scenario C'!AE82,'consumption scenario A'!AE82))</f>
        <v>0.1667830046619993</v>
      </c>
      <c r="AF59" s="306">
        <f>IF(parameters!$B$33="B",'consumption scenario B'!AF82,IF(parameters!$B$33="C",'consumption scenario C'!AF82,'consumption scenario A'!AF82))</f>
        <v>0.16898454032353771</v>
      </c>
      <c r="AG59" s="306">
        <f>IF(parameters!$B$33="B",'consumption scenario B'!AG82,IF(parameters!$B$33="C",'consumption scenario C'!AG82,'consumption scenario A'!AG82))</f>
        <v>0.17121513625580842</v>
      </c>
      <c r="AH59" s="306">
        <f>IF(parameters!$B$33="B",'consumption scenario B'!AH82,IF(parameters!$B$33="C",'consumption scenario C'!AH82,'consumption scenario A'!AH82))</f>
        <v>0.17347517605438512</v>
      </c>
      <c r="AI59" s="306">
        <f>IF(parameters!$B$33="B",'consumption scenario B'!AI82,IF(parameters!$B$33="C",'consumption scenario C'!AI82,'consumption scenario A'!AI82))</f>
        <v>0.17576504837830301</v>
      </c>
      <c r="AJ59" s="306">
        <f>IF(parameters!$B$33="B",'consumption scenario B'!AJ82,IF(parameters!$B$33="C",'consumption scenario C'!AJ82,'consumption scenario A'!AJ82))</f>
        <v>0.17808514701689662</v>
      </c>
      <c r="AK59" s="306">
        <f>IF(parameters!$B$33="B",'consumption scenario B'!AK82,IF(parameters!$B$33="C",'consumption scenario C'!AK82,'consumption scenario A'!AK82))</f>
        <v>0.18043587095751967</v>
      </c>
      <c r="AL59" s="306">
        <f>IF(parameters!$B$33="B",'consumption scenario B'!AL82,IF(parameters!$B$33="C",'consumption scenario C'!AL82,'consumption scenario A'!AL82))</f>
        <v>0.18281762445415894</v>
      </c>
      <c r="AM59" s="306">
        <f>IF(parameters!$B$33="B",'consumption scenario B'!AM82,IF(parameters!$B$33="C",'consumption scenario C'!AM82,'consumption scenario A'!AM82))</f>
        <v>0.18523081709695385</v>
      </c>
      <c r="AN59" s="306">
        <f>IF(parameters!$B$33="B",'consumption scenario B'!AN82,IF(parameters!$B$33="C",'consumption scenario C'!AN82,'consumption scenario A'!AN82))</f>
        <v>0.18767586388263366</v>
      </c>
      <c r="AO59" s="306">
        <f>IF(parameters!$B$33="B",'consumption scenario B'!AO82,IF(parameters!$B$33="C",'consumption scenario C'!AO82,'consumption scenario A'!AO82))</f>
        <v>0.19015318528588443</v>
      </c>
      <c r="AP59" s="306">
        <f>IF(parameters!$B$33="B",'consumption scenario B'!AP82,IF(parameters!$B$33="C",'consumption scenario C'!AP82,'consumption scenario A'!AP82))</f>
        <v>0.19266320733165812</v>
      </c>
      <c r="AQ59" s="306">
        <f>IF(parameters!$B$33="B",'consumption scenario B'!AQ82,IF(parameters!$B$33="C",'consumption scenario C'!AQ82,'consumption scenario A'!AQ82))</f>
        <v>0.19520636166843602</v>
      </c>
      <c r="AR59" s="306">
        <f>IF(parameters!$B$33="B",'consumption scenario B'!AR82,IF(parameters!$B$33="C",'consumption scenario C'!AR82,'consumption scenario A'!AR82))</f>
        <v>0.19778308564245939</v>
      </c>
      <c r="AS59" s="306">
        <f>IF(parameters!$B$33="B",'consumption scenario B'!AS82,IF(parameters!$B$33="C",'consumption scenario C'!AS82,'consumption scenario A'!AS82))</f>
        <v>0.20039382237293987</v>
      </c>
      <c r="AT59" s="306">
        <f>IF(parameters!$B$33="B",'consumption scenario B'!AT82,IF(parameters!$B$33="C",'consumption scenario C'!AT82,'consumption scenario A'!AT82))</f>
        <v>0.2030390208282627</v>
      </c>
      <c r="AU59" s="306">
        <f>IF(parameters!$B$33="B",'consumption scenario B'!AU82,IF(parameters!$B$33="C",'consumption scenario C'!AU82,'consumption scenario A'!AU82))</f>
        <v>0.20571913590319579</v>
      </c>
      <c r="AV59" s="442">
        <f t="shared" si="6"/>
        <v>0.48202467178198527</v>
      </c>
    </row>
    <row r="60" spans="1:56" s="7" customFormat="1">
      <c r="A60" s="166" t="s">
        <v>26</v>
      </c>
      <c r="B60" s="300">
        <f t="shared" ref="B60:H60" si="13">SUM(B53:B59)</f>
        <v>4.0200000000000005</v>
      </c>
      <c r="C60" s="300">
        <f t="shared" si="13"/>
        <v>5.2050000000000001</v>
      </c>
      <c r="D60" s="300">
        <f t="shared" si="13"/>
        <v>3.89</v>
      </c>
      <c r="E60" s="300">
        <f t="shared" si="13"/>
        <v>3.7800000000000007</v>
      </c>
      <c r="F60" s="300">
        <f t="shared" si="13"/>
        <v>3.4649999999999999</v>
      </c>
      <c r="G60" s="300">
        <f t="shared" si="13"/>
        <v>3.6500000000000004</v>
      </c>
      <c r="H60" s="300">
        <f t="shared" si="13"/>
        <v>3.74</v>
      </c>
      <c r="I60" s="300">
        <f>SUM(I53:I59)</f>
        <v>3.7050000000000001</v>
      </c>
      <c r="J60" s="300">
        <f t="shared" ref="J60:AK60" si="14">SUM(J53:J59)</f>
        <v>3.9329999999999998</v>
      </c>
      <c r="K60" s="300">
        <f t="shared" si="14"/>
        <v>3.9329999999999998</v>
      </c>
      <c r="L60" s="300">
        <f t="shared" si="14"/>
        <v>4.2069999999999999</v>
      </c>
      <c r="M60" s="300">
        <f t="shared" si="14"/>
        <v>4.3023654687246138</v>
      </c>
      <c r="N60" s="300">
        <f t="shared" si="14"/>
        <v>4.4000778095128075</v>
      </c>
      <c r="O60" s="300">
        <f t="shared" si="14"/>
        <v>4.500197721311272</v>
      </c>
      <c r="P60" s="300">
        <f t="shared" si="14"/>
        <v>4.6027875161067051</v>
      </c>
      <c r="Q60" s="300">
        <f t="shared" si="14"/>
        <v>4.7079111623927803</v>
      </c>
      <c r="R60" s="300">
        <f t="shared" si="14"/>
        <v>4.8156343298166124</v>
      </c>
      <c r="S60" s="300">
        <f t="shared" si="14"/>
        <v>4.9260244350367905</v>
      </c>
      <c r="T60" s="300">
        <f t="shared" si="14"/>
        <v>5.0391506888260018</v>
      </c>
      <c r="U60" s="300">
        <f t="shared" si="14"/>
        <v>5.1550841444521316</v>
      </c>
      <c r="V60" s="300">
        <f t="shared" si="14"/>
        <v>5.2738977473726179</v>
      </c>
      <c r="W60" s="300">
        <f t="shared" si="14"/>
        <v>5.3956663862778802</v>
      </c>
      <c r="X60" s="300">
        <f t="shared" si="14"/>
        <v>5.5204669455205266</v>
      </c>
      <c r="Y60" s="300">
        <f t="shared" si="14"/>
        <v>5.6483783589680705</v>
      </c>
      <c r="Z60" s="300">
        <f t="shared" si="14"/>
        <v>5.7794816653179675</v>
      </c>
      <c r="AA60" s="300">
        <f t="shared" si="14"/>
        <v>5.9138600649147612</v>
      </c>
      <c r="AB60" s="300">
        <f t="shared" si="14"/>
        <v>6.0515989781102686</v>
      </c>
      <c r="AC60" s="300">
        <f t="shared" si="14"/>
        <v>6.1927861052088495</v>
      </c>
      <c r="AD60" s="300">
        <f t="shared" si="14"/>
        <v>6.3375114880409038</v>
      </c>
      <c r="AE60" s="300">
        <f t="shared" si="14"/>
        <v>6.4858675732089823</v>
      </c>
      <c r="AF60" s="300">
        <f t="shared" si="14"/>
        <v>6.6379492770520585</v>
      </c>
      <c r="AG60" s="300">
        <f t="shared" si="14"/>
        <v>6.7938540523747788</v>
      </c>
      <c r="AH60" s="300">
        <f t="shared" si="14"/>
        <v>6.9536819569897661</v>
      </c>
      <c r="AI60" s="300">
        <f t="shared" si="14"/>
        <v>7.1175357241223836</v>
      </c>
      <c r="AJ60" s="300">
        <f t="shared" si="14"/>
        <v>7.2855208347286933</v>
      </c>
      <c r="AK60" s="300">
        <f t="shared" si="14"/>
        <v>7.4577455917787487</v>
      </c>
      <c r="AL60" s="300">
        <f t="shared" ref="AL60:AU60" si="15">SUM(AL53:AL59)</f>
        <v>7.6343211965587559</v>
      </c>
      <c r="AM60" s="300">
        <f t="shared" si="15"/>
        <v>7.8153618270471368</v>
      </c>
      <c r="AN60" s="300">
        <f t="shared" si="15"/>
        <v>8.0009847184209857</v>
      </c>
      <c r="AO60" s="300">
        <f t="shared" si="15"/>
        <v>8.1913102457509872</v>
      </c>
      <c r="AP60" s="300">
        <f t="shared" si="15"/>
        <v>8.3864620089444255</v>
      </c>
      <c r="AQ60" s="300">
        <f t="shared" si="15"/>
        <v>8.5865669199975567</v>
      </c>
      <c r="AR60" s="300">
        <f t="shared" si="15"/>
        <v>8.7917552926202891</v>
      </c>
      <c r="AS60" s="300">
        <f t="shared" si="15"/>
        <v>9.0021609342977875</v>
      </c>
      <c r="AT60" s="300">
        <f t="shared" si="15"/>
        <v>9.2179212408554854</v>
      </c>
      <c r="AU60" s="300">
        <f t="shared" si="15"/>
        <v>9.4391772935956624</v>
      </c>
      <c r="AV60" s="442">
        <f t="shared" si="6"/>
        <v>1.0049607921654646</v>
      </c>
    </row>
    <row r="61" spans="1:56">
      <c r="A61" s="178"/>
      <c r="B61"/>
      <c r="C61"/>
      <c r="D61"/>
      <c r="E61"/>
      <c r="F61"/>
      <c r="G61"/>
      <c r="H61"/>
      <c r="I61"/>
      <c r="J61"/>
      <c r="K61"/>
      <c r="L61"/>
      <c r="M61" s="445"/>
      <c r="N61" s="445"/>
      <c r="R61" s="300"/>
      <c r="S61" s="300"/>
      <c r="T61" s="300"/>
      <c r="U61" s="300"/>
      <c r="V61" s="300"/>
      <c r="W61" s="300"/>
      <c r="X61" s="300"/>
      <c r="Y61" s="300"/>
      <c r="Z61" s="300"/>
      <c r="AA61" s="300"/>
      <c r="AB61" s="300"/>
      <c r="AC61" s="300"/>
      <c r="AD61" s="300"/>
      <c r="AE61" s="300"/>
      <c r="AF61" s="300"/>
      <c r="AG61" s="230"/>
      <c r="AH61" s="230"/>
      <c r="AI61" s="230"/>
      <c r="AJ61" s="230"/>
      <c r="AK61" s="230"/>
      <c r="AL61" s="230"/>
      <c r="AM61" s="230"/>
      <c r="AN61" s="230"/>
      <c r="AO61" s="230"/>
      <c r="AP61" s="230"/>
      <c r="AQ61" s="230"/>
      <c r="AR61" s="230"/>
      <c r="AS61" s="230"/>
      <c r="AT61" s="230"/>
      <c r="AU61" s="230"/>
    </row>
    <row r="62" spans="1:56" ht="13">
      <c r="A62" s="250" t="s">
        <v>36</v>
      </c>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1"/>
      <c r="AV62" s="5" t="s">
        <v>1385</v>
      </c>
    </row>
    <row r="63" spans="1:56" s="396" customFormat="1" ht="12.9" customHeight="1">
      <c r="A63" s="253" t="s">
        <v>6</v>
      </c>
      <c r="B63" s="253">
        <v>2005</v>
      </c>
      <c r="C63" s="253">
        <v>2006</v>
      </c>
      <c r="D63" s="253">
        <v>2007</v>
      </c>
      <c r="E63" s="253">
        <v>2008</v>
      </c>
      <c r="F63" s="253">
        <v>2009</v>
      </c>
      <c r="G63" s="253">
        <v>2010</v>
      </c>
      <c r="H63" s="253">
        <v>2011</v>
      </c>
      <c r="I63" s="253">
        <v>2012</v>
      </c>
      <c r="J63" s="253">
        <v>2013</v>
      </c>
      <c r="K63" s="253">
        <v>2014</v>
      </c>
      <c r="L63" s="253">
        <v>2015</v>
      </c>
      <c r="M63" s="253">
        <v>2016</v>
      </c>
      <c r="N63" s="253">
        <v>2017</v>
      </c>
      <c r="O63" s="253">
        <v>2018</v>
      </c>
      <c r="P63" s="253">
        <v>2019</v>
      </c>
      <c r="Q63" s="253">
        <v>2020</v>
      </c>
      <c r="R63" s="253">
        <v>2021</v>
      </c>
      <c r="S63" s="253">
        <v>2022</v>
      </c>
      <c r="T63" s="253">
        <v>2023</v>
      </c>
      <c r="U63" s="253">
        <v>2024</v>
      </c>
      <c r="V63" s="253">
        <v>2025</v>
      </c>
      <c r="W63" s="253">
        <v>2026</v>
      </c>
      <c r="X63" s="253">
        <v>2027</v>
      </c>
      <c r="Y63" s="253">
        <v>2028</v>
      </c>
      <c r="Z63" s="253">
        <v>2029</v>
      </c>
      <c r="AA63" s="253">
        <v>2030</v>
      </c>
      <c r="AB63" s="253">
        <v>2031</v>
      </c>
      <c r="AC63" s="253">
        <v>2032</v>
      </c>
      <c r="AD63" s="253">
        <v>2033</v>
      </c>
      <c r="AE63" s="253">
        <v>2034</v>
      </c>
      <c r="AF63" s="253">
        <v>2035</v>
      </c>
      <c r="AG63" s="253">
        <v>2036</v>
      </c>
      <c r="AH63" s="253">
        <v>2037</v>
      </c>
      <c r="AI63" s="253">
        <v>2038</v>
      </c>
      <c r="AJ63" s="253">
        <v>2039</v>
      </c>
      <c r="AK63" s="253">
        <v>2040</v>
      </c>
      <c r="AL63" s="253">
        <v>2041</v>
      </c>
      <c r="AM63" s="253">
        <v>2042</v>
      </c>
      <c r="AN63" s="253">
        <v>2043</v>
      </c>
      <c r="AO63" s="253">
        <v>2044</v>
      </c>
      <c r="AP63" s="253">
        <v>2045</v>
      </c>
      <c r="AQ63" s="253">
        <v>2046</v>
      </c>
      <c r="AR63" s="253">
        <v>2047</v>
      </c>
      <c r="AS63" s="253">
        <v>2048</v>
      </c>
      <c r="AT63" s="253">
        <v>2049</v>
      </c>
      <c r="AU63" s="253">
        <v>2050</v>
      </c>
      <c r="AV63" s="436" t="s">
        <v>290</v>
      </c>
    </row>
    <row r="64" spans="1:56">
      <c r="A64" s="178" t="s">
        <v>22</v>
      </c>
      <c r="B64" s="300">
        <f>'Baseline Consumption'!B53*parameters!$B$87</f>
        <v>2.4766921718649571E-2</v>
      </c>
      <c r="C64" s="300">
        <f>'Baseline Consumption'!C53*parameters!$B$87</f>
        <v>3.7082034520573792E-2</v>
      </c>
      <c r="D64" s="300">
        <f>'Baseline Consumption'!D53*parameters!$B$87</f>
        <v>7.0796430054204301E-2</v>
      </c>
      <c r="E64" s="300">
        <f>'Baseline Consumption'!E53*parameters!$B$87</f>
        <v>5.0410023494093119E-2</v>
      </c>
      <c r="F64" s="300">
        <f>'Baseline Consumption'!F53*parameters!$B$87</f>
        <v>9.8792989517720642E-2</v>
      </c>
      <c r="G64" s="300">
        <f>'Baseline Consumption'!G53*parameters!$B$87</f>
        <v>8.324835451563585E-2</v>
      </c>
      <c r="H64" s="300">
        <f>'Baseline Consumption'!H53*parameters!$B$87</f>
        <v>0.10137603989437108</v>
      </c>
      <c r="I64" s="300">
        <f>'Baseline Consumption'!I53*parameters!$B$87</f>
        <v>9.2665484364141765E-2</v>
      </c>
      <c r="J64" s="300">
        <f>'Baseline Consumption'!J53*parameters!$B$87</f>
        <v>8.1188609614117363E-2</v>
      </c>
      <c r="K64" s="300">
        <f>'Baseline Consumption'!K53*parameters!$B$87</f>
        <v>1.8104746105910192E-2</v>
      </c>
      <c r="L64" s="300">
        <f>'Baseline Consumption'!L53*parameters!$B$87</f>
        <v>1.9610333128561502E-2</v>
      </c>
      <c r="M64" s="300">
        <f>'Baseline Consumption'!M53*parameters!$B$87</f>
        <v>1.7883825407773016E-2</v>
      </c>
      <c r="N64" s="300">
        <f>'Baseline Consumption'!N53*parameters!$B$87</f>
        <v>1.2289959785448628E-2</v>
      </c>
      <c r="O64" s="300">
        <f>'Baseline Consumption'!O53*parameters!$B$87</f>
        <v>1.3280024254876201E-2</v>
      </c>
      <c r="P64" s="300">
        <f>'Baseline Consumption'!P53*parameters!$B$87</f>
        <v>1.3174905745717159E-2</v>
      </c>
      <c r="Q64" s="300">
        <f>'Baseline Consumption'!Q53*parameters!$B$87</f>
        <v>1.3329763488375185E-2</v>
      </c>
      <c r="R64" s="300">
        <f>'Baseline Consumption'!R53*parameters!$B$87</f>
        <v>1.3228653780864068E-2</v>
      </c>
      <c r="S64" s="300">
        <f>'Baseline Consumption'!S53*parameters!$B$87</f>
        <v>1.3043277446141232E-2</v>
      </c>
      <c r="T64" s="300">
        <f>'Baseline Consumption'!T53*parameters!$B$87</f>
        <v>1.2933876606786573E-2</v>
      </c>
      <c r="U64" s="300">
        <f>'Baseline Consumption'!U53*parameters!$B$87</f>
        <v>1.274631027895886E-2</v>
      </c>
      <c r="V64" s="300">
        <f>'Baseline Consumption'!V53*parameters!$B$87</f>
        <v>1.2529162858072164E-2</v>
      </c>
      <c r="W64" s="300">
        <f>'Baseline Consumption'!W53*parameters!$B$87</f>
        <v>1.240271980886451E-2</v>
      </c>
      <c r="X64" s="300">
        <f>'Baseline Consumption'!X53*parameters!$B$87</f>
        <v>1.2352478282603989E-2</v>
      </c>
      <c r="Y64" s="300">
        <f>'Baseline Consumption'!Y53*parameters!$B$87</f>
        <v>1.2273447943175754E-2</v>
      </c>
      <c r="Z64" s="300">
        <f>'Baseline Consumption'!Z53*parameters!$B$87</f>
        <v>1.2273855891799901E-2</v>
      </c>
      <c r="AA64" s="300">
        <f>'Baseline Consumption'!AA53*parameters!$B$87</f>
        <v>1.2210791250714401E-2</v>
      </c>
      <c r="AB64" s="300">
        <f>'Baseline Consumption'!AB53*parameters!$B$87</f>
        <v>1.2154876408520067E-2</v>
      </c>
      <c r="AC64" s="300">
        <f>'Baseline Consumption'!AC53*parameters!$B$87</f>
        <v>1.2164722230181196E-2</v>
      </c>
      <c r="AD64" s="300">
        <f>'Baseline Consumption'!AD53*parameters!$B$87</f>
        <v>1.2178019245924685E-2</v>
      </c>
      <c r="AE64" s="300">
        <f>'Baseline Consumption'!AE53*parameters!$B$87</f>
        <v>1.22364572601772E-2</v>
      </c>
      <c r="AF64" s="300">
        <f>'Baseline Consumption'!AF53*parameters!$B$87</f>
        <v>1.2309046651476986E-2</v>
      </c>
      <c r="AG64" s="300">
        <f>'Baseline Consumption'!AG53*parameters!$B$87</f>
        <v>1.2462368222613204E-2</v>
      </c>
      <c r="AH64" s="300">
        <f>'Baseline Consumption'!AH53*parameters!$B$87</f>
        <v>1.2622090853816482E-2</v>
      </c>
      <c r="AI64" s="300">
        <f>'Baseline Consumption'!AI53*parameters!$B$87</f>
        <v>1.2816944873038159E-2</v>
      </c>
      <c r="AJ64" s="300">
        <f>'Baseline Consumption'!AJ53*parameters!$B$87</f>
        <v>1.3020388189675819E-2</v>
      </c>
      <c r="AK64" s="300">
        <f>'Baseline Consumption'!AK53*parameters!$B$87</f>
        <v>1.3231932819666774E-2</v>
      </c>
      <c r="AL64" s="300">
        <f>'Baseline Consumption'!AL53*parameters!$B$87</f>
        <v>1.3472875557003421E-2</v>
      </c>
      <c r="AM64" s="300">
        <f>'Baseline Consumption'!AM53*parameters!$B$87</f>
        <v>1.3710793361222164E-2</v>
      </c>
      <c r="AN64" s="300">
        <f>'Baseline Consumption'!AN53*parameters!$B$87</f>
        <v>1.3937053723267395E-2</v>
      </c>
      <c r="AO64" s="300">
        <f>'Baseline Consumption'!AO53*parameters!$B$87</f>
        <v>1.4173022085602924E-2</v>
      </c>
      <c r="AP64" s="300">
        <f>'Baseline Consumption'!AP53*parameters!$B$87</f>
        <v>1.4419004058258186E-2</v>
      </c>
      <c r="AQ64" s="300">
        <f>'Baseline Consumption'!AQ53*parameters!$B$87</f>
        <v>1.4689484258597292E-2</v>
      </c>
      <c r="AR64" s="300">
        <f>'Baseline Consumption'!AR53*parameters!$B$87</f>
        <v>1.4991232131826248E-2</v>
      </c>
      <c r="AS64" s="300">
        <f>'Baseline Consumption'!AS53*parameters!$B$87</f>
        <v>1.5253242347326036E-2</v>
      </c>
      <c r="AT64" s="300">
        <f>'Baseline Consumption'!AT53*parameters!$B$87</f>
        <v>1.5539045032129049E-2</v>
      </c>
      <c r="AU64" s="300">
        <f>'Baseline Consumption'!AU53*parameters!$B$87</f>
        <v>1.5869588235754573E-2</v>
      </c>
      <c r="AV64" s="442">
        <f t="shared" ref="AV64:AV75" si="16">(AU64-Q64)/Q64</f>
        <v>0.19053787035264014</v>
      </c>
    </row>
    <row r="65" spans="1:56">
      <c r="A65" s="178" t="s">
        <v>66</v>
      </c>
      <c r="B65" s="300">
        <f>'Baseline Consumption'!B54*parameters!$B$92</f>
        <v>4.7868729741374711E-4</v>
      </c>
      <c r="C65" s="300">
        <f>'Baseline Consumption'!C54*parameters!$B$92</f>
        <v>4.0303930517949994E-4</v>
      </c>
      <c r="D65" s="300">
        <f>'Baseline Consumption'!D54*parameters!$B$92</f>
        <v>5.2831848802332309E-4</v>
      </c>
      <c r="E65" s="300">
        <f>'Baseline Consumption'!E54*parameters!$B$92</f>
        <v>8.4132227149374484E-4</v>
      </c>
      <c r="F65" s="300">
        <f>'Baseline Consumption'!F54*parameters!$B$92</f>
        <v>7.3366491921729394E-4</v>
      </c>
      <c r="G65" s="300">
        <f>'Baseline Consumption'!G54*parameters!$B$92</f>
        <v>2.1770709015904487E-3</v>
      </c>
      <c r="H65" s="300">
        <f>'Baseline Consumption'!H54*parameters!$B$92</f>
        <v>5.2233752400796484E-4</v>
      </c>
      <c r="I65" s="300">
        <f>'Baseline Consumption'!I54*parameters!$B$92</f>
        <v>1.9936546717861251E-3</v>
      </c>
      <c r="J65" s="300">
        <f>'Baseline Consumption'!J54*parameters!$B$92</f>
        <v>5.9888059371039836E-3</v>
      </c>
      <c r="K65" s="300">
        <f>'Baseline Consumption'!K54*parameters!$B$92</f>
        <v>9.463555246527533E-3</v>
      </c>
      <c r="L65" s="300">
        <f>'Baseline Consumption'!L54*parameters!$B$92</f>
        <v>1.1549241513657023E-2</v>
      </c>
      <c r="M65" s="300">
        <f>'Baseline Consumption'!M54*parameters!$B$92</f>
        <v>3.2529648178872806E-3</v>
      </c>
      <c r="N65" s="300">
        <f>'Baseline Consumption'!N54*parameters!$B$92</f>
        <v>2.7933047561447218E-3</v>
      </c>
      <c r="O65" s="300">
        <f>'Baseline Consumption'!O54*parameters!$B$92</f>
        <v>1.8091931078769236E-2</v>
      </c>
      <c r="P65" s="300">
        <f>'Baseline Consumption'!P54*parameters!$B$92</f>
        <v>1.7387513172367086E-2</v>
      </c>
      <c r="Q65" s="300">
        <f>'Baseline Consumption'!Q54*parameters!$B$92</f>
        <v>2.1781313486658557E-2</v>
      </c>
      <c r="R65" s="300">
        <f>'Baseline Consumption'!R54*parameters!$B$92</f>
        <v>2.6556726916527568E-2</v>
      </c>
      <c r="S65" s="300">
        <f>'Baseline Consumption'!S54*parameters!$B$92</f>
        <v>3.0420027932484481E-2</v>
      </c>
      <c r="T65" s="300">
        <f>'Baseline Consumption'!T54*parameters!$B$92</f>
        <v>3.3854802568745956E-2</v>
      </c>
      <c r="U65" s="300">
        <f>'Baseline Consumption'!U54*parameters!$B$92</f>
        <v>4.7020923941125899E-2</v>
      </c>
      <c r="V65" s="300">
        <f>'Baseline Consumption'!V54*parameters!$B$92</f>
        <v>6.2252056639948664E-2</v>
      </c>
      <c r="W65" s="300">
        <f>'Baseline Consumption'!W54*parameters!$B$92</f>
        <v>6.3990326821565427E-2</v>
      </c>
      <c r="X65" s="300">
        <f>'Baseline Consumption'!X54*parameters!$B$92</f>
        <v>7.1933747889033658E-2</v>
      </c>
      <c r="Y65" s="300">
        <f>'Baseline Consumption'!Y54*parameters!$B$92</f>
        <v>7.759286422071926E-2</v>
      </c>
      <c r="Z65" s="300">
        <f>'Baseline Consumption'!Z54*parameters!$B$92</f>
        <v>9.6067605721307583E-2</v>
      </c>
      <c r="AA65" s="300">
        <f>'Baseline Consumption'!AA54*parameters!$B$92</f>
        <v>0.10396369867041774</v>
      </c>
      <c r="AB65" s="300">
        <f>'Baseline Consumption'!AB54*parameters!$B$92</f>
        <v>0.10876529716293078</v>
      </c>
      <c r="AC65" s="300">
        <f>'Baseline Consumption'!AC54*parameters!$B$92</f>
        <v>0.11007966999129792</v>
      </c>
      <c r="AD65" s="300">
        <f>'Baseline Consumption'!AD54*parameters!$B$92</f>
        <v>0.11228819083823691</v>
      </c>
      <c r="AE65" s="300">
        <f>'Baseline Consumption'!AE54*parameters!$B$92</f>
        <v>0.11696210370304612</v>
      </c>
      <c r="AF65" s="300">
        <f>'Baseline Consumption'!AF54*parameters!$B$92</f>
        <v>0.11797656034155514</v>
      </c>
      <c r="AG65" s="300">
        <f>'Baseline Consumption'!AG54*parameters!$B$92</f>
        <v>0.1226388628765505</v>
      </c>
      <c r="AH65" s="300">
        <f>'Baseline Consumption'!AH54*parameters!$B$92</f>
        <v>0.12596182483912446</v>
      </c>
      <c r="AI65" s="300">
        <f>'Baseline Consumption'!AI54*parameters!$B$92</f>
        <v>0.12862115288777748</v>
      </c>
      <c r="AJ65" s="300">
        <f>'Baseline Consumption'!AJ54*parameters!$B$92</f>
        <v>0.128584515784717</v>
      </c>
      <c r="AK65" s="300">
        <f>'Baseline Consumption'!AK54*parameters!$B$92</f>
        <v>0.12854961912092322</v>
      </c>
      <c r="AL65" s="300">
        <f>'Baseline Consumption'!AL54*parameters!$B$92</f>
        <v>0.12538065000271775</v>
      </c>
      <c r="AM65" s="300">
        <f>'Baseline Consumption'!AM54*parameters!$B$92</f>
        <v>0.12206034009053286</v>
      </c>
      <c r="AN65" s="300">
        <f>'Baseline Consumption'!AN54*parameters!$B$92</f>
        <v>0.11570837170148167</v>
      </c>
      <c r="AO65" s="300">
        <f>'Baseline Consumption'!AO54*parameters!$B$92</f>
        <v>0.10989670034548743</v>
      </c>
      <c r="AP65" s="300">
        <f>'Baseline Consumption'!AP54*parameters!$B$92</f>
        <v>0.10552040895087848</v>
      </c>
      <c r="AQ65" s="300">
        <f>'Baseline Consumption'!AQ54*parameters!$B$92</f>
        <v>9.3549539495221185E-2</v>
      </c>
      <c r="AR65" s="300">
        <f>'Baseline Consumption'!AR54*parameters!$B$92</f>
        <v>7.6239662336397701E-2</v>
      </c>
      <c r="AS65" s="300">
        <f>'Baseline Consumption'!AS54*parameters!$B$92</f>
        <v>6.5818273404221889E-2</v>
      </c>
      <c r="AT65" s="300">
        <f>'Baseline Consumption'!AT54*parameters!$B$92</f>
        <v>6.446651067665829E-2</v>
      </c>
      <c r="AU65" s="300">
        <f>'Baseline Consumption'!AU54*parameters!$B$92</f>
        <v>6.3459522217619566E-2</v>
      </c>
      <c r="AV65" s="442">
        <f t="shared" si="16"/>
        <v>1.9134846370256622</v>
      </c>
    </row>
    <row r="66" spans="1:56" s="143" customFormat="1" ht="13">
      <c r="A66" s="475" t="s">
        <v>28</v>
      </c>
      <c r="B66" s="300">
        <f>'Baseline Consumption'!B55*parameters!$B$71</f>
        <v>23.511491373333328</v>
      </c>
      <c r="C66" s="300">
        <f>'Baseline Consumption'!C55*parameters!$B$71</f>
        <v>23.64410161666666</v>
      </c>
      <c r="D66" s="300">
        <f>'Baseline Consumption'!D55*parameters!$B$71</f>
        <v>23.659694483333325</v>
      </c>
      <c r="E66" s="300">
        <f>'Baseline Consumption'!E55*parameters!$B$71</f>
        <v>22.835186219999997</v>
      </c>
      <c r="F66" s="300">
        <f>'Baseline Consumption'!F55*parameters!$B$71</f>
        <v>22.987854559999995</v>
      </c>
      <c r="G66" s="300">
        <f>'Baseline Consumption'!G55*parameters!$B$71</f>
        <v>22.532330223333329</v>
      </c>
      <c r="H66" s="300">
        <f>'Baseline Consumption'!H55*parameters!$B$71</f>
        <v>22.283127863333327</v>
      </c>
      <c r="I66" s="300">
        <f>'Baseline Consumption'!I55*parameters!$B$71</f>
        <v>22.060646006666659</v>
      </c>
      <c r="J66" s="300">
        <f>'Baseline Consumption'!J55*parameters!$B$71</f>
        <v>22.959858276666662</v>
      </c>
      <c r="K66" s="300">
        <f>'Baseline Consumption'!K55*parameters!$B$71</f>
        <v>22.880476409999996</v>
      </c>
      <c r="L66" s="300">
        <f>'Baseline Consumption'!L55*parameters!$B$71</f>
        <v>23.125000909999994</v>
      </c>
      <c r="M66" s="300">
        <f>'Baseline Consumption'!M55*parameters!$B$71</f>
        <v>22.525313433333327</v>
      </c>
      <c r="N66" s="300">
        <f>'Baseline Consumption'!N55*parameters!$B$71</f>
        <v>21.734693580505621</v>
      </c>
      <c r="O66" s="300">
        <f>'Baseline Consumption'!O55*parameters!$B$71</f>
        <v>21.770343681339515</v>
      </c>
      <c r="P66" s="300">
        <f>'Baseline Consumption'!P55*parameters!$B$71</f>
        <v>21.742643033284523</v>
      </c>
      <c r="Q66" s="300">
        <f>'Baseline Consumption'!Q55*parameters!$B$71</f>
        <v>21.5673553199201</v>
      </c>
      <c r="R66" s="300">
        <f>'Baseline Consumption'!R55*parameters!$B$71</f>
        <v>21.243686999046218</v>
      </c>
      <c r="S66" s="300">
        <f>'Baseline Consumption'!S55*parameters!$B$71</f>
        <v>20.882192536495744</v>
      </c>
      <c r="T66" s="300">
        <f>'Baseline Consumption'!T55*parameters!$B$71</f>
        <v>20.534774053027579</v>
      </c>
      <c r="U66" s="300">
        <f>'Baseline Consumption'!U55*parameters!$B$71</f>
        <v>20.23911308881582</v>
      </c>
      <c r="V66" s="300">
        <f>'Baseline Consumption'!V55*parameters!$B$71</f>
        <v>19.817574408545436</v>
      </c>
      <c r="W66" s="300">
        <f>'Baseline Consumption'!W55*parameters!$B$71</f>
        <v>19.447258902966787</v>
      </c>
      <c r="X66" s="300">
        <f>'Baseline Consumption'!X55*parameters!$B$71</f>
        <v>19.091234551076219</v>
      </c>
      <c r="Y66" s="300">
        <f>'Baseline Consumption'!Y55*parameters!$B$71</f>
        <v>18.754194408328626</v>
      </c>
      <c r="Z66" s="300">
        <f>'Baseline Consumption'!Z55*parameters!$B$71</f>
        <v>18.412319559703512</v>
      </c>
      <c r="AA66" s="300">
        <f>'Baseline Consumption'!AA55*parameters!$B$71</f>
        <v>18.103536084084588</v>
      </c>
      <c r="AB66" s="300">
        <f>'Baseline Consumption'!AB55*parameters!$B$71</f>
        <v>17.804305966382305</v>
      </c>
      <c r="AC66" s="300">
        <f>'Baseline Consumption'!AC55*parameters!$B$71</f>
        <v>17.553429940304024</v>
      </c>
      <c r="AD66" s="300">
        <f>'Baseline Consumption'!AD55*parameters!$B$71</f>
        <v>17.309804469502165</v>
      </c>
      <c r="AE66" s="300">
        <f>'Baseline Consumption'!AE55*parameters!$B$71</f>
        <v>17.080373132251289</v>
      </c>
      <c r="AF66" s="300">
        <f>'Baseline Consumption'!AF55*parameters!$B$71</f>
        <v>16.885196560216812</v>
      </c>
      <c r="AG66" s="300">
        <f>'Baseline Consumption'!AG55*parameters!$B$71</f>
        <v>16.723156569140944</v>
      </c>
      <c r="AH66" s="300">
        <f>'Baseline Consumption'!AH55*parameters!$B$71</f>
        <v>16.600391651775723</v>
      </c>
      <c r="AI66" s="300">
        <f>'Baseline Consumption'!AI55*parameters!$B$71</f>
        <v>16.5059035353704</v>
      </c>
      <c r="AJ66" s="300">
        <f>'Baseline Consumption'!AJ55*parameters!$B$71</f>
        <v>16.44545791031506</v>
      </c>
      <c r="AK66" s="300">
        <f>'Baseline Consumption'!AK55*parameters!$B$71</f>
        <v>16.400291078970969</v>
      </c>
      <c r="AL66" s="300">
        <f>'Baseline Consumption'!AL55*parameters!$B$71</f>
        <v>16.384733165841443</v>
      </c>
      <c r="AM66" s="300">
        <f>'Baseline Consumption'!AM55*parameters!$B$71</f>
        <v>16.372356677443339</v>
      </c>
      <c r="AN66" s="300">
        <f>'Baseline Consumption'!AN55*parameters!$B$71</f>
        <v>16.376603858988513</v>
      </c>
      <c r="AO66" s="300">
        <f>'Baseline Consumption'!AO55*parameters!$B$71</f>
        <v>16.388756382491906</v>
      </c>
      <c r="AP66" s="300">
        <f>'Baseline Consumption'!AP55*parameters!$B$71</f>
        <v>16.39900513156773</v>
      </c>
      <c r="AQ66" s="300">
        <f>'Baseline Consumption'!AQ55*parameters!$B$71</f>
        <v>16.433935149769137</v>
      </c>
      <c r="AR66" s="300">
        <f>'Baseline Consumption'!AR55*parameters!$B$71</f>
        <v>16.485581337053464</v>
      </c>
      <c r="AS66" s="300">
        <f>'Baseline Consumption'!AS55*parameters!$B$71</f>
        <v>16.518302154098759</v>
      </c>
      <c r="AT66" s="300">
        <f>'Baseline Consumption'!AT55*parameters!$B$71</f>
        <v>16.524260549974581</v>
      </c>
      <c r="AU66" s="300">
        <f>'Baseline Consumption'!AU55*parameters!$B$71</f>
        <v>16.525778280834118</v>
      </c>
      <c r="AV66" s="442">
        <f t="shared" si="16"/>
        <v>-0.23375963182789813</v>
      </c>
    </row>
    <row r="67" spans="1:56" s="143" customFormat="1" ht="13">
      <c r="A67" s="475" t="s">
        <v>37</v>
      </c>
      <c r="B67" s="300">
        <f>'Baseline Consumption'!B56*parameters!$B$84</f>
        <v>7.4267406399999985</v>
      </c>
      <c r="C67" s="300">
        <f>'Baseline Consumption'!C56*parameters!$B$84</f>
        <v>7.4699045299999982</v>
      </c>
      <c r="D67" s="300">
        <f>'Baseline Consumption'!D56*parameters!$B$84</f>
        <v>8.2186456366666647</v>
      </c>
      <c r="E67" s="300">
        <f>'Baseline Consumption'!E56*parameters!$B$84</f>
        <v>8.0816410399999974</v>
      </c>
      <c r="F67" s="300">
        <f>'Baseline Consumption'!F56*parameters!$B$84</f>
        <v>7.3512569899999987</v>
      </c>
      <c r="G67" s="300">
        <f>'Baseline Consumption'!G56*parameters!$B$84</f>
        <v>7.7395193699999982</v>
      </c>
      <c r="H67" s="300">
        <f>'Baseline Consumption'!H56*parameters!$B$84</f>
        <v>6.5850802233333319</v>
      </c>
      <c r="I67" s="300">
        <f>'Baseline Consumption'!I56*parameters!$B$84</f>
        <v>7.778643289999998</v>
      </c>
      <c r="J67" s="300">
        <f>'Baseline Consumption'!J56*parameters!$B$84</f>
        <v>6.3558650833333319</v>
      </c>
      <c r="K67" s="300">
        <f>'Baseline Consumption'!K56*parameters!$B$84</f>
        <v>6.7336377166666654</v>
      </c>
      <c r="L67" s="300">
        <f>'Baseline Consumption'!L56*parameters!$B$84</f>
        <v>7.5319216133333313</v>
      </c>
      <c r="M67" s="300">
        <f>'Baseline Consumption'!M56*parameters!$B$84</f>
        <v>8.3747869333333309</v>
      </c>
      <c r="N67" s="300">
        <f>'Baseline Consumption'!N56*parameters!$B$84</f>
        <v>7.0682598626142683</v>
      </c>
      <c r="O67" s="300">
        <f>'Baseline Consumption'!O56*parameters!$B$84</f>
        <v>7.1768195018818872</v>
      </c>
      <c r="P67" s="300">
        <f>'Baseline Consumption'!P56*parameters!$B$84</f>
        <v>7.3269877913340746</v>
      </c>
      <c r="Q67" s="300">
        <f>'Baseline Consumption'!Q56*parameters!$B$84</f>
        <v>7.4292683431161084</v>
      </c>
      <c r="R67" s="300">
        <f>'Baseline Consumption'!R56*parameters!$B$84</f>
        <v>7.4938172819490623</v>
      </c>
      <c r="S67" s="300">
        <f>'Baseline Consumption'!S56*parameters!$B$84</f>
        <v>7.5529230597927883</v>
      </c>
      <c r="T67" s="300">
        <f>'Baseline Consumption'!T56*parameters!$B$84</f>
        <v>7.5995794633598814</v>
      </c>
      <c r="U67" s="300">
        <f>'Baseline Consumption'!U56*parameters!$B$84</f>
        <v>7.6621972132246388</v>
      </c>
      <c r="V67" s="300">
        <f>'Baseline Consumption'!V56*parameters!$B$84</f>
        <v>7.7477502690531104</v>
      </c>
      <c r="W67" s="300">
        <f>'Baseline Consumption'!W56*parameters!$B$84</f>
        <v>7.8335996249555304</v>
      </c>
      <c r="X67" s="300">
        <f>'Baseline Consumption'!X56*parameters!$B$84</f>
        <v>7.9153048799062278</v>
      </c>
      <c r="Y67" s="300">
        <f>'Baseline Consumption'!Y56*parameters!$B$84</f>
        <v>8.0244883601079362</v>
      </c>
      <c r="Z67" s="300">
        <f>'Baseline Consumption'!Z56*parameters!$B$84</f>
        <v>8.1111531300988897</v>
      </c>
      <c r="AA67" s="300">
        <f>'Baseline Consumption'!AA56*parameters!$B$84</f>
        <v>8.2013141002291512</v>
      </c>
      <c r="AB67" s="300">
        <f>'Baseline Consumption'!AB56*parameters!$B$84</f>
        <v>8.2944507233621216</v>
      </c>
      <c r="AC67" s="300">
        <f>'Baseline Consumption'!AC56*parameters!$B$84</f>
        <v>8.3826153824381731</v>
      </c>
      <c r="AD67" s="300">
        <f>'Baseline Consumption'!AD56*parameters!$B$84</f>
        <v>8.4689490464340071</v>
      </c>
      <c r="AE67" s="300">
        <f>'Baseline Consumption'!AE56*parameters!$B$84</f>
        <v>8.5603156359005297</v>
      </c>
      <c r="AF67" s="300">
        <f>'Baseline Consumption'!AF56*parameters!$B$84</f>
        <v>8.6503137159076786</v>
      </c>
      <c r="AG67" s="300">
        <f>'Baseline Consumption'!AG56*parameters!$B$84</f>
        <v>8.7403761839512608</v>
      </c>
      <c r="AH67" s="300">
        <f>'Baseline Consumption'!AH56*parameters!$B$84</f>
        <v>8.8311466012087685</v>
      </c>
      <c r="AI67" s="300">
        <f>'Baseline Consumption'!AI56*parameters!$B$84</f>
        <v>8.9233578955846546</v>
      </c>
      <c r="AJ67" s="300">
        <f>'Baseline Consumption'!AJ56*parameters!$B$84</f>
        <v>9.0147587132127107</v>
      </c>
      <c r="AK67" s="300">
        <f>'Baseline Consumption'!AK56*parameters!$B$84</f>
        <v>9.1098135351018747</v>
      </c>
      <c r="AL67" s="300">
        <f>'Baseline Consumption'!AL56*parameters!$B$84</f>
        <v>9.2048609102849674</v>
      </c>
      <c r="AM67" s="300">
        <f>'Baseline Consumption'!AM56*parameters!$B$84</f>
        <v>9.2925700623748604</v>
      </c>
      <c r="AN67" s="300">
        <f>'Baseline Consumption'!AN56*parameters!$B$84</f>
        <v>9.3830408620844903</v>
      </c>
      <c r="AO67" s="300">
        <f>'Baseline Consumption'!AO56*parameters!$B$84</f>
        <v>9.4709705141626159</v>
      </c>
      <c r="AP67" s="300">
        <f>'Baseline Consumption'!AP56*parameters!$B$84</f>
        <v>9.5635832026227234</v>
      </c>
      <c r="AQ67" s="300">
        <f>'Baseline Consumption'!AQ56*parameters!$B$84</f>
        <v>9.6541185883484761</v>
      </c>
      <c r="AR67" s="300">
        <f>'Baseline Consumption'!AR56*parameters!$B$84</f>
        <v>9.7444568380306702</v>
      </c>
      <c r="AS67" s="300">
        <f>'Baseline Consumption'!AS56*parameters!$B$84</f>
        <v>9.8297624269833701</v>
      </c>
      <c r="AT67" s="300">
        <f>'Baseline Consumption'!AT56*parameters!$B$84</f>
        <v>9.9109284336205139</v>
      </c>
      <c r="AU67" s="300">
        <f>'Baseline Consumption'!AU56*parameters!$B$84</f>
        <v>9.9875659309416278</v>
      </c>
      <c r="AV67" s="442">
        <f t="shared" si="16"/>
        <v>0.34435390803941202</v>
      </c>
    </row>
    <row r="68" spans="1:56" s="143" customFormat="1" ht="13">
      <c r="A68" s="475" t="s">
        <v>38</v>
      </c>
      <c r="B68" s="300">
        <f>'Baseline Consumption'!B57*parameters!$B$80</f>
        <v>8.3173744500000009</v>
      </c>
      <c r="C68" s="300">
        <f>'Baseline Consumption'!C57*parameters!$B$80</f>
        <v>10.155707100000003</v>
      </c>
      <c r="D68" s="300">
        <f>'Baseline Consumption'!D57*parameters!$B$80</f>
        <v>10.403393000000001</v>
      </c>
      <c r="E68" s="300">
        <f>'Baseline Consumption'!E57*parameters!$B$80</f>
        <v>9.5737988500000011</v>
      </c>
      <c r="F68" s="300">
        <f>'Baseline Consumption'!F57*parameters!$B$80</f>
        <v>8.3567291499999996</v>
      </c>
      <c r="G68" s="300">
        <f>'Baseline Consumption'!G57*parameters!$B$80</f>
        <v>8.0816119999999998</v>
      </c>
      <c r="H68" s="300">
        <f>'Baseline Consumption'!H57*parameters!$B$80</f>
        <v>8.8352764500000003</v>
      </c>
      <c r="I68" s="300">
        <f>'Baseline Consumption'!I57*parameters!$B$80</f>
        <v>8.1276965000000008</v>
      </c>
      <c r="J68" s="300">
        <f>'Baseline Consumption'!J57*parameters!$B$80</f>
        <v>7.789743500000001</v>
      </c>
      <c r="K68" s="300">
        <f>'Baseline Consumption'!K57*parameters!$B$80</f>
        <v>8.2858467999999998</v>
      </c>
      <c r="L68" s="300">
        <f>'Baseline Consumption'!L57*parameters!$B$80</f>
        <v>8.8643901500000002</v>
      </c>
      <c r="M68" s="300">
        <f>'Baseline Consumption'!M57*parameters!$B$80</f>
        <v>9.2599853500000009</v>
      </c>
      <c r="N68" s="300">
        <f>'Baseline Consumption'!N57*parameters!$B$80</f>
        <v>8.9942540685774013</v>
      </c>
      <c r="O68" s="300">
        <f>'Baseline Consumption'!O57*parameters!$B$80</f>
        <v>9.1256395609974597</v>
      </c>
      <c r="P68" s="300">
        <f>'Baseline Consumption'!P57*parameters!$B$80</f>
        <v>9.408387892229177</v>
      </c>
      <c r="Q68" s="300">
        <f>'Baseline Consumption'!Q57*parameters!$B$80</f>
        <v>10.424348904844033</v>
      </c>
      <c r="R68" s="300">
        <f>'Baseline Consumption'!R57*parameters!$B$80</f>
        <v>10.378800641016948</v>
      </c>
      <c r="S68" s="300">
        <f>'Baseline Consumption'!S57*parameters!$B$80</f>
        <v>10.097894675900038</v>
      </c>
      <c r="T68" s="300">
        <f>'Baseline Consumption'!T57*parameters!$B$80</f>
        <v>10.022215907252484</v>
      </c>
      <c r="U68" s="300">
        <f>'Baseline Consumption'!U57*parameters!$B$80</f>
        <v>9.9825062486340332</v>
      </c>
      <c r="V68" s="300">
        <f>'Baseline Consumption'!V57*parameters!$B$80</f>
        <v>9.971700815726706</v>
      </c>
      <c r="W68" s="300">
        <f>'Baseline Consumption'!W57*parameters!$B$80</f>
        <v>9.978934256103928</v>
      </c>
      <c r="X68" s="300">
        <f>'Baseline Consumption'!X57*parameters!$B$80</f>
        <v>9.9474991497385261</v>
      </c>
      <c r="Y68" s="300">
        <f>'Baseline Consumption'!Y57*parameters!$B$80</f>
        <v>9.9281349216807264</v>
      </c>
      <c r="Z68" s="300">
        <f>'Baseline Consumption'!Z57*parameters!$B$80</f>
        <v>9.8839494659441556</v>
      </c>
      <c r="AA68" s="300">
        <f>'Baseline Consumption'!AA57*parameters!$B$80</f>
        <v>9.8731768106800057</v>
      </c>
      <c r="AB68" s="300">
        <f>'Baseline Consumption'!AB57*parameters!$B$80</f>
        <v>9.8377426491679305</v>
      </c>
      <c r="AC68" s="300">
        <f>'Baseline Consumption'!AC57*parameters!$B$80</f>
        <v>9.7977047890544426</v>
      </c>
      <c r="AD68" s="300">
        <f>'Baseline Consumption'!AD57*parameters!$B$80</f>
        <v>9.7530467046600045</v>
      </c>
      <c r="AE68" s="300">
        <f>'Baseline Consumption'!AE57*parameters!$B$80</f>
        <v>9.7379617697521716</v>
      </c>
      <c r="AF68" s="300">
        <f>'Baseline Consumption'!AF57*parameters!$B$80</f>
        <v>9.8040956524651204</v>
      </c>
      <c r="AG68" s="300">
        <f>'Baseline Consumption'!AG57*parameters!$B$80</f>
        <v>9.8172164616385178</v>
      </c>
      <c r="AH68" s="300">
        <f>'Baseline Consumption'!AH57*parameters!$B$80</f>
        <v>9.8507935224443575</v>
      </c>
      <c r="AI68" s="300">
        <f>'Baseline Consumption'!AI57*parameters!$B$80</f>
        <v>9.8849621784493351</v>
      </c>
      <c r="AJ68" s="300">
        <f>'Baseline Consumption'!AJ57*parameters!$B$80</f>
        <v>9.917780141249068</v>
      </c>
      <c r="AK68" s="300">
        <f>'Baseline Consumption'!AK57*parameters!$B$80</f>
        <v>9.9442548375013562</v>
      </c>
      <c r="AL68" s="300">
        <f>'Baseline Consumption'!AL57*parameters!$B$80</f>
        <v>9.9805993177283518</v>
      </c>
      <c r="AM68" s="300">
        <f>'Baseline Consumption'!AM57*parameters!$B$80</f>
        <v>10.000346694064676</v>
      </c>
      <c r="AN68" s="300">
        <f>'Baseline Consumption'!AN57*parameters!$B$80</f>
        <v>10.017662968325293</v>
      </c>
      <c r="AO68" s="300">
        <f>'Baseline Consumption'!AO57*parameters!$B$80</f>
        <v>10.08665177671331</v>
      </c>
      <c r="AP68" s="300">
        <f>'Baseline Consumption'!AP57*parameters!$B$80</f>
        <v>10.130840423285376</v>
      </c>
      <c r="AQ68" s="300">
        <f>'Baseline Consumption'!AQ57*parameters!$B$80</f>
        <v>10.18690680315831</v>
      </c>
      <c r="AR68" s="300">
        <f>'Baseline Consumption'!AR57*parameters!$B$80</f>
        <v>10.235676790474532</v>
      </c>
      <c r="AS68" s="300">
        <f>'Baseline Consumption'!AS57*parameters!$B$80</f>
        <v>10.285295944341438</v>
      </c>
      <c r="AT68" s="300">
        <f>'Baseline Consumption'!AT57*parameters!$B$80</f>
        <v>10.322843519648533</v>
      </c>
      <c r="AU68" s="300">
        <f>'Baseline Consumption'!AU57*parameters!$B$80</f>
        <v>10.36505320924114</v>
      </c>
      <c r="AV68" s="442">
        <f t="shared" si="16"/>
        <v>-5.6881917656592803E-3</v>
      </c>
    </row>
    <row r="69" spans="1:56">
      <c r="A69" s="178" t="s">
        <v>29</v>
      </c>
      <c r="B69" s="300">
        <f>'Baseline Consumption'!B58*parameters!$B$94</f>
        <v>3.7076148084326719</v>
      </c>
      <c r="C69" s="300">
        <f>'Baseline Consumption'!C58*parameters!$B$94</f>
        <v>3.7255258636582842</v>
      </c>
      <c r="D69" s="300">
        <f>'Baseline Consumption'!D58*parameters!$B$94</f>
        <v>4.9935431023111203</v>
      </c>
      <c r="E69" s="300">
        <f>'Baseline Consumption'!E58*parameters!$B$94</f>
        <v>4.6977657595735813</v>
      </c>
      <c r="F69" s="300">
        <f>'Baseline Consumption'!F58*parameters!$B$94</f>
        <v>4.2281802433607485</v>
      </c>
      <c r="G69" s="300">
        <f>'Baseline Consumption'!G58*parameters!$B$94</f>
        <v>3.2031411999999997</v>
      </c>
      <c r="H69" s="300">
        <f>'Baseline Consumption'!H58*parameters!$B$94</f>
        <v>3.8478039999999996</v>
      </c>
      <c r="I69" s="300">
        <f>'Baseline Consumption'!I58*parameters!$B$94</f>
        <v>4.9011236</v>
      </c>
      <c r="J69" s="300">
        <f>'Baseline Consumption'!J58*parameters!$B$94</f>
        <v>4.7447055999999996</v>
      </c>
      <c r="K69" s="300">
        <f>'Baseline Consumption'!K58*parameters!$B$94</f>
        <v>3.2155916000000002</v>
      </c>
      <c r="L69" s="300">
        <f>'Baseline Consumption'!L58*parameters!$B$94</f>
        <v>4.3302963999999999</v>
      </c>
      <c r="M69" s="300">
        <f>'Baseline Consumption'!M58*parameters!$B$94</f>
        <v>8.8683884000000006</v>
      </c>
      <c r="N69" s="300">
        <f>'Baseline Consumption'!N58*parameters!$B$94</f>
        <v>5.2367378755423477</v>
      </c>
      <c r="O69" s="300">
        <f>'Baseline Consumption'!O58*parameters!$B$94</f>
        <v>4.8740078454422342</v>
      </c>
      <c r="P69" s="300">
        <f>'Baseline Consumption'!P58*parameters!$B$94</f>
        <v>5.1319862453064529</v>
      </c>
      <c r="Q69" s="300">
        <f>'Baseline Consumption'!Q58*parameters!$B$94</f>
        <v>2.7661968672006916</v>
      </c>
      <c r="R69" s="300">
        <f>'Baseline Consumption'!R58*parameters!$B$94</f>
        <v>3.3006962004711169</v>
      </c>
      <c r="S69" s="300">
        <f>'Baseline Consumption'!S58*parameters!$B$94</f>
        <v>4.3950708227296689</v>
      </c>
      <c r="T69" s="300">
        <f>'Baseline Consumption'!T58*parameters!$B$94</f>
        <v>4.6014009001125835</v>
      </c>
      <c r="U69" s="300">
        <f>'Baseline Consumption'!U58*parameters!$B$94</f>
        <v>4.7057854419747809</v>
      </c>
      <c r="V69" s="300">
        <f>'Baseline Consumption'!V58*parameters!$B$94</f>
        <v>4.7990927272075297</v>
      </c>
      <c r="W69" s="300">
        <f>'Baseline Consumption'!W58*parameters!$B$94</f>
        <v>4.7130747861455795</v>
      </c>
      <c r="X69" s="300">
        <f>'Baseline Consumption'!X58*parameters!$B$94</f>
        <v>4.640984245533005</v>
      </c>
      <c r="Y69" s="300">
        <f>'Baseline Consumption'!Y58*parameters!$B$94</f>
        <v>4.5978830210741481</v>
      </c>
      <c r="Z69" s="300">
        <f>'Baseline Consumption'!Z58*parameters!$B$94</f>
        <v>4.6233736852603515</v>
      </c>
      <c r="AA69" s="300">
        <f>'Baseline Consumption'!AA58*parameters!$B$94</f>
        <v>4.4690186797792366</v>
      </c>
      <c r="AB69" s="300">
        <f>'Baseline Consumption'!AB58*parameters!$B$94</f>
        <v>4.4458044291625844</v>
      </c>
      <c r="AC69" s="300">
        <f>'Baseline Consumption'!AC58*parameters!$B$94</f>
        <v>4.4312425942923577</v>
      </c>
      <c r="AD69" s="300">
        <f>'Baseline Consumption'!AD58*parameters!$B$94</f>
        <v>4.4189823945260027</v>
      </c>
      <c r="AE69" s="300">
        <f>'Baseline Consumption'!AE58*parameters!$B$94</f>
        <v>4.3900630606843363</v>
      </c>
      <c r="AF69" s="300">
        <f>'Baseline Consumption'!AF58*parameters!$B$94</f>
        <v>4.1074125049803385</v>
      </c>
      <c r="AG69" s="300">
        <f>'Baseline Consumption'!AG58*parameters!$B$94</f>
        <v>4.0867866501031864</v>
      </c>
      <c r="AH69" s="300">
        <f>'Baseline Consumption'!AH58*parameters!$B$94</f>
        <v>4.017867106306249</v>
      </c>
      <c r="AI69" s="300">
        <f>'Baseline Consumption'!AI58*parameters!$B$94</f>
        <v>3.9957110759357066</v>
      </c>
      <c r="AJ69" s="300">
        <f>'Baseline Consumption'!AJ58*parameters!$B$94</f>
        <v>3.9761306462429582</v>
      </c>
      <c r="AK69" s="300">
        <f>'Baseline Consumption'!AK58*parameters!$B$94</f>
        <v>3.961178706920363</v>
      </c>
      <c r="AL69" s="300">
        <f>'Baseline Consumption'!AL58*parameters!$B$94</f>
        <v>3.9399102523474641</v>
      </c>
      <c r="AM69" s="300">
        <f>'Baseline Consumption'!AM58*parameters!$B$94</f>
        <v>3.897340722881212</v>
      </c>
      <c r="AN69" s="300">
        <f>'Baseline Consumption'!AN58*parameters!$B$94</f>
        <v>4.0133317941060875</v>
      </c>
      <c r="AO69" s="300">
        <f>'Baseline Consumption'!AO58*parameters!$B$94</f>
        <v>3.8757745879371663</v>
      </c>
      <c r="AP69" s="300">
        <f>'Baseline Consumption'!AP58*parameters!$B$94</f>
        <v>3.8672203122277442</v>
      </c>
      <c r="AQ69" s="300">
        <f>'Baseline Consumption'!AQ58*parameters!$B$94</f>
        <v>3.7928437864566358</v>
      </c>
      <c r="AR69" s="300">
        <f>'Baseline Consumption'!AR58*parameters!$B$94</f>
        <v>3.7785353167562263</v>
      </c>
      <c r="AS69" s="300">
        <f>'Baseline Consumption'!AS58*parameters!$B$94</f>
        <v>3.7701446864823955</v>
      </c>
      <c r="AT69" s="300">
        <f>'Baseline Consumption'!AT58*parameters!$B$94</f>
        <v>3.7741274973535432</v>
      </c>
      <c r="AU69" s="300">
        <f>'Baseline Consumption'!AU58*parameters!$B$94</f>
        <v>3.7582311302487548</v>
      </c>
      <c r="AV69" s="442">
        <f t="shared" si="16"/>
        <v>0.35862749857423276</v>
      </c>
    </row>
    <row r="70" spans="1:56">
      <c r="A70" s="178" t="s">
        <v>67</v>
      </c>
      <c r="B70" s="300">
        <f>'Baseline Consumption'!B59*parameters!$B$84</f>
        <v>0.38741866647652634</v>
      </c>
      <c r="C70" s="300">
        <f>'Baseline Consumption'!C59*parameters!$B$84</f>
        <v>0.37970251417365786</v>
      </c>
      <c r="D70" s="300">
        <f>'Baseline Consumption'!D59*parameters!$B$84</f>
        <v>0.38649007804799934</v>
      </c>
      <c r="E70" s="300">
        <f>'Baseline Consumption'!E59*parameters!$B$84</f>
        <v>0.37879834139538848</v>
      </c>
      <c r="F70" s="300">
        <f>'Baseline Consumption'!F59*parameters!$B$84</f>
        <v>0.33743884959952342</v>
      </c>
      <c r="G70" s="300">
        <f>'Baseline Consumption'!G59*parameters!$B$84</f>
        <v>0.37451932066373117</v>
      </c>
      <c r="H70" s="300">
        <f>'Baseline Consumption'!H59*parameters!$B$84</f>
        <v>0.36001527799967825</v>
      </c>
      <c r="I70" s="300">
        <f>'Baseline Consumption'!I59*parameters!$B$84</f>
        <v>0.32814576163015735</v>
      </c>
      <c r="J70" s="300">
        <f>'Baseline Consumption'!J59*parameters!$B$84</f>
        <v>0.32857600889084126</v>
      </c>
      <c r="K70" s="300">
        <f>'Baseline Consumption'!K59*parameters!$B$84</f>
        <v>0.33362903960609697</v>
      </c>
      <c r="L70" s="300">
        <f>'Baseline Consumption'!L59*parameters!$B$84</f>
        <v>0.33721571048161486</v>
      </c>
      <c r="M70" s="300">
        <f>'Baseline Consumption'!M59*parameters!$B$84</f>
        <v>5.3792674872629224E-2</v>
      </c>
      <c r="N70" s="300">
        <f>'Baseline Consumption'!N59*parameters!$B$84</f>
        <v>5.3705602167558895E-2</v>
      </c>
      <c r="O70" s="300">
        <f>'Baseline Consumption'!O59*parameters!$B$84</f>
        <v>5.3567455938252038E-2</v>
      </c>
      <c r="P70" s="300">
        <f>'Baseline Consumption'!P59*parameters!$B$84</f>
        <v>5.3507334451902658E-2</v>
      </c>
      <c r="Q70" s="300">
        <f>'Baseline Consumption'!Q59*parameters!$B$84</f>
        <v>5.3439295246424726E-2</v>
      </c>
      <c r="R70" s="300">
        <f>'Baseline Consumption'!R59*parameters!$B$84</f>
        <v>5.3377105582385453E-2</v>
      </c>
      <c r="S70" s="300">
        <f>'Baseline Consumption'!S59*parameters!$B$84</f>
        <v>5.3262658934809998E-2</v>
      </c>
      <c r="T70" s="300">
        <f>'Baseline Consumption'!T59*parameters!$B$84</f>
        <v>5.3159879196437082E-2</v>
      </c>
      <c r="U70" s="300">
        <f>'Baseline Consumption'!U59*parameters!$B$84</f>
        <v>5.3091691036854342E-2</v>
      </c>
      <c r="V70" s="300">
        <f>'Baseline Consumption'!V59*parameters!$B$84</f>
        <v>5.2996037925647568E-2</v>
      </c>
      <c r="W70" s="300">
        <f>'Baseline Consumption'!W59*parameters!$B$84</f>
        <v>5.2911678087931895E-2</v>
      </c>
      <c r="X70" s="300">
        <f>'Baseline Consumption'!X59*parameters!$B$84</f>
        <v>5.2835512592252394E-2</v>
      </c>
      <c r="Y70" s="300">
        <f>'Baseline Consumption'!Y59*parameters!$B$84</f>
        <v>5.276971719621032E-2</v>
      </c>
      <c r="Z70" s="300">
        <f>'Baseline Consumption'!Z59*parameters!$B$84</f>
        <v>5.2726990795662641E-2</v>
      </c>
      <c r="AA70" s="300">
        <f>'Baseline Consumption'!AA59*parameters!$B$84</f>
        <v>5.2731027771122436E-2</v>
      </c>
      <c r="AB70" s="300">
        <f>'Baseline Consumption'!AB59*parameters!$B$84</f>
        <v>5.2767681828371424E-2</v>
      </c>
      <c r="AC70" s="300">
        <f>'Baseline Consumption'!AC59*parameters!$B$84</f>
        <v>5.2780882151299495E-2</v>
      </c>
      <c r="AD70" s="300">
        <f>'Baseline Consumption'!AD59*parameters!$B$84</f>
        <v>5.2797281409395776E-2</v>
      </c>
      <c r="AE70" s="300">
        <f>'Baseline Consumption'!AE59*parameters!$B$84</f>
        <v>5.2858724804843646E-2</v>
      </c>
      <c r="AF70" s="300">
        <f>'Baseline Consumption'!AF59*parameters!$B$84</f>
        <v>5.2923959214588132E-2</v>
      </c>
      <c r="AG70" s="300">
        <f>'Baseline Consumption'!AG59*parameters!$B$84</f>
        <v>5.2995824939981548E-2</v>
      </c>
      <c r="AH70" s="300">
        <f>'Baseline Consumption'!AH59*parameters!$B$84</f>
        <v>5.3078494285391686E-2</v>
      </c>
      <c r="AI70" s="300">
        <f>'Baseline Consumption'!AI59*parameters!$B$84</f>
        <v>5.3156269792380875E-2</v>
      </c>
      <c r="AJ70" s="300">
        <f>'Baseline Consumption'!AJ59*parameters!$B$84</f>
        <v>5.323468556063024E-2</v>
      </c>
      <c r="AK70" s="300">
        <f>'Baseline Consumption'!AK59*parameters!$B$84</f>
        <v>5.3341216592966437E-2</v>
      </c>
      <c r="AL70" s="300">
        <f>'Baseline Consumption'!AL59*parameters!$B$84</f>
        <v>5.3443466892389713E-2</v>
      </c>
      <c r="AM70" s="300">
        <f>'Baseline Consumption'!AM59*parameters!$B$84</f>
        <v>5.3510819865033345E-2</v>
      </c>
      <c r="AN70" s="300">
        <f>'Baseline Consumption'!AN59*parameters!$B$84</f>
        <v>5.3551974562735694E-2</v>
      </c>
      <c r="AO70" s="300">
        <f>'Baseline Consumption'!AO59*parameters!$B$84</f>
        <v>5.358251975966425E-2</v>
      </c>
      <c r="AP70" s="300">
        <f>'Baseline Consumption'!AP59*parameters!$B$84</f>
        <v>5.3606583038177003E-2</v>
      </c>
      <c r="AQ70" s="300">
        <f>'Baseline Consumption'!AQ59*parameters!$B$84</f>
        <v>5.3619543490497877E-2</v>
      </c>
      <c r="AR70" s="300">
        <f>'Baseline Consumption'!AR59*parameters!$B$84</f>
        <v>5.3591526155702528E-2</v>
      </c>
      <c r="AS70" s="300">
        <f>'Baseline Consumption'!AS59*parameters!$B$84</f>
        <v>5.3521686976432163E-2</v>
      </c>
      <c r="AT70" s="300">
        <f>'Baseline Consumption'!AT59*parameters!$B$84</f>
        <v>5.344323105396153E-2</v>
      </c>
      <c r="AU70" s="300">
        <f>'Baseline Consumption'!AU59*parameters!$B$84</f>
        <v>5.3350145995567762E-2</v>
      </c>
      <c r="AV70" s="442">
        <f t="shared" si="16"/>
        <v>-1.6682340297691004E-3</v>
      </c>
    </row>
    <row r="71" spans="1:56">
      <c r="A71" s="178" t="s">
        <v>68</v>
      </c>
      <c r="B71" s="300">
        <f>'Baseline Consumption'!B60*parameters!$B$76</f>
        <v>0.45830988425608488</v>
      </c>
      <c r="C71" s="300">
        <f>'Baseline Consumption'!C60*parameters!$B$76</f>
        <v>0.44828165186762475</v>
      </c>
      <c r="D71" s="300">
        <f>'Baseline Consumption'!D60*parameters!$B$76</f>
        <v>0.44537799590481453</v>
      </c>
      <c r="E71" s="300">
        <f>'Baseline Consumption'!E60*parameters!$B$76</f>
        <v>0.44627397328202933</v>
      </c>
      <c r="F71" s="300">
        <f>'Baseline Consumption'!F60*parameters!$B$76</f>
        <v>0.37556899991113218</v>
      </c>
      <c r="G71" s="300">
        <f>'Baseline Consumption'!G60*parameters!$B$76</f>
        <v>0.42680963715632902</v>
      </c>
      <c r="H71" s="300">
        <f>'Baseline Consumption'!H60*parameters!$B$76</f>
        <v>0.39591386552823321</v>
      </c>
      <c r="I71" s="300">
        <f>'Baseline Consumption'!I60*parameters!$B$76</f>
        <v>0.47888446023548442</v>
      </c>
      <c r="J71" s="300">
        <f>'Baseline Consumption'!J60*parameters!$B$76</f>
        <v>0.55685304935577595</v>
      </c>
      <c r="K71" s="300">
        <f>'Baseline Consumption'!K60*parameters!$B$76</f>
        <v>0.40456154492824226</v>
      </c>
      <c r="L71" s="300">
        <f>'Baseline Consumption'!L60*parameters!$B$76</f>
        <v>0.55663366953758742</v>
      </c>
      <c r="M71" s="300">
        <f>'Baseline Consumption'!M60*parameters!$B$76</f>
        <v>0.48007645163865242</v>
      </c>
      <c r="N71" s="300">
        <f>'Baseline Consumption'!N60*parameters!$B$76</f>
        <v>0.47971143071258726</v>
      </c>
      <c r="O71" s="300">
        <f>'Baseline Consumption'!O60*parameters!$B$76</f>
        <v>0.49337061788492886</v>
      </c>
      <c r="P71" s="300">
        <f>'Baseline Consumption'!P60*parameters!$B$76</f>
        <v>0.47647958243917526</v>
      </c>
      <c r="Q71" s="300">
        <f>'Baseline Consumption'!Q60*parameters!$B$76</f>
        <v>0.47867327104952478</v>
      </c>
      <c r="R71" s="300">
        <f>'Baseline Consumption'!R60*parameters!$B$76</f>
        <v>0.49207871999141389</v>
      </c>
      <c r="S71" s="300">
        <f>'Baseline Consumption'!S60*parameters!$B$76</f>
        <v>0.48638345108940301</v>
      </c>
      <c r="T71" s="300">
        <f>'Baseline Consumption'!T60*parameters!$B$76</f>
        <v>0.48807127881316453</v>
      </c>
      <c r="U71" s="300">
        <f>'Baseline Consumption'!U60*parameters!$B$76</f>
        <v>0.48639752965848271</v>
      </c>
      <c r="V71" s="300">
        <f>'Baseline Consumption'!V60*parameters!$B$76</f>
        <v>0.49107938865952705</v>
      </c>
      <c r="W71" s="300">
        <f>'Baseline Consumption'!W60*parameters!$B$76</f>
        <v>0.49573894489433634</v>
      </c>
      <c r="X71" s="300">
        <f>'Baseline Consumption'!X60*parameters!$B$76</f>
        <v>0.49975466825462722</v>
      </c>
      <c r="Y71" s="300">
        <f>'Baseline Consumption'!Y60*parameters!$B$76</f>
        <v>0.50617360159080016</v>
      </c>
      <c r="Z71" s="300">
        <f>'Baseline Consumption'!Z60*parameters!$B$76</f>
        <v>0.49971810032006431</v>
      </c>
      <c r="AA71" s="300">
        <f>'Baseline Consumption'!AA60*parameters!$B$76</f>
        <v>0.50168823781075622</v>
      </c>
      <c r="AB71" s="300">
        <f>'Baseline Consumption'!AB60*parameters!$B$76</f>
        <v>0.50434814128324712</v>
      </c>
      <c r="AC71" s="300">
        <f>'Baseline Consumption'!AC60*parameters!$B$76</f>
        <v>0.51067962965959701</v>
      </c>
      <c r="AD71" s="300">
        <f>'Baseline Consumption'!AD60*parameters!$B$76</f>
        <v>0.51381010466484689</v>
      </c>
      <c r="AE71" s="300">
        <f>'Baseline Consumption'!AE60*parameters!$B$76</f>
        <v>0.51840777649326186</v>
      </c>
      <c r="AF71" s="300">
        <f>'Baseline Consumption'!AF60*parameters!$B$76</f>
        <v>0.52695544617866263</v>
      </c>
      <c r="AG71" s="300">
        <f>'Baseline Consumption'!AG60*parameters!$B$76</f>
        <v>0.53018702598830492</v>
      </c>
      <c r="AH71" s="300">
        <f>'Baseline Consumption'!AH60*parameters!$B$76</f>
        <v>0.53579352441645745</v>
      </c>
      <c r="AI71" s="300">
        <f>'Baseline Consumption'!AI60*parameters!$B$76</f>
        <v>0.54134465117715402</v>
      </c>
      <c r="AJ71" s="300">
        <f>'Baseline Consumption'!AJ60*parameters!$B$76</f>
        <v>0.54691826160583223</v>
      </c>
      <c r="AK71" s="300">
        <f>'Baseline Consumption'!AK60*parameters!$B$76</f>
        <v>0.55365387175015623</v>
      </c>
      <c r="AL71" s="300">
        <f>'Baseline Consumption'!AL60*parameters!$B$76</f>
        <v>0.55922394357965799</v>
      </c>
      <c r="AM71" s="300">
        <f>'Baseline Consumption'!AM60*parameters!$B$76</f>
        <v>0.56464919250441248</v>
      </c>
      <c r="AN71" s="300">
        <f>'Baseline Consumption'!AN60*parameters!$B$76</f>
        <v>0.56804399530891669</v>
      </c>
      <c r="AO71" s="300">
        <f>'Baseline Consumption'!AO60*parameters!$B$76</f>
        <v>0.57288861588207463</v>
      </c>
      <c r="AP71" s="300">
        <f>'Baseline Consumption'!AP60*parameters!$B$76</f>
        <v>0.57831846930346165</v>
      </c>
      <c r="AQ71" s="300">
        <f>'Baseline Consumption'!AQ60*parameters!$B$76</f>
        <v>0.58227249719055518</v>
      </c>
      <c r="AR71" s="300">
        <f>'Baseline Consumption'!AR60*parameters!$B$76</f>
        <v>0.58687975392662739</v>
      </c>
      <c r="AS71" s="300">
        <f>'Baseline Consumption'!AS60*parameters!$B$76</f>
        <v>0.58994928301503113</v>
      </c>
      <c r="AT71" s="300">
        <f>'Baseline Consumption'!AT60*parameters!$B$76</f>
        <v>0.59214175250653034</v>
      </c>
      <c r="AU71" s="300">
        <f>'Baseline Consumption'!AU60*parameters!$B$76</f>
        <v>0.59455698526098533</v>
      </c>
      <c r="AV71" s="442">
        <f t="shared" si="16"/>
        <v>0.2420935557094662</v>
      </c>
    </row>
    <row r="72" spans="1:56">
      <c r="A72" s="178" t="s">
        <v>69</v>
      </c>
      <c r="B72" s="300">
        <f>'Baseline Consumption'!B61*parameters!$B$76</f>
        <v>3.403135814636932E-3</v>
      </c>
      <c r="C72" s="300">
        <f>'Baseline Consumption'!C61*parameters!$B$76</f>
        <v>4.6583228612551214E-3</v>
      </c>
      <c r="D72" s="300">
        <f>'Baseline Consumption'!D61*parameters!$B$76</f>
        <v>1.0155288396384477E-2</v>
      </c>
      <c r="E72" s="300">
        <f>'Baseline Consumption'!E61*parameters!$B$76</f>
        <v>1.0778322363095127E-2</v>
      </c>
      <c r="F72" s="300">
        <f>'Baseline Consumption'!F61*parameters!$B$76</f>
        <v>1.3367962219422954E-2</v>
      </c>
      <c r="G72" s="300">
        <f>'Baseline Consumption'!G61*parameters!$B$76</f>
        <v>1.290853664184852E-2</v>
      </c>
      <c r="H72" s="300">
        <f>'Baseline Consumption'!H61*parameters!$B$76</f>
        <v>1.4461990033646959E-2</v>
      </c>
      <c r="I72" s="300">
        <f>'Baseline Consumption'!I61*parameters!$B$76</f>
        <v>1.3220879930199483E-2</v>
      </c>
      <c r="J72" s="300">
        <f>'Baseline Consumption'!J61*parameters!$B$76</f>
        <v>1.654776805553421E-2</v>
      </c>
      <c r="K72" s="300">
        <f>'Baseline Consumption'!K61*parameters!$B$76</f>
        <v>1.4788810901129028E-2</v>
      </c>
      <c r="L72" s="300">
        <f>'Baseline Consumption'!L61*parameters!$B$76</f>
        <v>1.6493047712923852E-2</v>
      </c>
      <c r="M72" s="300">
        <f>'Baseline Consumption'!M61*parameters!$B$76</f>
        <v>0.1491412165795159</v>
      </c>
      <c r="N72" s="300">
        <f>'Baseline Consumption'!N61*parameters!$B$76</f>
        <v>0.14740626256911793</v>
      </c>
      <c r="O72" s="300">
        <f>'Baseline Consumption'!O61*parameters!$B$76</f>
        <v>0.17303687133003126</v>
      </c>
      <c r="P72" s="300">
        <f>'Baseline Consumption'!P61*parameters!$B$76</f>
        <v>0.19818659343621103</v>
      </c>
      <c r="Q72" s="300">
        <f>'Baseline Consumption'!Q61*parameters!$B$76</f>
        <v>0.21155692067979548</v>
      </c>
      <c r="R72" s="300">
        <f>'Baseline Consumption'!R61*parameters!$B$76</f>
        <v>0.32696749477455683</v>
      </c>
      <c r="S72" s="300">
        <f>'Baseline Consumption'!S61*parameters!$B$76</f>
        <v>0.29770974040663239</v>
      </c>
      <c r="T72" s="300">
        <f>'Baseline Consumption'!T61*parameters!$B$76</f>
        <v>0.30937430125931237</v>
      </c>
      <c r="U72" s="300">
        <f>'Baseline Consumption'!U61*parameters!$B$76</f>
        <v>0.32204239691085457</v>
      </c>
      <c r="V72" s="300">
        <f>'Baseline Consumption'!V61*parameters!$B$76</f>
        <v>0.32553703846256971</v>
      </c>
      <c r="W72" s="300">
        <f>'Baseline Consumption'!W61*parameters!$B$76</f>
        <v>0.34155227748809358</v>
      </c>
      <c r="X72" s="300">
        <f>'Baseline Consumption'!X61*parameters!$B$76</f>
        <v>0.37098666758344517</v>
      </c>
      <c r="Y72" s="300">
        <f>'Baseline Consumption'!Y61*parameters!$B$76</f>
        <v>0.3869113839022354</v>
      </c>
      <c r="Z72" s="300">
        <f>'Baseline Consumption'!Z61*parameters!$B$76</f>
        <v>0.39448055744646759</v>
      </c>
      <c r="AA72" s="300">
        <f>'Baseline Consumption'!AA61*parameters!$B$76</f>
        <v>0.41997840127377428</v>
      </c>
      <c r="AB72" s="300">
        <f>'Baseline Consumption'!AB61*parameters!$B$76</f>
        <v>0.44044669791581381</v>
      </c>
      <c r="AC72" s="300">
        <f>'Baseline Consumption'!AC61*parameters!$B$76</f>
        <v>0.45707845533656921</v>
      </c>
      <c r="AD72" s="300">
        <f>'Baseline Consumption'!AD61*parameters!$B$76</f>
        <v>0.47040626910549382</v>
      </c>
      <c r="AE72" s="300">
        <f>'Baseline Consumption'!AE61*parameters!$B$76</f>
        <v>0.4876287013029425</v>
      </c>
      <c r="AF72" s="300">
        <f>'Baseline Consumption'!AF61*parameters!$B$76</f>
        <v>0.52729174624704922</v>
      </c>
      <c r="AG72" s="300">
        <f>'Baseline Consumption'!AG61*parameters!$B$76</f>
        <v>0.54959603528015388</v>
      </c>
      <c r="AH72" s="300">
        <f>'Baseline Consumption'!AH61*parameters!$B$76</f>
        <v>0.5690206429327227</v>
      </c>
      <c r="AI72" s="300">
        <f>'Baseline Consumption'!AI61*parameters!$B$76</f>
        <v>0.5904363378216313</v>
      </c>
      <c r="AJ72" s="300">
        <f>'Baseline Consumption'!AJ61*parameters!$B$76</f>
        <v>0.61327703300915504</v>
      </c>
      <c r="AK72" s="300">
        <f>'Baseline Consumption'!AK61*parameters!$B$76</f>
        <v>0.63243175814146557</v>
      </c>
      <c r="AL72" s="300">
        <f>'Baseline Consumption'!AL61*parameters!$B$76</f>
        <v>0.65429829369029857</v>
      </c>
      <c r="AM72" s="300">
        <f>'Baseline Consumption'!AM61*parameters!$B$76</f>
        <v>0.6826626751154401</v>
      </c>
      <c r="AN72" s="300">
        <f>'Baseline Consumption'!AN61*parameters!$B$76</f>
        <v>0.68546685141821861</v>
      </c>
      <c r="AO72" s="300">
        <f>'Baseline Consumption'!AO61*parameters!$B$76</f>
        <v>0.70777265402559375</v>
      </c>
      <c r="AP72" s="300">
        <f>'Baseline Consumption'!AP61*parameters!$B$76</f>
        <v>0.72324145607286661</v>
      </c>
      <c r="AQ72" s="300">
        <f>'Baseline Consumption'!AQ61*parameters!$B$76</f>
        <v>0.74170934829772039</v>
      </c>
      <c r="AR72" s="300">
        <f>'Baseline Consumption'!AR61*parameters!$B$76</f>
        <v>0.75552433511365269</v>
      </c>
      <c r="AS72" s="300">
        <f>'Baseline Consumption'!AS61*parameters!$B$76</f>
        <v>0.76575188152248463</v>
      </c>
      <c r="AT72" s="300">
        <f>'Baseline Consumption'!AT61*parameters!$B$76</f>
        <v>0.77502481803347201</v>
      </c>
      <c r="AU72" s="300">
        <f>'Baseline Consumption'!AU61*parameters!$B$76</f>
        <v>0.78966153345556245</v>
      </c>
      <c r="AV72" s="442">
        <f t="shared" si="16"/>
        <v>2.7326197172758255</v>
      </c>
    </row>
    <row r="73" spans="1:56">
      <c r="A73" s="178" t="s">
        <v>70</v>
      </c>
      <c r="B73" s="300">
        <f>'Baseline Consumption'!B62*parameters!$B$98</f>
        <v>0</v>
      </c>
      <c r="C73" s="300">
        <f>'Baseline Consumption'!C62*parameters!$B$98</f>
        <v>0</v>
      </c>
      <c r="D73" s="300">
        <f>'Baseline Consumption'!D62*parameters!$B$98</f>
        <v>0</v>
      </c>
      <c r="E73" s="300">
        <f>'Baseline Consumption'!E62*parameters!$B$98</f>
        <v>0</v>
      </c>
      <c r="F73" s="300">
        <f>'Baseline Consumption'!F62*parameters!$B$98</f>
        <v>0</v>
      </c>
      <c r="G73" s="300">
        <f>'Baseline Consumption'!G62*parameters!$B$98</f>
        <v>0</v>
      </c>
      <c r="H73" s="300">
        <f>'Baseline Consumption'!H62*parameters!$B$98</f>
        <v>0</v>
      </c>
      <c r="I73" s="300">
        <f>'Baseline Consumption'!I62*parameters!$B$98</f>
        <v>0</v>
      </c>
      <c r="J73" s="300">
        <f>'Baseline Consumption'!J62*parameters!$B$98</f>
        <v>0</v>
      </c>
      <c r="K73" s="300">
        <f>'Baseline Consumption'!K62*parameters!$B$98</f>
        <v>0</v>
      </c>
      <c r="L73" s="300">
        <f>'Baseline Consumption'!L62*parameters!$B$98</f>
        <v>0</v>
      </c>
      <c r="M73" s="300">
        <f>'Baseline Consumption'!M62*parameters!$B$98</f>
        <v>0</v>
      </c>
      <c r="N73" s="300">
        <f>'Baseline Consumption'!N62*parameters!$B$98</f>
        <v>0</v>
      </c>
      <c r="O73" s="300">
        <f>'Baseline Consumption'!O62*parameters!$B$98</f>
        <v>0</v>
      </c>
      <c r="P73" s="300">
        <f>'Baseline Consumption'!P62*parameters!$B$98</f>
        <v>0</v>
      </c>
      <c r="Q73" s="300">
        <f>'Baseline Consumption'!Q62*parameters!$B$98</f>
        <v>0</v>
      </c>
      <c r="R73" s="300">
        <f>'Baseline Consumption'!R62*parameters!$B$98</f>
        <v>0</v>
      </c>
      <c r="S73" s="300">
        <f>'Baseline Consumption'!S62*parameters!$B$98</f>
        <v>0</v>
      </c>
      <c r="T73" s="300">
        <f>'Baseline Consumption'!T62*parameters!$B$98</f>
        <v>0</v>
      </c>
      <c r="U73" s="300">
        <f>'Baseline Consumption'!U62*parameters!$B$98</f>
        <v>0</v>
      </c>
      <c r="V73" s="300">
        <f>'Baseline Consumption'!V62*parameters!$B$98</f>
        <v>0</v>
      </c>
      <c r="W73" s="300">
        <f>'Baseline Consumption'!W62*parameters!$B$98</f>
        <v>0</v>
      </c>
      <c r="X73" s="300">
        <f>'Baseline Consumption'!X62*parameters!$B$98</f>
        <v>0</v>
      </c>
      <c r="Y73" s="300">
        <f>'Baseline Consumption'!Y62*parameters!$B$98</f>
        <v>0</v>
      </c>
      <c r="Z73" s="300">
        <f>'Baseline Consumption'!Z62*parameters!$B$98</f>
        <v>0</v>
      </c>
      <c r="AA73" s="300">
        <f>'Baseline Consumption'!AA62*parameters!$B$98</f>
        <v>0</v>
      </c>
      <c r="AB73" s="300">
        <f>'Baseline Consumption'!AB62*parameters!$B$98</f>
        <v>0</v>
      </c>
      <c r="AC73" s="300">
        <f>'Baseline Consumption'!AC62*parameters!$B$98</f>
        <v>0</v>
      </c>
      <c r="AD73" s="300">
        <f>'Baseline Consumption'!AD62*parameters!$B$98</f>
        <v>0</v>
      </c>
      <c r="AE73" s="300">
        <f>'Baseline Consumption'!AE62*parameters!$B$98</f>
        <v>0</v>
      </c>
      <c r="AF73" s="300">
        <f>'Baseline Consumption'!AF62*parameters!$B$98</f>
        <v>0</v>
      </c>
      <c r="AG73" s="300">
        <f>'Baseline Consumption'!AG62*parameters!$B$98</f>
        <v>0</v>
      </c>
      <c r="AH73" s="300">
        <f>'Baseline Consumption'!AH62*parameters!$B$98</f>
        <v>0</v>
      </c>
      <c r="AI73" s="300">
        <f>'Baseline Consumption'!AI62*parameters!$B$98</f>
        <v>0</v>
      </c>
      <c r="AJ73" s="300">
        <f>'Baseline Consumption'!AJ62*parameters!$B$98</f>
        <v>0</v>
      </c>
      <c r="AK73" s="300">
        <f>'Baseline Consumption'!AK62*parameters!$B$98</f>
        <v>0</v>
      </c>
      <c r="AL73" s="300">
        <f>'Baseline Consumption'!AL62*parameters!$B$98</f>
        <v>0</v>
      </c>
      <c r="AM73" s="300">
        <f>'Baseline Consumption'!AM62*parameters!$B$98</f>
        <v>0</v>
      </c>
      <c r="AN73" s="300">
        <f>'Baseline Consumption'!AN62*parameters!$B$98</f>
        <v>0</v>
      </c>
      <c r="AO73" s="300">
        <f>'Baseline Consumption'!AO62*parameters!$B$98</f>
        <v>0</v>
      </c>
      <c r="AP73" s="300">
        <f>'Baseline Consumption'!AP62*parameters!$B$98</f>
        <v>0</v>
      </c>
      <c r="AQ73" s="300">
        <f>'Baseline Consumption'!AQ62*parameters!$B$98</f>
        <v>0</v>
      </c>
      <c r="AR73" s="300">
        <f>'Baseline Consumption'!AR62*parameters!$B$98</f>
        <v>0</v>
      </c>
      <c r="AS73" s="300">
        <f>'Baseline Consumption'!AS62*parameters!$B$98</f>
        <v>0</v>
      </c>
      <c r="AT73" s="300">
        <f>'Baseline Consumption'!AT62*parameters!$B$98</f>
        <v>0</v>
      </c>
      <c r="AU73" s="300">
        <f>'Baseline Consumption'!AU62*parameters!$B$98</f>
        <v>0</v>
      </c>
      <c r="AV73" s="442"/>
    </row>
    <row r="74" spans="1:56">
      <c r="A74" s="178" t="s">
        <v>25</v>
      </c>
      <c r="B74" s="300">
        <f>B83*'Baseline Consumption'!B104</f>
        <v>3.582747018218031E-4</v>
      </c>
      <c r="C74" s="300">
        <f>C83*'Baseline Consumption'!C104</f>
        <v>2.236443204874831E-4</v>
      </c>
      <c r="D74" s="300">
        <f>D83*'Baseline Consumption'!D104</f>
        <v>3.2004256799863861E-4</v>
      </c>
      <c r="E74" s="300">
        <f>E83*'Baseline Consumption'!E104</f>
        <v>3.2952811262517383E-4</v>
      </c>
      <c r="F74" s="300">
        <f>F83*'Baseline Consumption'!F104</f>
        <v>5.8087187931707765E-4</v>
      </c>
      <c r="G74" s="300">
        <f>G83*'Baseline Consumption'!G104</f>
        <v>1.6562144017913515E-3</v>
      </c>
      <c r="H74" s="300">
        <f>H83*'Baseline Consumption'!H104</f>
        <v>1.2316785947947995E-3</v>
      </c>
      <c r="I74" s="300">
        <f>I83*'Baseline Consumption'!I104</f>
        <v>1.1752187481437286E-3</v>
      </c>
      <c r="J74" s="300">
        <f>J83*'Baseline Consumption'!J104</f>
        <v>1.1997288990265084E-3</v>
      </c>
      <c r="K74" s="300">
        <f>K83*'Baseline Consumption'!K104</f>
        <v>1.6330977835848998E-2</v>
      </c>
      <c r="L74" s="300">
        <f>L83*'Baseline Consumption'!L104</f>
        <v>4.8515214125046816E-3</v>
      </c>
      <c r="M74" s="300">
        <f>M83*'Baseline Consumption'!M104</f>
        <v>6.3781445797349984E-3</v>
      </c>
      <c r="N74" s="300">
        <f>N83*'Baseline Consumption'!N104</f>
        <v>1.4153017483796552E-2</v>
      </c>
      <c r="O74" s="300">
        <f>O83*'Baseline Consumption'!O104</f>
        <v>3.0257980573422542E-2</v>
      </c>
      <c r="P74" s="300">
        <f>P83*'Baseline Consumption'!P104</f>
        <v>5.0447263882321229E-2</v>
      </c>
      <c r="Q74" s="300">
        <f>Q83*'Baseline Consumption'!Q104</f>
        <v>6.0719222806242312E-2</v>
      </c>
      <c r="R74" s="300">
        <f>R83*'Baseline Consumption'!R104</f>
        <v>6.8807614151414717E-2</v>
      </c>
      <c r="S74" s="300">
        <f>S83*'Baseline Consumption'!S104</f>
        <v>8.2454533863608348E-2</v>
      </c>
      <c r="T74" s="300">
        <f>T83*'Baseline Consumption'!T104</f>
        <v>8.5782901910562773E-2</v>
      </c>
      <c r="U74" s="300">
        <f>U83*'Baseline Consumption'!U104</f>
        <v>9.3292194560726918E-2</v>
      </c>
      <c r="V74" s="300">
        <f>V83*'Baseline Consumption'!V104</f>
        <v>0.10634156057197819</v>
      </c>
      <c r="W74" s="300">
        <f>W83*'Baseline Consumption'!W104</f>
        <v>0.10736495862331989</v>
      </c>
      <c r="X74" s="300">
        <f>X83*'Baseline Consumption'!X104</f>
        <v>0.11929284770967369</v>
      </c>
      <c r="Y74" s="300">
        <f>Y83*'Baseline Consumption'!Y104</f>
        <v>0.13237267942196149</v>
      </c>
      <c r="Z74" s="300">
        <f>Z83*'Baseline Consumption'!Z104</f>
        <v>0.13274655482354028</v>
      </c>
      <c r="AA74" s="300">
        <f>AA83*'Baseline Consumption'!AA104</f>
        <v>0.14286817175917169</v>
      </c>
      <c r="AB74" s="300">
        <f>AB83*'Baseline Consumption'!AB104</f>
        <v>0.15081594909343346</v>
      </c>
      <c r="AC74" s="300">
        <f>AC83*'Baseline Consumption'!AC104</f>
        <v>0.15850013542769939</v>
      </c>
      <c r="AD74" s="300">
        <f>AD83*'Baseline Consumption'!AD104</f>
        <v>0.16505522740128117</v>
      </c>
      <c r="AE74" s="300">
        <f>AE83*'Baseline Consumption'!AE104</f>
        <v>0.17150312570153137</v>
      </c>
      <c r="AF74" s="300">
        <f>AF83*'Baseline Consumption'!AF104</f>
        <v>0.17601284400321532</v>
      </c>
      <c r="AG74" s="300">
        <f>AG83*'Baseline Consumption'!AG104</f>
        <v>0.1842265738661977</v>
      </c>
      <c r="AH74" s="300">
        <f>AH83*'Baseline Consumption'!AH104</f>
        <v>0.19092200195242892</v>
      </c>
      <c r="AI74" s="300">
        <f>AI83*'Baseline Consumption'!AI104</f>
        <v>0.19761743003866031</v>
      </c>
      <c r="AJ74" s="300">
        <f>AJ83*'Baseline Consumption'!AJ104</f>
        <v>0.20431285812489153</v>
      </c>
      <c r="AK74" s="300">
        <f>AK83*'Baseline Consumption'!AK104</f>
        <v>0.21100828621112289</v>
      </c>
      <c r="AL74" s="300">
        <f>AL83*'Baseline Consumption'!AL104</f>
        <v>0.21770371429735413</v>
      </c>
      <c r="AM74" s="300">
        <f>AM83*'Baseline Consumption'!AM104</f>
        <v>0.22439914238358538</v>
      </c>
      <c r="AN74" s="300">
        <f>AN83*'Baseline Consumption'!AN104</f>
        <v>0.23109457046981668</v>
      </c>
      <c r="AO74" s="300">
        <f>AO83*'Baseline Consumption'!AO104</f>
        <v>0.23778999855604793</v>
      </c>
      <c r="AP74" s="300">
        <f>AP83*'Baseline Consumption'!AP104</f>
        <v>0.24448542664227932</v>
      </c>
      <c r="AQ74" s="300">
        <f>AQ83*'Baseline Consumption'!AQ104</f>
        <v>0.25118085472851059</v>
      </c>
      <c r="AR74" s="300">
        <f>AR83*'Baseline Consumption'!AR104</f>
        <v>0.25787628281474184</v>
      </c>
      <c r="AS74" s="300">
        <f>AS83*'Baseline Consumption'!AS104</f>
        <v>0.26457171090097314</v>
      </c>
      <c r="AT74" s="300">
        <f>AT83*'Baseline Consumption'!AT104</f>
        <v>0.27126713898720445</v>
      </c>
      <c r="AU74" s="300">
        <f>AU83*'Baseline Consumption'!AU104</f>
        <v>0.2779625670734357</v>
      </c>
      <c r="AV74" s="442">
        <f t="shared" si="16"/>
        <v>3.5778347321807193</v>
      </c>
    </row>
    <row r="75" spans="1:56" s="7" customFormat="1">
      <c r="A75" s="166" t="s">
        <v>26</v>
      </c>
      <c r="B75" s="300">
        <f>SUM(B64:B74)</f>
        <v>43.837956842031133</v>
      </c>
      <c r="C75" s="300">
        <f>SUM(C64:C74)</f>
        <v>45.865590317373716</v>
      </c>
      <c r="D75" s="300">
        <f t="shared" ref="D75:AF75" si="17">SUM(D64:D74)</f>
        <v>48.188944375770539</v>
      </c>
      <c r="E75" s="300">
        <f t="shared" si="17"/>
        <v>46.075823380492295</v>
      </c>
      <c r="F75" s="300">
        <f t="shared" si="17"/>
        <v>43.750504281407075</v>
      </c>
      <c r="G75" s="300">
        <f t="shared" si="17"/>
        <v>42.457921927614251</v>
      </c>
      <c r="H75" s="300">
        <f t="shared" si="17"/>
        <v>42.424809726241385</v>
      </c>
      <c r="I75" s="300">
        <f t="shared" si="17"/>
        <v>43.784194856246579</v>
      </c>
      <c r="J75" s="300">
        <f t="shared" si="17"/>
        <v>42.840526430752391</v>
      </c>
      <c r="K75" s="300">
        <f t="shared" si="17"/>
        <v>41.912431201290424</v>
      </c>
      <c r="L75" s="300">
        <f>SUM(L64:L74)</f>
        <v>44.797962597120176</v>
      </c>
      <c r="M75" s="300">
        <f t="shared" si="17"/>
        <v>49.738999394562853</v>
      </c>
      <c r="N75" s="300">
        <f t="shared" si="17"/>
        <v>43.744004964714293</v>
      </c>
      <c r="O75" s="300">
        <f t="shared" si="17"/>
        <v>43.72841547072138</v>
      </c>
      <c r="P75" s="300">
        <f t="shared" si="17"/>
        <v>44.419188155281915</v>
      </c>
      <c r="Q75" s="300">
        <f t="shared" si="17"/>
        <v>43.026669221837956</v>
      </c>
      <c r="R75" s="300">
        <f t="shared" si="17"/>
        <v>43.398017437680508</v>
      </c>
      <c r="S75" s="300">
        <f t="shared" si="17"/>
        <v>43.891354784591329</v>
      </c>
      <c r="T75" s="300">
        <f t="shared" si="17"/>
        <v>43.741147364107526</v>
      </c>
      <c r="U75" s="300">
        <f t="shared" si="17"/>
        <v>43.604193039036275</v>
      </c>
      <c r="V75" s="300">
        <f t="shared" si="17"/>
        <v>43.386853465650525</v>
      </c>
      <c r="W75" s="300">
        <f t="shared" si="17"/>
        <v>43.046828475895936</v>
      </c>
      <c r="X75" s="300">
        <f t="shared" si="17"/>
        <v>42.722178748565611</v>
      </c>
      <c r="Y75" s="300">
        <f t="shared" si="17"/>
        <v>42.472794405466544</v>
      </c>
      <c r="Z75" s="300">
        <f t="shared" si="17"/>
        <v>42.218809506005762</v>
      </c>
      <c r="AA75" s="300">
        <f t="shared" si="17"/>
        <v>41.880486003308938</v>
      </c>
      <c r="AB75" s="300">
        <f t="shared" si="17"/>
        <v>41.651602411767264</v>
      </c>
      <c r="AC75" s="300">
        <f t="shared" si="17"/>
        <v>41.466276200885645</v>
      </c>
      <c r="AD75" s="300">
        <f t="shared" si="17"/>
        <v>41.277317707787361</v>
      </c>
      <c r="AE75" s="300">
        <f t="shared" si="17"/>
        <v>41.128310487854129</v>
      </c>
      <c r="AF75" s="300">
        <f t="shared" si="17"/>
        <v>40.860488036206497</v>
      </c>
      <c r="AG75" s="300">
        <f>SUM(AG64:AG74)</f>
        <v>40.819642556007707</v>
      </c>
      <c r="AH75" s="300">
        <f>SUM(AH64:AH74)</f>
        <v>40.787597461015039</v>
      </c>
      <c r="AI75" s="300">
        <f>SUM(AI64:AI74)</f>
        <v>40.833927471930743</v>
      </c>
      <c r="AJ75" s="300">
        <f>SUM(AJ64:AJ74)</f>
        <v>40.913475153294705</v>
      </c>
      <c r="AK75" s="300">
        <f>SUM(AK64:AK74)</f>
        <v>41.007754843130868</v>
      </c>
      <c r="AL75" s="300">
        <f t="shared" ref="AL75:AU75" si="18">SUM(AL64:AL74)</f>
        <v>41.133626590221652</v>
      </c>
      <c r="AM75" s="300">
        <f t="shared" si="18"/>
        <v>41.223607120084303</v>
      </c>
      <c r="AN75" s="300">
        <f t="shared" si="18"/>
        <v>41.458442300688816</v>
      </c>
      <c r="AO75" s="300">
        <f t="shared" si="18"/>
        <v>41.518256771959464</v>
      </c>
      <c r="AP75" s="300">
        <f t="shared" si="18"/>
        <v>41.68024041776949</v>
      </c>
      <c r="AQ75" s="300">
        <f t="shared" si="18"/>
        <v>41.804825595193662</v>
      </c>
      <c r="AR75" s="300">
        <f t="shared" si="18"/>
        <v>41.989353074793833</v>
      </c>
      <c r="AS75" s="300">
        <f t="shared" si="18"/>
        <v>42.158371290072431</v>
      </c>
      <c r="AT75" s="300">
        <f t="shared" si="18"/>
        <v>42.304042496887135</v>
      </c>
      <c r="AU75" s="300">
        <f t="shared" si="18"/>
        <v>42.431488893504564</v>
      </c>
      <c r="AV75" s="442">
        <f t="shared" si="16"/>
        <v>-1.3832823667217798E-2</v>
      </c>
      <c r="AW75" s="5"/>
      <c r="AX75" s="5"/>
      <c r="AY75" s="5"/>
      <c r="AZ75" s="5"/>
      <c r="BA75" s="5" t="s">
        <v>953</v>
      </c>
      <c r="BB75" s="5"/>
      <c r="BC75" s="5"/>
      <c r="BD75" s="5"/>
    </row>
    <row r="76" spans="1:56">
      <c r="A76" s="396"/>
      <c r="B76" s="479"/>
      <c r="C76" s="479"/>
      <c r="D76" s="479"/>
      <c r="E76" s="479"/>
      <c r="F76" s="479"/>
      <c r="G76" s="479"/>
      <c r="H76" s="479"/>
      <c r="I76" s="479"/>
      <c r="J76" s="479"/>
      <c r="K76" s="479"/>
      <c r="L76" s="479"/>
      <c r="M76" s="48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c r="AS76" s="230"/>
      <c r="AT76" s="230"/>
      <c r="AU76" s="230"/>
    </row>
    <row r="77" spans="1:56" ht="13">
      <c r="A77" s="250" t="s">
        <v>383</v>
      </c>
      <c r="B77" s="380"/>
      <c r="C77" s="380"/>
      <c r="D77" s="380"/>
      <c r="E77" s="380"/>
      <c r="F77" s="380"/>
      <c r="G77" s="380"/>
      <c r="H77" s="380"/>
      <c r="I77" s="380"/>
      <c r="J77" s="380"/>
      <c r="K77" s="380"/>
      <c r="L77" s="380"/>
      <c r="M77" s="380"/>
      <c r="N77" s="380"/>
      <c r="O77" s="380"/>
      <c r="P77" s="380"/>
      <c r="Q77" s="380"/>
      <c r="R77" s="380"/>
      <c r="S77" s="380"/>
      <c r="T77" s="380"/>
      <c r="U77" s="380"/>
      <c r="V77" s="380"/>
      <c r="W77" s="380">
        <f>V79-W79</f>
        <v>1.347371853828637</v>
      </c>
      <c r="X77" s="380"/>
      <c r="Y77" s="380"/>
      <c r="Z77" s="380"/>
      <c r="AA77" s="380"/>
      <c r="AB77" s="380"/>
      <c r="AC77" s="380"/>
      <c r="AD77" s="380"/>
      <c r="AE77" s="380"/>
      <c r="AF77" s="380"/>
      <c r="AG77" s="380"/>
      <c r="AH77" s="380"/>
      <c r="AI77" s="380"/>
      <c r="AJ77" s="380"/>
      <c r="AK77" s="380"/>
      <c r="AL77" s="380"/>
      <c r="AM77" s="380"/>
      <c r="AN77" s="380"/>
      <c r="AO77" s="380"/>
      <c r="AP77" s="380"/>
      <c r="AQ77" s="380"/>
      <c r="AR77" s="380"/>
      <c r="AS77" s="380"/>
      <c r="AT77" s="380"/>
      <c r="AU77" s="381"/>
      <c r="AV77" s="5" t="s">
        <v>1385</v>
      </c>
    </row>
    <row r="78" spans="1:56" s="396" customFormat="1" ht="12.9" customHeight="1">
      <c r="A78" s="253" t="s">
        <v>6</v>
      </c>
      <c r="B78" s="253">
        <v>2005</v>
      </c>
      <c r="C78" s="253">
        <v>2006</v>
      </c>
      <c r="D78" s="253">
        <v>2007</v>
      </c>
      <c r="E78" s="253">
        <v>2008</v>
      </c>
      <c r="F78" s="253">
        <v>2009</v>
      </c>
      <c r="G78" s="253">
        <v>2010</v>
      </c>
      <c r="H78" s="253">
        <v>2011</v>
      </c>
      <c r="I78" s="253">
        <v>2012</v>
      </c>
      <c r="J78" s="253">
        <v>2013</v>
      </c>
      <c r="K78" s="253">
        <v>2014</v>
      </c>
      <c r="L78" s="253">
        <v>2015</v>
      </c>
      <c r="M78" s="253">
        <v>2016</v>
      </c>
      <c r="N78" s="253">
        <v>2017</v>
      </c>
      <c r="O78" s="253">
        <v>2018</v>
      </c>
      <c r="P78" s="253">
        <v>2019</v>
      </c>
      <c r="Q78" s="253">
        <v>2020</v>
      </c>
      <c r="R78" s="253">
        <v>2021</v>
      </c>
      <c r="S78" s="253">
        <v>2022</v>
      </c>
      <c r="T78" s="253">
        <v>2023</v>
      </c>
      <c r="U78" s="253">
        <v>2024</v>
      </c>
      <c r="V78" s="253">
        <v>2025</v>
      </c>
      <c r="W78" s="253">
        <v>2026</v>
      </c>
      <c r="X78" s="253">
        <v>2027</v>
      </c>
      <c r="Y78" s="253">
        <v>2028</v>
      </c>
      <c r="Z78" s="253">
        <v>2029</v>
      </c>
      <c r="AA78" s="253">
        <v>2030</v>
      </c>
      <c r="AB78" s="253">
        <v>2031</v>
      </c>
      <c r="AC78" s="253">
        <v>2032</v>
      </c>
      <c r="AD78" s="253">
        <v>2033</v>
      </c>
      <c r="AE78" s="253">
        <v>2034</v>
      </c>
      <c r="AF78" s="253">
        <v>2035</v>
      </c>
      <c r="AG78" s="253">
        <v>2036</v>
      </c>
      <c r="AH78" s="253">
        <v>2037</v>
      </c>
      <c r="AI78" s="253">
        <v>2038</v>
      </c>
      <c r="AJ78" s="253">
        <v>2039</v>
      </c>
      <c r="AK78" s="253">
        <v>2040</v>
      </c>
      <c r="AL78" s="253">
        <v>2041</v>
      </c>
      <c r="AM78" s="253">
        <v>2042</v>
      </c>
      <c r="AN78" s="253">
        <v>2043</v>
      </c>
      <c r="AO78" s="253">
        <v>2044</v>
      </c>
      <c r="AP78" s="253">
        <v>2045</v>
      </c>
      <c r="AQ78" s="253">
        <v>2046</v>
      </c>
      <c r="AR78" s="253">
        <v>2047</v>
      </c>
      <c r="AS78" s="253">
        <v>2048</v>
      </c>
      <c r="AT78" s="253">
        <v>2049</v>
      </c>
      <c r="AU78" s="253">
        <v>2050</v>
      </c>
      <c r="AV78" s="436" t="s">
        <v>290</v>
      </c>
    </row>
    <row r="79" spans="1:56">
      <c r="A79" s="51" t="s">
        <v>352</v>
      </c>
      <c r="B79" s="300">
        <f>'Baseline Consumption'!B95*parameters!$B$79</f>
        <v>14.502424219617795</v>
      </c>
      <c r="C79" s="300">
        <f>'Baseline Consumption'!C95*parameters!$B$79</f>
        <v>13.572846378427172</v>
      </c>
      <c r="D79" s="300">
        <f>'Baseline Consumption'!D95*parameters!$B$79</f>
        <v>14.175706182173034</v>
      </c>
      <c r="E79" s="300">
        <f>'Baseline Consumption'!E95*parameters!$B$79</f>
        <v>14.456656600503457</v>
      </c>
      <c r="F79" s="300">
        <f>'Baseline Consumption'!F95*parameters!$B$79</f>
        <v>14.678241466073244</v>
      </c>
      <c r="G79" s="300">
        <f>'Baseline Consumption'!G95*parameters!$B$79</f>
        <v>16.052841918007083</v>
      </c>
      <c r="H79" s="300">
        <f>'Baseline Consumption'!H95*parameters!$B$79</f>
        <v>13.117927412831635</v>
      </c>
      <c r="I79" s="300">
        <f>'Baseline Consumption'!I95*parameters!$B$79</f>
        <v>12.278629138595452</v>
      </c>
      <c r="J79" s="300">
        <f>'Baseline Consumption'!J95*parameters!$B$79</f>
        <v>13.585175792151011</v>
      </c>
      <c r="K79" s="300">
        <f>'Baseline Consumption'!K95*parameters!$B$79</f>
        <v>13.270986847098603</v>
      </c>
      <c r="L79" s="300">
        <f>'Baseline Consumption'!L95*parameters!$B$79</f>
        <v>13.541099158703574</v>
      </c>
      <c r="M79" s="300">
        <f>'Baseline Consumption'!M95*parameters!$B$79</f>
        <v>12.190165616345856</v>
      </c>
      <c r="N79" s="300">
        <f>'Baseline Consumption'!N95*parameters!$B$79</f>
        <v>10.398386392011373</v>
      </c>
      <c r="O79" s="300">
        <f>'Baseline Consumption'!O95*parameters!$B$79</f>
        <v>10.993026449874908</v>
      </c>
      <c r="P79" s="300">
        <f>'Baseline Consumption'!P95*parameters!$B$79</f>
        <v>10.478410541893297</v>
      </c>
      <c r="Q79" s="300">
        <f>'Baseline Consumption'!Q95*parameters!$B$79</f>
        <v>10.011034448027157</v>
      </c>
      <c r="R79" s="300">
        <f>'Baseline Consumption'!R95*parameters!$B$79</f>
        <v>8.5928169066550559</v>
      </c>
      <c r="S79" s="300">
        <f>'Baseline Consumption'!S95*parameters!$B$79</f>
        <v>8.52807688523826</v>
      </c>
      <c r="T79" s="300">
        <f>'Baseline Consumption'!T95*parameters!$B$79</f>
        <v>6.6394971706586015</v>
      </c>
      <c r="U79" s="300">
        <f>'Baseline Consumption'!U95*parameters!$B$79</f>
        <v>5.7753222319300015</v>
      </c>
      <c r="V79" s="300">
        <f>'Baseline Consumption'!V95*parameters!$B$79</f>
        <v>5.7340151758471576</v>
      </c>
      <c r="W79" s="300">
        <f>'Baseline Consumption'!W95*parameters!$B$79</f>
        <v>4.3866433220185206</v>
      </c>
      <c r="X79" s="300">
        <f>'Baseline Consumption'!X95*parameters!$B$79</f>
        <v>4.364578629257017</v>
      </c>
      <c r="Y79" s="300">
        <f>'Baseline Consumption'!Y95*parameters!$B$79</f>
        <v>4.343091336806765</v>
      </c>
      <c r="Z79" s="300">
        <f>'Baseline Consumption'!Z95*parameters!$B$79</f>
        <v>3.5441624938892131</v>
      </c>
      <c r="AA79" s="300">
        <f>'Baseline Consumption'!AA95*parameters!$B$79</f>
        <v>3.5720202512919554</v>
      </c>
      <c r="AB79" s="300">
        <f>'Baseline Consumption'!AB95*parameters!$B$79</f>
        <v>3.5958192111459937</v>
      </c>
      <c r="AC79" s="300">
        <f>'Baseline Consumption'!AC95*parameters!$B$79</f>
        <v>3.6332417084211555</v>
      </c>
      <c r="AD79" s="300">
        <f>'Baseline Consumption'!AD95*parameters!$B$79</f>
        <v>3.672581021403706</v>
      </c>
      <c r="AE79" s="300">
        <f>'Baseline Consumption'!AE95*parameters!$B$79</f>
        <v>3.7137701358053841</v>
      </c>
      <c r="AF79" s="300">
        <f>'Baseline Consumption'!AF95*parameters!$B$79</f>
        <v>3.7573101825054493</v>
      </c>
      <c r="AG79" s="300">
        <f>'Baseline Consumption'!AG95*parameters!$B$79</f>
        <v>3.7894212593984222</v>
      </c>
      <c r="AH79" s="300">
        <f>'Baseline Consumption'!AH95*parameters!$B$79</f>
        <v>3.8271253091992281</v>
      </c>
      <c r="AI79" s="300">
        <f>'Baseline Consumption'!AI95*parameters!$B$79</f>
        <v>3.8648293590000402</v>
      </c>
      <c r="AJ79" s="300">
        <f>'Baseline Consumption'!AJ95*parameters!$B$79</f>
        <v>3.9025334088008421</v>
      </c>
      <c r="AK79" s="300">
        <f>'Baseline Consumption'!AK95*parameters!$B$79</f>
        <v>3.9402374586016471</v>
      </c>
      <c r="AL79" s="300">
        <f>'Baseline Consumption'!AL95*parameters!$B$79</f>
        <v>3.9779415084024494</v>
      </c>
      <c r="AM79" s="300">
        <f>'Baseline Consumption'!AM95*parameters!$B$79</f>
        <v>4.0156455582032553</v>
      </c>
      <c r="AN79" s="300">
        <f>'Baseline Consumption'!AN95*parameters!$B$79</f>
        <v>4.0533496080040612</v>
      </c>
      <c r="AO79" s="300">
        <f>'Baseline Consumption'!AO95*parameters!$B$79</f>
        <v>4.0910536578048635</v>
      </c>
      <c r="AP79" s="300">
        <f>'Baseline Consumption'!AP95*parameters!$B$79</f>
        <v>4.1287577076056747</v>
      </c>
      <c r="AQ79" s="300">
        <f>'Baseline Consumption'!AQ95*parameters!$B$79</f>
        <v>4.1664617574064824</v>
      </c>
      <c r="AR79" s="300">
        <f>'Baseline Consumption'!AR95*parameters!$B$79</f>
        <v>4.2041658072072829</v>
      </c>
      <c r="AS79" s="300">
        <f>'Baseline Consumption'!AS95*parameters!$B$79</f>
        <v>4.2418698570080888</v>
      </c>
      <c r="AT79" s="300">
        <f>'Baseline Consumption'!AT95*parameters!$B$79</f>
        <v>4.2795739068088965</v>
      </c>
      <c r="AU79" s="300">
        <f>'Baseline Consumption'!AU95*parameters!$B$79</f>
        <v>4.317277956609697</v>
      </c>
      <c r="AV79" s="442">
        <f t="shared" ref="AV79:AV83" si="19">(AU79-Q79)/Q79</f>
        <v>-0.56874806704311265</v>
      </c>
    </row>
    <row r="80" spans="1:56">
      <c r="A80" s="51" t="s">
        <v>393</v>
      </c>
      <c r="B80" s="300">
        <f>'Baseline Consumption'!B96*parameters!$B$76</f>
        <v>2.4003919403826464</v>
      </c>
      <c r="C80" s="300">
        <f>'Baseline Consumption'!C96*parameters!$B$76</f>
        <v>1.9892315937641205</v>
      </c>
      <c r="D80" s="300">
        <f>'Baseline Consumption'!D96*parameters!$B$76</f>
        <v>2.7269493511416703</v>
      </c>
      <c r="E80" s="300">
        <f>'Baseline Consumption'!E96*parameters!$B$76</f>
        <v>3.1840359916241954</v>
      </c>
      <c r="F80" s="300">
        <f>'Baseline Consumption'!F96*parameters!$B$76</f>
        <v>4.3819487001562187</v>
      </c>
      <c r="G80" s="300">
        <f>'Baseline Consumption'!G96*parameters!$B$76</f>
        <v>4.6409415026145844</v>
      </c>
      <c r="H80" s="300">
        <f>'Baseline Consumption'!H96*parameters!$B$76</f>
        <v>2.5276241060032074</v>
      </c>
      <c r="I80" s="300">
        <f>'Baseline Consumption'!I96*parameters!$B$76</f>
        <v>3.0088758002365692</v>
      </c>
      <c r="J80" s="300">
        <f>'Baseline Consumption'!J96*parameters!$B$76</f>
        <v>4.6239988775193561</v>
      </c>
      <c r="K80" s="300">
        <f>'Baseline Consumption'!K96*parameters!$B$76</f>
        <v>3.6269823422590455</v>
      </c>
      <c r="L80" s="300">
        <f>'Baseline Consumption'!L96*parameters!$B$76</f>
        <v>4.4300615716174949</v>
      </c>
      <c r="M80" s="300">
        <f>'Baseline Consumption'!M96*parameters!$B$76</f>
        <v>3.7925804384883688</v>
      </c>
      <c r="N80" s="300">
        <f>'Baseline Consumption'!N96*parameters!$B$76</f>
        <v>3.1373885131063517</v>
      </c>
      <c r="O80" s="300">
        <f>'Baseline Consumption'!O96*parameters!$B$76</f>
        <v>2.8955935262445478</v>
      </c>
      <c r="P80" s="300">
        <f>'Baseline Consumption'!P96*parameters!$B$76</f>
        <v>2.6277073794405177</v>
      </c>
      <c r="Q80" s="300">
        <f>'Baseline Consumption'!Q96*parameters!$B$76</f>
        <v>2.3745204509030824</v>
      </c>
      <c r="R80" s="300">
        <f>'Baseline Consumption'!R96*parameters!$B$76</f>
        <v>2.7168209214548553</v>
      </c>
      <c r="S80" s="300">
        <f>'Baseline Consumption'!S96*parameters!$B$76</f>
        <v>2.6809326902268737</v>
      </c>
      <c r="T80" s="300">
        <f>'Baseline Consumption'!T96*parameters!$B$76</f>
        <v>3.1546249177075665</v>
      </c>
      <c r="U80" s="300">
        <f>'Baseline Consumption'!U96*parameters!$B$76</f>
        <v>3.3367784852800266</v>
      </c>
      <c r="V80" s="300">
        <f>'Baseline Consumption'!V96*parameters!$B$76</f>
        <v>3.2961978223601385</v>
      </c>
      <c r="W80" s="300">
        <f>'Baseline Consumption'!W96*parameters!$B$76</f>
        <v>3.5937595924423729</v>
      </c>
      <c r="X80" s="300">
        <f>'Baseline Consumption'!X96*parameters!$B$76</f>
        <v>3.5572639728745377</v>
      </c>
      <c r="Y80" s="300">
        <f>'Baseline Consumption'!Y96*parameters!$B$76</f>
        <v>3.6201586596225979</v>
      </c>
      <c r="Z80" s="300">
        <f>'Baseline Consumption'!Z96*parameters!$B$76</f>
        <v>3.7892394620504479</v>
      </c>
      <c r="AA80" s="300">
        <f>'Baseline Consumption'!AA96*parameters!$B$76</f>
        <v>3.8190235686924843</v>
      </c>
      <c r="AB80" s="300">
        <f>'Baseline Consumption'!AB96*parameters!$B$76</f>
        <v>3.8444682140749022</v>
      </c>
      <c r="AC80" s="300">
        <f>'Baseline Consumption'!AC96*parameters!$B$76</f>
        <v>3.8844784573095201</v>
      </c>
      <c r="AD80" s="300">
        <f>'Baseline Consumption'!AD96*parameters!$B$76</f>
        <v>3.9265380630472508</v>
      </c>
      <c r="AE80" s="300">
        <f>'Baseline Consumption'!AE96*parameters!$B$76</f>
        <v>3.9705753829971258</v>
      </c>
      <c r="AF80" s="300">
        <f>'Baseline Consumption'!AF96*parameters!$B$76</f>
        <v>4.0171262009745394</v>
      </c>
      <c r="AG80" s="300">
        <f>'Baseline Consumption'!AG96*parameters!$B$76</f>
        <v>4.0514577419074334</v>
      </c>
      <c r="AH80" s="300">
        <f>'Baseline Consumption'!AH96*parameters!$B$76</f>
        <v>4.0917690068764259</v>
      </c>
      <c r="AI80" s="300">
        <f>'Baseline Consumption'!AI96*parameters!$B$76</f>
        <v>4.1320802718454237</v>
      </c>
      <c r="AJ80" s="300">
        <f>'Baseline Consumption'!AJ96*parameters!$B$76</f>
        <v>4.1723915368144091</v>
      </c>
      <c r="AK80" s="300">
        <f>'Baseline Consumption'!AK96*parameters!$B$76</f>
        <v>4.2127028017834007</v>
      </c>
      <c r="AL80" s="300">
        <f>'Baseline Consumption'!AL96*parameters!$B$76</f>
        <v>4.2530140667523879</v>
      </c>
      <c r="AM80" s="300">
        <f>'Baseline Consumption'!AM96*parameters!$B$76</f>
        <v>4.2933253317213795</v>
      </c>
      <c r="AN80" s="300">
        <f>'Baseline Consumption'!AN96*parameters!$B$76</f>
        <v>4.3336365966903703</v>
      </c>
      <c r="AO80" s="300">
        <f>'Baseline Consumption'!AO96*parameters!$B$76</f>
        <v>4.3739478616593575</v>
      </c>
      <c r="AP80" s="300">
        <f>'Baseline Consumption'!AP96*parameters!$B$76</f>
        <v>4.4142591266283544</v>
      </c>
      <c r="AQ80" s="300">
        <f>'Baseline Consumption'!AQ96*parameters!$B$76</f>
        <v>4.454570391597346</v>
      </c>
      <c r="AR80" s="300">
        <f>'Baseline Consumption'!AR96*parameters!$B$76</f>
        <v>4.4948816565663341</v>
      </c>
      <c r="AS80" s="300">
        <f>'Baseline Consumption'!AS96*parameters!$B$76</f>
        <v>4.5351929215353248</v>
      </c>
      <c r="AT80" s="300">
        <f>'Baseline Consumption'!AT96*parameters!$B$76</f>
        <v>4.5755041865043182</v>
      </c>
      <c r="AU80" s="300">
        <f>'Baseline Consumption'!AU96*parameters!$B$76</f>
        <v>4.6158154514733036</v>
      </c>
      <c r="AV80" s="442">
        <f t="shared" si="19"/>
        <v>0.94389374482658484</v>
      </c>
    </row>
    <row r="81" spans="1:57">
      <c r="A81" s="51" t="s">
        <v>394</v>
      </c>
      <c r="B81" s="300">
        <f>'Baseline Consumption'!B97*parameters!$B$76</f>
        <v>1.1992595627805016</v>
      </c>
      <c r="C81" s="300">
        <f>'Baseline Consumption'!C97*parameters!$B$76</f>
        <v>1.2085874055284016</v>
      </c>
      <c r="D81" s="300">
        <f>'Baseline Consumption'!D97*parameters!$B$76</f>
        <v>0.93342429795446269</v>
      </c>
      <c r="E81" s="300">
        <f>'Baseline Consumption'!E97*parameters!$B$76</f>
        <v>0.70498413102318713</v>
      </c>
      <c r="F81" s="300">
        <f>'Baseline Consumption'!F97*parameters!$B$76</f>
        <v>0.81995891357270179</v>
      </c>
      <c r="G81" s="300">
        <f>'Baseline Consumption'!G97*parameters!$B$76</f>
        <v>0.76714878881218129</v>
      </c>
      <c r="H81" s="300">
        <f>'Baseline Consumption'!H97*parameters!$B$76</f>
        <v>0.58654888163653707</v>
      </c>
      <c r="I81" s="300">
        <f>'Baseline Consumption'!I97*parameters!$B$76</f>
        <v>0.21128459002353842</v>
      </c>
      <c r="J81" s="300">
        <f>'Baseline Consumption'!J97*parameters!$B$76</f>
        <v>0.48284929912796481</v>
      </c>
      <c r="K81" s="300">
        <f>'Baseline Consumption'!K97*parameters!$B$76</f>
        <v>0.3995095109439854</v>
      </c>
      <c r="L81" s="300">
        <f>'Baseline Consumption'!L97*parameters!$B$76</f>
        <v>0</v>
      </c>
      <c r="M81" s="300">
        <f>'Baseline Consumption'!M97*parameters!$B$76</f>
        <v>0</v>
      </c>
      <c r="N81" s="300">
        <f>'Baseline Consumption'!N97*parameters!$B$76</f>
        <v>0</v>
      </c>
      <c r="O81" s="300">
        <f>'Baseline Consumption'!O97*parameters!$B$76</f>
        <v>0.34639050070991534</v>
      </c>
      <c r="P81" s="300">
        <f>'Baseline Consumption'!P97*parameters!$B$76</f>
        <v>0.34103781700358021</v>
      </c>
      <c r="Q81" s="300">
        <f>'Baseline Consumption'!Q97*parameters!$B$76</f>
        <v>0.33677646528762445</v>
      </c>
      <c r="R81" s="300">
        <f>'Baseline Consumption'!R97*parameters!$B$76</f>
        <v>0.33251282616535871</v>
      </c>
      <c r="S81" s="300">
        <f>'Baseline Consumption'!S97*parameters!$B$76</f>
        <v>0.32812045083526087</v>
      </c>
      <c r="T81" s="300">
        <f>'Baseline Consumption'!T97*parameters!$B$76</f>
        <v>0.32418113786818969</v>
      </c>
      <c r="U81" s="300">
        <f>'Baseline Consumption'!U97*parameters!$B$76</f>
        <v>0.32011069218927152</v>
      </c>
      <c r="V81" s="300">
        <f>'Baseline Consumption'!V97*parameters!$B$76</f>
        <v>0.31621762462302733</v>
      </c>
      <c r="W81" s="300">
        <f>'Baseline Consumption'!W97*parameters!$B$76</f>
        <v>0.31259178574917074</v>
      </c>
      <c r="X81" s="300">
        <f>'Baseline Consumption'!X97*parameters!$B$76</f>
        <v>0.30941732997402005</v>
      </c>
      <c r="Y81" s="300">
        <f>'Baseline Consumption'!Y97*parameters!$B$76</f>
        <v>0.31488802492146617</v>
      </c>
      <c r="Z81" s="300">
        <f>'Baseline Consumption'!Z97*parameters!$B$76</f>
        <v>0.31151401661423822</v>
      </c>
      <c r="AA81" s="300">
        <f>'Baseline Consumption'!AA97*parameters!$B$76</f>
        <v>0.31396257305524677</v>
      </c>
      <c r="AB81" s="300">
        <f>'Baseline Consumption'!AB97*parameters!$B$76</f>
        <v>0.3160543816526673</v>
      </c>
      <c r="AC81" s="300">
        <f>'Baseline Consumption'!AC97*parameters!$B$76</f>
        <v>0.31934363051132453</v>
      </c>
      <c r="AD81" s="300">
        <f>'Baseline Consumption'!AD97*parameters!$B$76</f>
        <v>0.32280135780773617</v>
      </c>
      <c r="AE81" s="300">
        <f>'Baseline Consumption'!AE97*parameters!$B$76</f>
        <v>0.32642167332379185</v>
      </c>
      <c r="AF81" s="300">
        <f>'Baseline Consumption'!AF97*parameters!$B$76</f>
        <v>0.3302486239375107</v>
      </c>
      <c r="AG81" s="300">
        <f>'Baseline Consumption'!AG97*parameters!$B$76</f>
        <v>0.33307102572015634</v>
      </c>
      <c r="AH81" s="300">
        <f>'Baseline Consumption'!AH97*parameters!$B$76</f>
        <v>0.33638502162647377</v>
      </c>
      <c r="AI81" s="300">
        <f>'Baseline Consumption'!AI97*parameters!$B$76</f>
        <v>0.33969901753279164</v>
      </c>
      <c r="AJ81" s="300">
        <f>'Baseline Consumption'!AJ97*parameters!$B$76</f>
        <v>0.34301301343910862</v>
      </c>
      <c r="AK81" s="300">
        <f>'Baseline Consumption'!AK97*parameters!$B$76</f>
        <v>0.34632700934542587</v>
      </c>
      <c r="AL81" s="300">
        <f>'Baseline Consumption'!AL97*parameters!$B$76</f>
        <v>0.34964100525174291</v>
      </c>
      <c r="AM81" s="300">
        <f>'Baseline Consumption'!AM97*parameters!$B$76</f>
        <v>0.35295500115806022</v>
      </c>
      <c r="AN81" s="300">
        <f>'Baseline Consumption'!AN97*parameters!$B$76</f>
        <v>0.3562689970643777</v>
      </c>
      <c r="AO81" s="300">
        <f>'Baseline Consumption'!AO97*parameters!$B$76</f>
        <v>0.35958299297069463</v>
      </c>
      <c r="AP81" s="300">
        <f>'Baseline Consumption'!AP97*parameters!$B$76</f>
        <v>0.36289698887701249</v>
      </c>
      <c r="AQ81" s="300">
        <f>'Baseline Consumption'!AQ97*parameters!$B$76</f>
        <v>0.36621098478332986</v>
      </c>
      <c r="AR81" s="300">
        <f>'Baseline Consumption'!AR97*parameters!$B$76</f>
        <v>0.36952498068964684</v>
      </c>
      <c r="AS81" s="300">
        <f>'Baseline Consumption'!AS97*parameters!$B$76</f>
        <v>0.37283897659596416</v>
      </c>
      <c r="AT81" s="300">
        <f>'Baseline Consumption'!AT97*parameters!$B$76</f>
        <v>0.37615297250228164</v>
      </c>
      <c r="AU81" s="300">
        <f>'Baseline Consumption'!AU97*parameters!$B$76</f>
        <v>0.37946696840859856</v>
      </c>
      <c r="AV81" s="442">
        <f t="shared" si="19"/>
        <v>0.1267621331096109</v>
      </c>
    </row>
    <row r="82" spans="1:57">
      <c r="A82" s="51" t="s">
        <v>395</v>
      </c>
      <c r="B82" s="300">
        <f>'Baseline Consumption'!B98*parameters!$B$80</f>
        <v>3.4174469815891999E-2</v>
      </c>
      <c r="C82" s="300">
        <f>'Baseline Consumption'!C98*parameters!$B$80</f>
        <v>4.7827983501196228E-2</v>
      </c>
      <c r="D82" s="300">
        <f>'Baseline Consumption'!D98*parameters!$B$80</f>
        <v>5.3078500672189867E-2</v>
      </c>
      <c r="E82" s="300">
        <f>'Baseline Consumption'!E98*parameters!$B$80</f>
        <v>5.5132448254917935E-2</v>
      </c>
      <c r="F82" s="300">
        <f>'Baseline Consumption'!F98*parameters!$B$80</f>
        <v>7.6477658564924819E-2</v>
      </c>
      <c r="G82" s="300">
        <f>'Baseline Consumption'!G98*parameters!$B$80</f>
        <v>6.6695002536097975E-2</v>
      </c>
      <c r="H82" s="300">
        <f>'Baseline Consumption'!H98*parameters!$B$80</f>
        <v>5.5818834705058246E-2</v>
      </c>
      <c r="I82" s="300">
        <f>'Baseline Consumption'!I98*parameters!$B$80</f>
        <v>5.5311133629458289E-2</v>
      </c>
      <c r="J82" s="300">
        <f>'Baseline Consumption'!J98*parameters!$B$80</f>
        <v>5.1464612199962213E-2</v>
      </c>
      <c r="K82" s="300">
        <f>'Baseline Consumption'!K98*parameters!$B$80</f>
        <v>4.7397520883603626E-2</v>
      </c>
      <c r="L82" s="300">
        <f>'Baseline Consumption'!L98*parameters!$B$80</f>
        <v>3.755614270209448E-2</v>
      </c>
      <c r="M82" s="300">
        <f>'Baseline Consumption'!M98*parameters!$B$80</f>
        <v>4.9725415685935033E-2</v>
      </c>
      <c r="N82" s="300">
        <f>'Baseline Consumption'!N98*parameters!$B$80</f>
        <v>7.8650799322599219E-2</v>
      </c>
      <c r="O82" s="300">
        <f>'Baseline Consumption'!O98*parameters!$B$80</f>
        <v>5.2106575332628136E-2</v>
      </c>
      <c r="P82" s="300">
        <f>'Baseline Consumption'!P98*parameters!$B$80</f>
        <v>5.1728685660216253E-2</v>
      </c>
      <c r="Q82" s="300">
        <f>'Baseline Consumption'!Q98*parameters!$B$80</f>
        <v>5.1282956942277504E-2</v>
      </c>
      <c r="R82" s="300">
        <f>'Baseline Consumption'!R98*parameters!$B$80</f>
        <v>5.1013087968994668E-2</v>
      </c>
      <c r="S82" s="300">
        <f>'Baseline Consumption'!S98*parameters!$B$80</f>
        <v>5.0512197401051381E-2</v>
      </c>
      <c r="T82" s="300">
        <f>'Baseline Consumption'!T98*parameters!$B$80</f>
        <v>5.0131364198131696E-2</v>
      </c>
      <c r="U82" s="300">
        <f>'Baseline Consumption'!U98*parameters!$B$80</f>
        <v>4.9830642312643766E-2</v>
      </c>
      <c r="V82" s="300">
        <f>'Baseline Consumption'!V98*parameters!$B$80</f>
        <v>4.9454776195721036E-2</v>
      </c>
      <c r="W82" s="300">
        <f>'Baseline Consumption'!W98*parameters!$B$80</f>
        <v>4.9148860952420999E-2</v>
      </c>
      <c r="X82" s="300">
        <f>'Baseline Consumption'!X98*parameters!$B$80</f>
        <v>4.8886007314653826E-2</v>
      </c>
      <c r="Y82" s="300">
        <f>'Baseline Consumption'!Y98*parameters!$B$80</f>
        <v>4.8598456690963916E-2</v>
      </c>
      <c r="Z82" s="300">
        <f>'Baseline Consumption'!Z98*parameters!$B$80</f>
        <v>4.8745020533232535E-2</v>
      </c>
      <c r="AA82" s="300">
        <f>'Baseline Consumption'!AA98*parameters!$B$80</f>
        <v>4.9128165199694013E-2</v>
      </c>
      <c r="AB82" s="300">
        <f>'Baseline Consumption'!AB98*parameters!$B$80</f>
        <v>4.9455486756974448E-2</v>
      </c>
      <c r="AC82" s="300">
        <f>'Baseline Consumption'!AC98*parameters!$B$80</f>
        <v>4.997018110330529E-2</v>
      </c>
      <c r="AD82" s="300">
        <f>'Baseline Consumption'!AD98*parameters!$B$80</f>
        <v>5.0511238580891037E-2</v>
      </c>
      <c r="AE82" s="300">
        <f>'Baseline Consumption'!AE98*parameters!$B$80</f>
        <v>5.1077737501501234E-2</v>
      </c>
      <c r="AF82" s="300">
        <f>'Baseline Consumption'!AF98*parameters!$B$80</f>
        <v>5.1676570222650993E-2</v>
      </c>
      <c r="AG82" s="300">
        <f>'Baseline Consumption'!AG98*parameters!$B$80</f>
        <v>5.211821337676454E-2</v>
      </c>
      <c r="AH82" s="300">
        <f>'Baseline Consumption'!AH98*parameters!$B$80</f>
        <v>5.2636780086077452E-2</v>
      </c>
      <c r="AI82" s="300">
        <f>'Baseline Consumption'!AI98*parameters!$B$80</f>
        <v>5.3155346795390419E-2</v>
      </c>
      <c r="AJ82" s="300">
        <f>'Baseline Consumption'!AJ98*parameters!$B$80</f>
        <v>5.3673913504703248E-2</v>
      </c>
      <c r="AK82" s="300">
        <f>'Baseline Consumption'!AK98*parameters!$B$80</f>
        <v>5.4192480214016139E-2</v>
      </c>
      <c r="AL82" s="300">
        <f>'Baseline Consumption'!AL98*parameters!$B$80</f>
        <v>5.4711046923328982E-2</v>
      </c>
      <c r="AM82" s="300">
        <f>'Baseline Consumption'!AM98*parameters!$B$80</f>
        <v>5.522961363264188E-2</v>
      </c>
      <c r="AN82" s="300">
        <f>'Baseline Consumption'!AN98*parameters!$B$80</f>
        <v>5.5748180341954771E-2</v>
      </c>
      <c r="AO82" s="300">
        <f>'Baseline Consumption'!AO98*parameters!$B$80</f>
        <v>5.6266747051267621E-2</v>
      </c>
      <c r="AP82" s="300">
        <f>'Baseline Consumption'!AP98*parameters!$B$80</f>
        <v>5.6785313760580589E-2</v>
      </c>
      <c r="AQ82" s="300">
        <f>'Baseline Consumption'!AQ98*parameters!$B$80</f>
        <v>5.730388046989348E-2</v>
      </c>
      <c r="AR82" s="300">
        <f>'Baseline Consumption'!AR98*parameters!$B$80</f>
        <v>5.7822447179206315E-2</v>
      </c>
      <c r="AS82" s="300">
        <f>'Baseline Consumption'!AS98*parameters!$B$80</f>
        <v>5.8341013888519214E-2</v>
      </c>
      <c r="AT82" s="300">
        <f>'Baseline Consumption'!AT98*parameters!$B$80</f>
        <v>5.8859580597832126E-2</v>
      </c>
      <c r="AU82" s="300">
        <f>'Baseline Consumption'!AU98*parameters!$B$80</f>
        <v>5.9378147307144954E-2</v>
      </c>
      <c r="AV82" s="442">
        <f t="shared" si="19"/>
        <v>0.15785342436433891</v>
      </c>
    </row>
    <row r="83" spans="1:57" s="6" customFormat="1">
      <c r="A83" s="34" t="s">
        <v>40</v>
      </c>
      <c r="B83" s="300">
        <f t="shared" ref="B83:AU83" si="20">SUM(B79:B82)</f>
        <v>18.136250192596833</v>
      </c>
      <c r="C83" s="300">
        <f t="shared" si="20"/>
        <v>16.818493361220892</v>
      </c>
      <c r="D83" s="300">
        <f t="shared" si="20"/>
        <v>17.889158331941356</v>
      </c>
      <c r="E83" s="300">
        <f t="shared" si="20"/>
        <v>18.400809171405758</v>
      </c>
      <c r="F83" s="300">
        <f t="shared" si="20"/>
        <v>19.956626738367088</v>
      </c>
      <c r="G83" s="300">
        <f t="shared" si="20"/>
        <v>21.527627211969946</v>
      </c>
      <c r="H83" s="300">
        <f t="shared" si="20"/>
        <v>16.287919235176439</v>
      </c>
      <c r="I83" s="300">
        <f t="shared" si="20"/>
        <v>15.55410066248502</v>
      </c>
      <c r="J83" s="300">
        <f t="shared" si="20"/>
        <v>18.743488580998292</v>
      </c>
      <c r="K83" s="300">
        <f t="shared" si="20"/>
        <v>17.344876221185238</v>
      </c>
      <c r="L83" s="300">
        <f t="shared" si="20"/>
        <v>18.008716873023161</v>
      </c>
      <c r="M83" s="300">
        <f t="shared" si="20"/>
        <v>16.032471470520161</v>
      </c>
      <c r="N83" s="300">
        <f t="shared" si="20"/>
        <v>13.614425704440324</v>
      </c>
      <c r="O83" s="300">
        <f t="shared" si="20"/>
        <v>14.287117052161999</v>
      </c>
      <c r="P83" s="300">
        <f t="shared" si="20"/>
        <v>13.498884423997609</v>
      </c>
      <c r="Q83" s="304">
        <f>SUM(Q79:Q82)</f>
        <v>12.773614321160141</v>
      </c>
      <c r="R83" s="300">
        <f t="shared" si="20"/>
        <v>11.693163742244264</v>
      </c>
      <c r="S83" s="300">
        <f t="shared" si="20"/>
        <v>11.587642223701446</v>
      </c>
      <c r="T83" s="300">
        <f t="shared" si="20"/>
        <v>10.168434590432488</v>
      </c>
      <c r="U83" s="300">
        <f t="shared" si="20"/>
        <v>9.482042051711943</v>
      </c>
      <c r="V83" s="300">
        <f t="shared" si="20"/>
        <v>9.3958853990260458</v>
      </c>
      <c r="W83" s="300">
        <f t="shared" si="20"/>
        <v>8.3421435611624855</v>
      </c>
      <c r="X83" s="300">
        <f t="shared" si="20"/>
        <v>8.2801459394202279</v>
      </c>
      <c r="Y83" s="300">
        <f t="shared" si="20"/>
        <v>8.3267364780417932</v>
      </c>
      <c r="Z83" s="300">
        <f t="shared" si="20"/>
        <v>7.6936609930871311</v>
      </c>
      <c r="AA83" s="300">
        <f t="shared" si="20"/>
        <v>7.7541345582393806</v>
      </c>
      <c r="AB83" s="300">
        <f t="shared" si="20"/>
        <v>7.8057972936305378</v>
      </c>
      <c r="AC83" s="300">
        <f t="shared" si="20"/>
        <v>7.8870339773453058</v>
      </c>
      <c r="AD83" s="300">
        <f t="shared" si="20"/>
        <v>7.9724316808395841</v>
      </c>
      <c r="AE83" s="300">
        <f t="shared" si="20"/>
        <v>8.061844929627803</v>
      </c>
      <c r="AF83" s="300">
        <f t="shared" si="20"/>
        <v>8.1563615776401512</v>
      </c>
      <c r="AG83" s="300">
        <f t="shared" si="20"/>
        <v>8.2260682404027783</v>
      </c>
      <c r="AH83" s="300">
        <f t="shared" si="20"/>
        <v>8.3079161177882046</v>
      </c>
      <c r="AI83" s="300">
        <f t="shared" si="20"/>
        <v>8.3897639951736469</v>
      </c>
      <c r="AJ83" s="300">
        <f t="shared" si="20"/>
        <v>8.4716118725590626</v>
      </c>
      <c r="AK83" s="300">
        <f t="shared" si="20"/>
        <v>8.5534597499444907</v>
      </c>
      <c r="AL83" s="300">
        <f t="shared" si="20"/>
        <v>8.6353076273299081</v>
      </c>
      <c r="AM83" s="300">
        <f t="shared" si="20"/>
        <v>8.7171555047153362</v>
      </c>
      <c r="AN83" s="300">
        <f t="shared" si="20"/>
        <v>8.7990033821007625</v>
      </c>
      <c r="AO83" s="300">
        <f t="shared" si="20"/>
        <v>8.8808512594861817</v>
      </c>
      <c r="AP83" s="300">
        <f t="shared" si="20"/>
        <v>8.9626991368716222</v>
      </c>
      <c r="AQ83" s="300">
        <f t="shared" si="20"/>
        <v>9.0445470142570503</v>
      </c>
      <c r="AR83" s="300">
        <f t="shared" si="20"/>
        <v>9.1263948916424695</v>
      </c>
      <c r="AS83" s="300">
        <f t="shared" si="20"/>
        <v>9.2082427690278976</v>
      </c>
      <c r="AT83" s="300">
        <f t="shared" si="20"/>
        <v>9.2900906464133293</v>
      </c>
      <c r="AU83" s="300">
        <f t="shared" si="20"/>
        <v>9.3719385237987431</v>
      </c>
      <c r="AV83" s="442">
        <f t="shared" si="19"/>
        <v>-0.2663048775260381</v>
      </c>
    </row>
    <row r="84" spans="1:57">
      <c r="A84" s="178"/>
      <c r="B84" s="479"/>
      <c r="C84" s="479"/>
      <c r="D84" s="479"/>
      <c r="E84" s="479"/>
      <c r="F84" s="479"/>
      <c r="G84" s="479"/>
      <c r="H84" s="479"/>
      <c r="I84" s="479"/>
      <c r="J84" s="479"/>
      <c r="K84" s="479"/>
      <c r="L84" s="479"/>
      <c r="M84" s="479"/>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c r="AW84"/>
      <c r="AX84"/>
      <c r="AY84"/>
      <c r="AZ84"/>
      <c r="BA84"/>
      <c r="BB84"/>
      <c r="BC84"/>
      <c r="BD84"/>
      <c r="BE84"/>
    </row>
    <row r="85" spans="1:57" ht="13">
      <c r="A85" s="250" t="s">
        <v>1310</v>
      </c>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K85" s="380"/>
      <c r="AL85" s="380"/>
      <c r="AM85" s="380"/>
      <c r="AN85" s="380"/>
      <c r="AO85" s="380"/>
      <c r="AP85" s="380"/>
      <c r="AQ85" s="380"/>
      <c r="AR85" s="380"/>
      <c r="AS85" s="380"/>
      <c r="AT85" s="380"/>
      <c r="AU85" s="381"/>
      <c r="AV85"/>
      <c r="AW85"/>
      <c r="AX85"/>
      <c r="AY85"/>
      <c r="AZ85"/>
      <c r="BA85"/>
      <c r="BB85"/>
      <c r="BC85"/>
      <c r="BD85"/>
      <c r="BE85"/>
    </row>
    <row r="86" spans="1:57" s="396" customFormat="1" ht="12.9" customHeight="1">
      <c r="A86" s="253" t="s">
        <v>6</v>
      </c>
      <c r="B86" s="253">
        <v>2005</v>
      </c>
      <c r="C86" s="253">
        <v>2006</v>
      </c>
      <c r="D86" s="253">
        <v>2007</v>
      </c>
      <c r="E86" s="253">
        <v>2008</v>
      </c>
      <c r="F86" s="253">
        <v>2009</v>
      </c>
      <c r="G86" s="253">
        <v>2010</v>
      </c>
      <c r="H86" s="253">
        <v>2011</v>
      </c>
      <c r="I86" s="253">
        <v>2012</v>
      </c>
      <c r="J86" s="253">
        <v>2013</v>
      </c>
      <c r="K86" s="253">
        <v>2014</v>
      </c>
      <c r="L86" s="253">
        <v>2015</v>
      </c>
      <c r="M86" s="253">
        <v>2016</v>
      </c>
      <c r="N86" s="253">
        <v>2017</v>
      </c>
      <c r="O86" s="253">
        <v>2018</v>
      </c>
      <c r="P86" s="253">
        <v>2019</v>
      </c>
      <c r="Q86" s="253">
        <v>2020</v>
      </c>
      <c r="R86" s="253">
        <v>2021</v>
      </c>
      <c r="S86" s="253">
        <v>2022</v>
      </c>
      <c r="T86" s="253">
        <v>2023</v>
      </c>
      <c r="U86" s="253">
        <v>2024</v>
      </c>
      <c r="V86" s="253">
        <v>2025</v>
      </c>
      <c r="W86" s="253">
        <v>2026</v>
      </c>
      <c r="X86" s="253">
        <v>2027</v>
      </c>
      <c r="Y86" s="253">
        <v>2028</v>
      </c>
      <c r="Z86" s="253">
        <v>2029</v>
      </c>
      <c r="AA86" s="253">
        <v>2030</v>
      </c>
      <c r="AB86" s="253">
        <v>2031</v>
      </c>
      <c r="AC86" s="253">
        <v>2032</v>
      </c>
      <c r="AD86" s="253">
        <v>2033</v>
      </c>
      <c r="AE86" s="253">
        <v>2034</v>
      </c>
      <c r="AF86" s="253">
        <v>2035</v>
      </c>
      <c r="AG86" s="253">
        <v>2036</v>
      </c>
      <c r="AH86" s="253">
        <v>2037</v>
      </c>
      <c r="AI86" s="253">
        <v>2038</v>
      </c>
      <c r="AJ86" s="253">
        <v>2039</v>
      </c>
      <c r="AK86" s="253">
        <v>2040</v>
      </c>
      <c r="AL86" s="253">
        <v>2041</v>
      </c>
      <c r="AM86" s="253">
        <v>2042</v>
      </c>
      <c r="AN86" s="253">
        <v>2043</v>
      </c>
      <c r="AO86" s="253">
        <v>2044</v>
      </c>
      <c r="AP86" s="253">
        <v>2045</v>
      </c>
      <c r="AQ86" s="253">
        <v>2046</v>
      </c>
      <c r="AR86" s="253">
        <v>2047</v>
      </c>
      <c r="AS86" s="253">
        <v>2048</v>
      </c>
      <c r="AT86" s="253">
        <v>2049</v>
      </c>
      <c r="AU86" s="253">
        <v>2050</v>
      </c>
      <c r="AV86"/>
      <c r="AW86"/>
      <c r="AX86"/>
      <c r="AY86"/>
      <c r="AZ86"/>
      <c r="BA86"/>
      <c r="BB86"/>
      <c r="BC86"/>
      <c r="BD86"/>
      <c r="BE86"/>
    </row>
    <row r="87" spans="1:57">
      <c r="A87" s="369" t="s">
        <v>477</v>
      </c>
      <c r="B87" s="300">
        <f t="shared" ref="B87:AU87" si="21">B14+B27+B50+B75</f>
        <v>82.000462659342901</v>
      </c>
      <c r="C87" s="300">
        <f t="shared" si="21"/>
        <v>83.217524005918321</v>
      </c>
      <c r="D87" s="300">
        <f t="shared" si="21"/>
        <v>86.004802966843044</v>
      </c>
      <c r="E87" s="300">
        <f t="shared" si="21"/>
        <v>84.533515308722571</v>
      </c>
      <c r="F87" s="300">
        <f t="shared" si="21"/>
        <v>83.207671218404059</v>
      </c>
      <c r="G87" s="300">
        <f t="shared" si="21"/>
        <v>83.235984441898296</v>
      </c>
      <c r="H87" s="300">
        <f t="shared" si="21"/>
        <v>79.136465994307599</v>
      </c>
      <c r="I87" s="300">
        <f t="shared" si="21"/>
        <v>78.71599393126337</v>
      </c>
      <c r="J87" s="300">
        <f t="shared" si="21"/>
        <v>81.68106279417006</v>
      </c>
      <c r="K87" s="300">
        <f t="shared" si="21"/>
        <v>78.837312688567835</v>
      </c>
      <c r="L87" s="300">
        <f t="shared" si="21"/>
        <v>81.613465975445337</v>
      </c>
      <c r="M87" s="300">
        <f t="shared" si="21"/>
        <v>86.104582661238766</v>
      </c>
      <c r="N87" s="300">
        <f t="shared" si="21"/>
        <v>77.421320540613806</v>
      </c>
      <c r="O87" s="300">
        <f t="shared" si="21"/>
        <v>78.1881376308867</v>
      </c>
      <c r="P87" s="300">
        <f t="shared" si="21"/>
        <v>77.796792082331024</v>
      </c>
      <c r="Q87" s="300">
        <f t="shared" si="21"/>
        <v>75.415074634553662</v>
      </c>
      <c r="R87" s="300">
        <f t="shared" si="21"/>
        <v>74.660037479065082</v>
      </c>
      <c r="S87" s="300">
        <f t="shared" si="21"/>
        <v>75.04672396526054</v>
      </c>
      <c r="T87" s="300">
        <f t="shared" si="21"/>
        <v>73.464473844658812</v>
      </c>
      <c r="U87" s="300">
        <f t="shared" si="21"/>
        <v>73.232962037596209</v>
      </c>
      <c r="V87" s="300">
        <f t="shared" si="21"/>
        <v>73.12436419611177</v>
      </c>
      <c r="W87" s="300">
        <f t="shared" si="21"/>
        <v>71.897196789337514</v>
      </c>
      <c r="X87" s="300">
        <f t="shared" si="21"/>
        <v>71.384666883156513</v>
      </c>
      <c r="Y87" s="300">
        <f t="shared" si="21"/>
        <v>71.359851097396316</v>
      </c>
      <c r="Z87" s="300">
        <f t="shared" si="21"/>
        <v>70.179169119043507</v>
      </c>
      <c r="AA87" s="300">
        <f t="shared" si="21"/>
        <v>69.934719660947252</v>
      </c>
      <c r="AB87" s="300">
        <f t="shared" si="21"/>
        <v>69.76510006482367</v>
      </c>
      <c r="AC87" s="300">
        <f t="shared" si="21"/>
        <v>69.721858603579975</v>
      </c>
      <c r="AD87" s="300">
        <f t="shared" si="21"/>
        <v>69.74945049677315</v>
      </c>
      <c r="AE87" s="300">
        <f t="shared" si="21"/>
        <v>69.910635656163123</v>
      </c>
      <c r="AF87" s="300">
        <f t="shared" si="21"/>
        <v>69.8148338404757</v>
      </c>
      <c r="AG87" s="300">
        <f t="shared" si="21"/>
        <v>69.900301590926901</v>
      </c>
      <c r="AH87" s="300">
        <f t="shared" si="21"/>
        <v>70.041136914144104</v>
      </c>
      <c r="AI87" s="300">
        <f t="shared" si="21"/>
        <v>70.32654337742342</v>
      </c>
      <c r="AJ87" s="300">
        <f t="shared" si="21"/>
        <v>70.726049826593098</v>
      </c>
      <c r="AK87" s="300">
        <f t="shared" si="21"/>
        <v>71.002715373127842</v>
      </c>
      <c r="AL87" s="300">
        <f t="shared" si="21"/>
        <v>71.421023619835637</v>
      </c>
      <c r="AM87" s="300">
        <f t="shared" si="21"/>
        <v>71.722317705379922</v>
      </c>
      <c r="AN87" s="300">
        <f t="shared" si="21"/>
        <v>72.245623164549428</v>
      </c>
      <c r="AO87" s="300">
        <f t="shared" si="21"/>
        <v>72.547524668634665</v>
      </c>
      <c r="AP87" s="300">
        <f t="shared" si="21"/>
        <v>73.132819605606642</v>
      </c>
      <c r="AQ87" s="300">
        <f t="shared" si="21"/>
        <v>73.488415162152592</v>
      </c>
      <c r="AR87" s="300">
        <f t="shared" si="21"/>
        <v>73.929583201462165</v>
      </c>
      <c r="AS87" s="300">
        <f t="shared" si="21"/>
        <v>74.368631693845401</v>
      </c>
      <c r="AT87" s="300">
        <f t="shared" si="21"/>
        <v>74.755302808413376</v>
      </c>
      <c r="AU87" s="300">
        <f t="shared" si="21"/>
        <v>75.185065749681058</v>
      </c>
      <c r="AV87"/>
      <c r="AW87"/>
      <c r="AX87"/>
      <c r="AY87"/>
      <c r="AZ87"/>
      <c r="BA87"/>
      <c r="BB87"/>
      <c r="BC87"/>
      <c r="BD87"/>
      <c r="BE87"/>
    </row>
    <row r="88" spans="1:57">
      <c r="A88" s="178" t="s">
        <v>478</v>
      </c>
      <c r="B88" s="300">
        <f>IF(parameters!$B$31="Yes",B87+B60,B87)</f>
        <v>82.000462659342901</v>
      </c>
      <c r="C88" s="300">
        <f>IF(parameters!$B$31="Yes",C87+C60,C87)</f>
        <v>83.217524005918321</v>
      </c>
      <c r="D88" s="300">
        <f>IF(parameters!$B$31="Yes",D87+D60,D87)</f>
        <v>86.004802966843044</v>
      </c>
      <c r="E88" s="300">
        <f>IF(parameters!$B$31="Yes",E87+E60,E87)</f>
        <v>84.533515308722571</v>
      </c>
      <c r="F88" s="300">
        <f>IF(parameters!$B$31="Yes",F87+F60,F87)</f>
        <v>83.207671218404059</v>
      </c>
      <c r="G88" s="300">
        <f>IF(parameters!$B$31="Yes",G87+G60,G87)</f>
        <v>83.235984441898296</v>
      </c>
      <c r="H88" s="300">
        <f>IF(parameters!$B$31="Yes",H87+H60,H87)</f>
        <v>79.136465994307599</v>
      </c>
      <c r="I88" s="300">
        <f>IF(parameters!$B$31="Yes",I87+I60,I87)</f>
        <v>78.71599393126337</v>
      </c>
      <c r="J88" s="300">
        <f>IF(parameters!$B$31="Yes",J87+J60,J87)</f>
        <v>81.68106279417006</v>
      </c>
      <c r="K88" s="300">
        <f>IF(parameters!$B$31="Yes",K87+K60,K87)</f>
        <v>78.837312688567835</v>
      </c>
      <c r="L88" s="300">
        <f>IF(parameters!$B$31="Yes",L87+L60,L87)</f>
        <v>81.613465975445337</v>
      </c>
      <c r="M88" s="300">
        <f>IF(parameters!$B$31="Yes",M87+M60,M87)</f>
        <v>86.104582661238766</v>
      </c>
      <c r="N88" s="300">
        <f>IF(parameters!$B$31="Yes",N87+N60,N87)</f>
        <v>77.421320540613806</v>
      </c>
      <c r="O88" s="300">
        <f>IF(parameters!$B$31="Yes",O87+O60,O87)</f>
        <v>78.1881376308867</v>
      </c>
      <c r="P88" s="300">
        <f>IF(parameters!$B$31="Yes",P87+P60,P87)</f>
        <v>77.796792082331024</v>
      </c>
      <c r="Q88" s="300">
        <f>IF(parameters!$B$31="Yes",Q87+Q60,Q87)</f>
        <v>75.415074634553662</v>
      </c>
      <c r="R88" s="300">
        <f>IF(parameters!$B$31="Yes",R87+R60,R87)</f>
        <v>74.660037479065082</v>
      </c>
      <c r="S88" s="300">
        <f>IF(parameters!$B$31="Yes",S87+S60,S87)</f>
        <v>75.04672396526054</v>
      </c>
      <c r="T88" s="300">
        <f>IF(parameters!$B$31="Yes",T87+T60,T87)</f>
        <v>73.464473844658812</v>
      </c>
      <c r="U88" s="300">
        <f>IF(parameters!$B$31="Yes",U87+U60,U87)</f>
        <v>73.232962037596209</v>
      </c>
      <c r="V88" s="300">
        <f>IF(parameters!$B$31="Yes",V87+V60,V87)</f>
        <v>73.12436419611177</v>
      </c>
      <c r="W88" s="300">
        <f>IF(parameters!$B$31="Yes",W87+W60,W87)</f>
        <v>71.897196789337514</v>
      </c>
      <c r="X88" s="300">
        <f>IF(parameters!$B$31="Yes",X87+X60,X87)</f>
        <v>71.384666883156513</v>
      </c>
      <c r="Y88" s="300">
        <f>IF(parameters!$B$31="Yes",Y87+Y60,Y87)</f>
        <v>71.359851097396316</v>
      </c>
      <c r="Z88" s="300">
        <f>IF(parameters!$B$31="Yes",Z87+Z60,Z87)</f>
        <v>70.179169119043507</v>
      </c>
      <c r="AA88" s="300">
        <f>IF(parameters!$B$31="Yes",AA87+AA60,AA87)</f>
        <v>69.934719660947252</v>
      </c>
      <c r="AB88" s="300">
        <f>IF(parameters!$B$31="Yes",AB87+AB60,AB87)</f>
        <v>69.76510006482367</v>
      </c>
      <c r="AC88" s="300">
        <f>IF(parameters!$B$31="Yes",AC87+AC60,AC87)</f>
        <v>69.721858603579975</v>
      </c>
      <c r="AD88" s="300">
        <f>IF(parameters!$B$31="Yes",AD87+AD60,AD87)</f>
        <v>69.74945049677315</v>
      </c>
      <c r="AE88" s="300">
        <f>IF(parameters!$B$31="Yes",AE87+AE60,AE87)</f>
        <v>69.910635656163123</v>
      </c>
      <c r="AF88" s="300">
        <f>IF(parameters!$B$31="Yes",AF87+AF60,AF87)</f>
        <v>69.8148338404757</v>
      </c>
      <c r="AG88" s="300">
        <f>IF(parameters!$B$31="Yes",AG87+AG60,AG87)</f>
        <v>69.900301590926901</v>
      </c>
      <c r="AH88" s="300">
        <f>IF(parameters!$B$31="Yes",AH87+AH60,AH87)</f>
        <v>70.041136914144104</v>
      </c>
      <c r="AI88" s="300">
        <f>IF(parameters!$B$31="Yes",AI87+AI60,AI87)</f>
        <v>70.32654337742342</v>
      </c>
      <c r="AJ88" s="300">
        <f>IF(parameters!$B$31="Yes",AJ87+AJ60,AJ87)</f>
        <v>70.726049826593098</v>
      </c>
      <c r="AK88" s="300">
        <f>IF(parameters!$B$31="Yes",AK87+AK60,AK87)</f>
        <v>71.002715373127842</v>
      </c>
      <c r="AL88" s="300">
        <f>IF(parameters!$B$31="Yes",AL87+AL60,AL87)</f>
        <v>71.421023619835637</v>
      </c>
      <c r="AM88" s="300">
        <f>IF(parameters!$B$31="Yes",AM87+AM60,AM87)</f>
        <v>71.722317705379922</v>
      </c>
      <c r="AN88" s="300">
        <f>IF(parameters!$B$31="Yes",AN87+AN60,AN87)</f>
        <v>72.245623164549428</v>
      </c>
      <c r="AO88" s="300">
        <f>IF(parameters!$B$31="Yes",AO87+AO60,AO87)</f>
        <v>72.547524668634665</v>
      </c>
      <c r="AP88" s="300">
        <f>IF(parameters!$B$31="Yes",AP87+AP60,AP87)</f>
        <v>73.132819605606642</v>
      </c>
      <c r="AQ88" s="300">
        <f>IF(parameters!$B$31="Yes",AQ87+AQ60,AQ87)</f>
        <v>73.488415162152592</v>
      </c>
      <c r="AR88" s="300">
        <f>IF(parameters!$B$31="Yes",AR87+AR60,AR87)</f>
        <v>73.929583201462165</v>
      </c>
      <c r="AS88" s="300">
        <f>IF(parameters!$B$31="Yes",AS87+AS60,AS87)</f>
        <v>74.368631693845401</v>
      </c>
      <c r="AT88" s="300">
        <f>IF(parameters!$B$31="Yes",AT87+AT60,AT87)</f>
        <v>74.755302808413376</v>
      </c>
      <c r="AU88" s="300">
        <f>IF(parameters!$B$31="Yes",AU87+AU60,AU87)</f>
        <v>75.185065749681058</v>
      </c>
      <c r="AV88"/>
      <c r="AW88"/>
      <c r="AX88"/>
      <c r="AY88"/>
      <c r="AZ88"/>
      <c r="BA88"/>
      <c r="BB88"/>
      <c r="BC88"/>
      <c r="BD88"/>
      <c r="BE88"/>
    </row>
    <row r="89" spans="1:57">
      <c r="A89" s="63" t="s">
        <v>1224</v>
      </c>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300"/>
      <c r="AL89" s="300"/>
      <c r="AM89" s="300"/>
      <c r="AN89" s="300"/>
      <c r="AO89" s="300"/>
      <c r="AP89" s="300"/>
      <c r="AQ89" s="300"/>
      <c r="AR89" s="300"/>
      <c r="AS89" s="300"/>
      <c r="AT89" s="300"/>
      <c r="AU89" s="300"/>
    </row>
    <row r="90" spans="1:57" s="4" customFormat="1" ht="14.5">
      <c r="A90" s="46" t="s">
        <v>549</v>
      </c>
      <c r="B90" s="479"/>
      <c r="C90" s="479"/>
      <c r="D90" s="479"/>
      <c r="E90" s="479"/>
      <c r="F90" s="479"/>
      <c r="G90" s="479"/>
      <c r="H90" s="479"/>
      <c r="I90" s="479"/>
      <c r="J90" s="479"/>
      <c r="K90" s="479"/>
      <c r="L90" s="479"/>
      <c r="M90" s="480"/>
      <c r="N90" s="300"/>
      <c r="O90" s="300"/>
      <c r="P90" s="300"/>
      <c r="Q90" s="300">
        <f>IF(parameters!$B$31="Yes",parameters!B112,parameters!B111)</f>
        <v>73.400000000000006</v>
      </c>
      <c r="R90" s="300">
        <f>$Q$90</f>
        <v>73.400000000000006</v>
      </c>
      <c r="S90" s="300">
        <f t="shared" ref="S90:AU90" si="22">$Q$90</f>
        <v>73.400000000000006</v>
      </c>
      <c r="T90" s="300">
        <f t="shared" si="22"/>
        <v>73.400000000000006</v>
      </c>
      <c r="U90" s="300">
        <f t="shared" si="22"/>
        <v>73.400000000000006</v>
      </c>
      <c r="V90" s="300">
        <f t="shared" si="22"/>
        <v>73.400000000000006</v>
      </c>
      <c r="W90" s="300">
        <f t="shared" si="22"/>
        <v>73.400000000000006</v>
      </c>
      <c r="X90" s="300">
        <f t="shared" si="22"/>
        <v>73.400000000000006</v>
      </c>
      <c r="Y90" s="300">
        <f t="shared" si="22"/>
        <v>73.400000000000006</v>
      </c>
      <c r="Z90" s="300">
        <f t="shared" si="22"/>
        <v>73.400000000000006</v>
      </c>
      <c r="AA90" s="300">
        <f t="shared" si="22"/>
        <v>73.400000000000006</v>
      </c>
      <c r="AB90" s="300">
        <f t="shared" si="22"/>
        <v>73.400000000000006</v>
      </c>
      <c r="AC90" s="300">
        <f t="shared" si="22"/>
        <v>73.400000000000006</v>
      </c>
      <c r="AD90" s="300">
        <f t="shared" si="22"/>
        <v>73.400000000000006</v>
      </c>
      <c r="AE90" s="300">
        <f t="shared" si="22"/>
        <v>73.400000000000006</v>
      </c>
      <c r="AF90" s="300">
        <f t="shared" si="22"/>
        <v>73.400000000000006</v>
      </c>
      <c r="AG90" s="300">
        <f t="shared" si="22"/>
        <v>73.400000000000006</v>
      </c>
      <c r="AH90" s="300">
        <f t="shared" si="22"/>
        <v>73.400000000000006</v>
      </c>
      <c r="AI90" s="300">
        <f t="shared" si="22"/>
        <v>73.400000000000006</v>
      </c>
      <c r="AJ90" s="300">
        <f t="shared" si="22"/>
        <v>73.400000000000006</v>
      </c>
      <c r="AK90" s="300">
        <f t="shared" si="22"/>
        <v>73.400000000000006</v>
      </c>
      <c r="AL90" s="300">
        <f t="shared" si="22"/>
        <v>73.400000000000006</v>
      </c>
      <c r="AM90" s="300">
        <f t="shared" si="22"/>
        <v>73.400000000000006</v>
      </c>
      <c r="AN90" s="300">
        <f t="shared" si="22"/>
        <v>73.400000000000006</v>
      </c>
      <c r="AO90" s="300">
        <f t="shared" si="22"/>
        <v>73.400000000000006</v>
      </c>
      <c r="AP90" s="300">
        <f t="shared" si="22"/>
        <v>73.400000000000006</v>
      </c>
      <c r="AQ90" s="300">
        <f t="shared" si="22"/>
        <v>73.400000000000006</v>
      </c>
      <c r="AR90" s="300">
        <f t="shared" si="22"/>
        <v>73.400000000000006</v>
      </c>
      <c r="AS90" s="300">
        <f t="shared" si="22"/>
        <v>73.400000000000006</v>
      </c>
      <c r="AT90" s="300">
        <f t="shared" si="22"/>
        <v>73.400000000000006</v>
      </c>
      <c r="AU90" s="300">
        <f t="shared" si="22"/>
        <v>73.400000000000006</v>
      </c>
    </row>
    <row r="91" spans="1:57">
      <c r="A91" s="46" t="s">
        <v>550</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f>IF(parameters!$B$31="Yes",parameters!B116,parameters!B115)</f>
        <v>55.050000000000004</v>
      </c>
      <c r="AG91" s="300">
        <f>$AF$91</f>
        <v>55.050000000000004</v>
      </c>
      <c r="AH91" s="300">
        <f>$AF$91</f>
        <v>55.050000000000004</v>
      </c>
      <c r="AI91" s="300">
        <f>$AF$91</f>
        <v>55.050000000000004</v>
      </c>
      <c r="AJ91" s="300">
        <f>$AF$91</f>
        <v>55.050000000000004</v>
      </c>
      <c r="AK91" s="300">
        <f>$AF$91</f>
        <v>55.050000000000004</v>
      </c>
      <c r="AL91" s="300">
        <f t="shared" ref="AL91:AU91" si="23">$AF$91</f>
        <v>55.050000000000004</v>
      </c>
      <c r="AM91" s="300">
        <f t="shared" si="23"/>
        <v>55.050000000000004</v>
      </c>
      <c r="AN91" s="300">
        <f t="shared" si="23"/>
        <v>55.050000000000004</v>
      </c>
      <c r="AO91" s="300">
        <f t="shared" si="23"/>
        <v>55.050000000000004</v>
      </c>
      <c r="AP91" s="300">
        <f t="shared" si="23"/>
        <v>55.050000000000004</v>
      </c>
      <c r="AQ91" s="300">
        <f t="shared" si="23"/>
        <v>55.050000000000004</v>
      </c>
      <c r="AR91" s="300">
        <f t="shared" si="23"/>
        <v>55.050000000000004</v>
      </c>
      <c r="AS91" s="300">
        <f t="shared" si="23"/>
        <v>55.050000000000004</v>
      </c>
      <c r="AT91" s="300">
        <f t="shared" si="23"/>
        <v>55.050000000000004</v>
      </c>
      <c r="AU91" s="300">
        <f t="shared" si="23"/>
        <v>55.050000000000004</v>
      </c>
    </row>
    <row r="92" spans="1:57">
      <c r="A92" s="46" t="s">
        <v>1314</v>
      </c>
      <c r="B92" s="30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300"/>
      <c r="AG92" s="300"/>
      <c r="AH92" s="300"/>
      <c r="AI92" s="300"/>
      <c r="AJ92" s="300"/>
      <c r="AK92" s="300"/>
      <c r="AL92" s="300"/>
      <c r="AM92" s="300"/>
      <c r="AN92" s="300"/>
      <c r="AO92" s="300"/>
      <c r="AP92" s="300"/>
      <c r="AQ92" s="300"/>
      <c r="AR92" s="300"/>
      <c r="AS92" s="300"/>
      <c r="AT92" s="300"/>
      <c r="AU92" s="300">
        <f>IF(parameters!$B$31="Yes",parameters!B120,parameters!B119)</f>
        <v>36.700000000000003</v>
      </c>
    </row>
    <row r="93" spans="1:57">
      <c r="A93" s="46" t="s">
        <v>916</v>
      </c>
      <c r="B93" s="300"/>
      <c r="C93" s="230"/>
      <c r="D93" s="230"/>
      <c r="E93" s="230"/>
      <c r="F93" s="230"/>
      <c r="G93" s="230"/>
      <c r="H93" s="230"/>
      <c r="I93" s="230"/>
      <c r="J93" s="230"/>
      <c r="K93" s="230"/>
      <c r="L93" s="230"/>
      <c r="M93" s="230"/>
      <c r="N93" s="230"/>
      <c r="O93" s="230"/>
      <c r="P93" s="230"/>
      <c r="Q93" s="306">
        <f t="shared" ref="Q93:AE93" si="24">$Q$90+($AF$91-$Q$90)*(Q$7-$Q$7)/15</f>
        <v>73.400000000000006</v>
      </c>
      <c r="R93" s="306">
        <f t="shared" si="24"/>
        <v>72.176666666666677</v>
      </c>
      <c r="S93" s="306">
        <f t="shared" si="24"/>
        <v>70.953333333333333</v>
      </c>
      <c r="T93" s="306">
        <f t="shared" si="24"/>
        <v>69.73</v>
      </c>
      <c r="U93" s="306">
        <f t="shared" si="24"/>
        <v>68.506666666666675</v>
      </c>
      <c r="V93" s="306">
        <f t="shared" si="24"/>
        <v>67.283333333333346</v>
      </c>
      <c r="W93" s="306">
        <f t="shared" si="24"/>
        <v>66.06</v>
      </c>
      <c r="X93" s="306">
        <f t="shared" si="24"/>
        <v>64.836666666666673</v>
      </c>
      <c r="Y93" s="306">
        <f t="shared" si="24"/>
        <v>63.613333333333337</v>
      </c>
      <c r="Z93" s="306">
        <f t="shared" si="24"/>
        <v>62.390000000000008</v>
      </c>
      <c r="AA93" s="306">
        <f t="shared" si="24"/>
        <v>61.166666666666671</v>
      </c>
      <c r="AB93" s="306">
        <f t="shared" si="24"/>
        <v>59.943333333333335</v>
      </c>
      <c r="AC93" s="306">
        <f t="shared" si="24"/>
        <v>58.720000000000006</v>
      </c>
      <c r="AD93" s="306">
        <f t="shared" si="24"/>
        <v>57.49666666666667</v>
      </c>
      <c r="AE93" s="306">
        <f t="shared" si="24"/>
        <v>56.273333333333341</v>
      </c>
      <c r="AF93" s="306">
        <f>$AF$91+($AU$92-$AF$91)*(AF$7-$AF$7)/($AU$7-$AF$7)</f>
        <v>55.050000000000004</v>
      </c>
      <c r="AG93" s="306">
        <f>$AF$91+($AU$92-$AF$91)*(AG$7-$AF$7)/($AU$7-$AF$7)</f>
        <v>53.826666666666668</v>
      </c>
      <c r="AH93" s="306">
        <f t="shared" ref="AH93:AU93" si="25">$AF$91+($AU$92-$AF$91)*(AH$7-$AF$7)/($AU$7-$AF$7)</f>
        <v>52.603333333333339</v>
      </c>
      <c r="AI93" s="306">
        <f t="shared" si="25"/>
        <v>51.38</v>
      </c>
      <c r="AJ93" s="306">
        <f t="shared" si="25"/>
        <v>50.156666666666673</v>
      </c>
      <c r="AK93" s="306">
        <f t="shared" si="25"/>
        <v>48.933333333333337</v>
      </c>
      <c r="AL93" s="306">
        <f t="shared" si="25"/>
        <v>47.71</v>
      </c>
      <c r="AM93" s="306">
        <f t="shared" si="25"/>
        <v>46.486666666666672</v>
      </c>
      <c r="AN93" s="306">
        <f t="shared" si="25"/>
        <v>45.263333333333335</v>
      </c>
      <c r="AO93" s="306">
        <f t="shared" si="25"/>
        <v>44.040000000000006</v>
      </c>
      <c r="AP93" s="306">
        <f t="shared" si="25"/>
        <v>42.81666666666667</v>
      </c>
      <c r="AQ93" s="306">
        <f t="shared" si="25"/>
        <v>41.593333333333334</v>
      </c>
      <c r="AR93" s="306">
        <f t="shared" si="25"/>
        <v>40.370000000000005</v>
      </c>
      <c r="AS93" s="306">
        <f t="shared" si="25"/>
        <v>39.146666666666668</v>
      </c>
      <c r="AT93" s="306">
        <f t="shared" si="25"/>
        <v>37.923333333333332</v>
      </c>
      <c r="AU93" s="306">
        <f t="shared" si="25"/>
        <v>36.700000000000003</v>
      </c>
    </row>
    <row r="94" spans="1:57">
      <c r="A94" s="84" t="s">
        <v>917</v>
      </c>
      <c r="B94" s="30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300"/>
      <c r="AG94" s="300"/>
      <c r="AH94" s="300"/>
      <c r="AI94" s="300"/>
      <c r="AJ94" s="300"/>
      <c r="AK94" s="300"/>
      <c r="AL94" s="230"/>
      <c r="AM94" s="230"/>
      <c r="AN94" s="230"/>
      <c r="AO94" s="230"/>
      <c r="AP94" s="230"/>
      <c r="AQ94" s="230"/>
      <c r="AR94" s="230"/>
      <c r="AS94" s="230"/>
      <c r="AT94" s="230"/>
      <c r="AU94" s="230"/>
    </row>
    <row r="95" spans="1:57">
      <c r="A95" s="46" t="s">
        <v>551</v>
      </c>
      <c r="B95" s="300"/>
      <c r="C95" s="230"/>
      <c r="D95" s="230"/>
      <c r="E95" s="230"/>
      <c r="F95" s="230"/>
      <c r="G95" s="230"/>
      <c r="H95" s="230"/>
      <c r="I95" s="230"/>
      <c r="J95" s="230"/>
      <c r="K95" s="230"/>
      <c r="L95" s="230"/>
      <c r="M95" s="230"/>
      <c r="N95" s="230"/>
      <c r="O95" s="230"/>
      <c r="P95" s="230"/>
      <c r="Q95" s="230" t="s">
        <v>549</v>
      </c>
      <c r="R95" s="230"/>
      <c r="S95" s="230"/>
      <c r="T95" s="230"/>
      <c r="U95" s="230"/>
      <c r="V95" s="230"/>
      <c r="W95" s="230"/>
      <c r="X95" s="230"/>
      <c r="Y95" s="230"/>
      <c r="Z95" s="230"/>
      <c r="AA95" s="230"/>
      <c r="AB95" s="230"/>
      <c r="AC95" s="230"/>
      <c r="AD95" s="230"/>
      <c r="AE95" s="230"/>
      <c r="AF95" s="230" t="s">
        <v>550</v>
      </c>
      <c r="AG95" s="300"/>
      <c r="AH95" s="300"/>
      <c r="AI95" s="300"/>
      <c r="AJ95" s="300"/>
      <c r="AK95" s="300"/>
      <c r="AL95" s="230"/>
      <c r="AM95" s="230"/>
      <c r="AN95" s="230"/>
      <c r="AO95" s="230"/>
      <c r="AP95" s="230"/>
      <c r="AQ95" s="230"/>
      <c r="AR95" s="230"/>
      <c r="AS95" s="230"/>
      <c r="AT95" s="230"/>
      <c r="AU95" s="230" t="s">
        <v>1314</v>
      </c>
    </row>
    <row r="96" spans="1:57">
      <c r="A96" s="94" t="s">
        <v>553</v>
      </c>
      <c r="B96" s="230"/>
      <c r="C96" s="230"/>
      <c r="D96" s="230"/>
      <c r="E96" s="230"/>
      <c r="F96" s="230"/>
      <c r="G96" s="230" t="str">
        <f>dashboard!C24</f>
        <v>reference case: AEO 2019</v>
      </c>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c r="AN96" s="230"/>
      <c r="AO96" s="230"/>
      <c r="AP96" s="230"/>
      <c r="AQ96" s="230"/>
      <c r="AR96" s="230"/>
      <c r="AS96" s="230"/>
      <c r="AT96" s="230"/>
      <c r="AU96" s="230"/>
    </row>
    <row r="97" spans="1:47">
      <c r="A97" s="94" t="s">
        <v>552</v>
      </c>
      <c r="B97" s="230"/>
      <c r="C97" s="230"/>
      <c r="D97" s="230"/>
      <c r="E97" s="230"/>
      <c r="F97" s="230"/>
      <c r="G97" s="230"/>
      <c r="H97" s="230"/>
      <c r="I97" s="230"/>
      <c r="J97" s="230"/>
      <c r="K97" s="230"/>
      <c r="L97" s="230"/>
      <c r="M97" s="230"/>
      <c r="N97" s="230"/>
      <c r="O97" s="230"/>
      <c r="P97" s="230"/>
      <c r="Q97" s="230"/>
      <c r="R97" s="230"/>
      <c r="S97" s="230" t="s">
        <v>552</v>
      </c>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c r="AS97" s="230"/>
      <c r="AT97" s="230"/>
      <c r="AU97" s="230"/>
    </row>
    <row r="98" spans="1:47" customFormat="1"/>
    <row r="99" spans="1:47" customFormat="1"/>
    <row r="100" spans="1:47" customFormat="1"/>
    <row r="101" spans="1:47" customFormat="1"/>
    <row r="102" spans="1:47" customFormat="1"/>
    <row r="103" spans="1:47" customFormat="1"/>
    <row r="104" spans="1:47" customFormat="1"/>
    <row r="105" spans="1:47" customFormat="1"/>
    <row r="106" spans="1:47" customFormat="1"/>
    <row r="107" spans="1:47" customFormat="1"/>
    <row r="108" spans="1:47" customFormat="1"/>
    <row r="109" spans="1:47" customFormat="1"/>
  </sheetData>
  <phoneticPr fontId="7"/>
  <hyperlinks>
    <hyperlink ref="C1" location="Cover!B16" display="return to TOC"/>
  </hyperlinks>
  <pageMargins left="0.25" right="0.25" top="0.75" bottom="0.75" header="0.3" footer="0.3"/>
  <pageSetup scale="9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AF51"/>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RowHeight="12"/>
  <cols>
    <col min="1" max="1" width="28.88671875" customWidth="1"/>
  </cols>
  <sheetData>
    <row r="1" spans="1:32" s="280" customFormat="1" ht="26.15" customHeight="1">
      <c r="A1" s="281" t="s">
        <v>340</v>
      </c>
    </row>
    <row r="2" spans="1:32" s="280" customFormat="1" ht="12.9" customHeight="1">
      <c r="A2" s="43" t="s">
        <v>359</v>
      </c>
    </row>
    <row r="3" spans="1:32" s="280" customFormat="1" ht="12.9" customHeight="1">
      <c r="A3" s="43" t="s">
        <v>360</v>
      </c>
      <c r="B3" s="280" t="s">
        <v>422</v>
      </c>
    </row>
    <row r="4" spans="1:32" s="280" customFormat="1" ht="12.9" customHeight="1">
      <c r="A4" s="43" t="s">
        <v>357</v>
      </c>
      <c r="B4" s="280" t="s">
        <v>1472</v>
      </c>
    </row>
    <row r="5" spans="1:32" s="280" customFormat="1" ht="12.9" customHeight="1"/>
    <row r="6" spans="1:32" s="5" customFormat="1" ht="13">
      <c r="A6" s="250" t="s">
        <v>76</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1"/>
    </row>
    <row r="7" spans="1:32" s="280" customFormat="1" ht="12.9" customHeight="1">
      <c r="A7" s="253" t="s">
        <v>6</v>
      </c>
      <c r="B7" s="253">
        <v>2020</v>
      </c>
      <c r="C7" s="253">
        <v>2021</v>
      </c>
      <c r="D7" s="253">
        <v>2022</v>
      </c>
      <c r="E7" s="253">
        <v>2023</v>
      </c>
      <c r="F7" s="253">
        <v>2024</v>
      </c>
      <c r="G7" s="253">
        <v>2025</v>
      </c>
      <c r="H7" s="253">
        <v>2026</v>
      </c>
      <c r="I7" s="253">
        <v>2027</v>
      </c>
      <c r="J7" s="253">
        <v>2028</v>
      </c>
      <c r="K7" s="253">
        <v>2029</v>
      </c>
      <c r="L7" s="253">
        <v>2030</v>
      </c>
      <c r="M7" s="253">
        <v>2031</v>
      </c>
      <c r="N7" s="253">
        <v>2032</v>
      </c>
      <c r="O7" s="253">
        <v>2033</v>
      </c>
      <c r="P7" s="253">
        <v>2034</v>
      </c>
      <c r="Q7" s="253">
        <v>2035</v>
      </c>
      <c r="R7" s="253">
        <v>2036</v>
      </c>
      <c r="S7" s="253">
        <v>2037</v>
      </c>
      <c r="T7" s="253">
        <v>2038</v>
      </c>
      <c r="U7" s="253">
        <v>2039</v>
      </c>
      <c r="V7" s="253">
        <v>2040</v>
      </c>
      <c r="W7" s="253">
        <v>2041</v>
      </c>
      <c r="X7" s="253">
        <v>2042</v>
      </c>
      <c r="Y7" s="253">
        <v>2043</v>
      </c>
      <c r="Z7" s="253">
        <v>2044</v>
      </c>
      <c r="AA7" s="253">
        <v>2045</v>
      </c>
      <c r="AB7" s="253">
        <v>2046</v>
      </c>
      <c r="AC7" s="253">
        <v>2047</v>
      </c>
      <c r="AD7" s="253">
        <v>2048</v>
      </c>
      <c r="AE7" s="253">
        <v>2049</v>
      </c>
      <c r="AF7" s="253">
        <v>2050</v>
      </c>
    </row>
    <row r="8" spans="1:32">
      <c r="A8" s="40" t="str">
        <f>'Adjusted expend'!A8</f>
        <v xml:space="preserve">   Liquefied Petroleum Gases</v>
      </c>
      <c r="B8" s="304">
        <f>'Baseline Price'!Q8*'Baseline Consumption'!Q8</f>
        <v>0.17485411363234016</v>
      </c>
      <c r="C8" s="304">
        <f>'Baseline Price'!R8*'Baseline Consumption'!R8</f>
        <v>0.17841787287958877</v>
      </c>
      <c r="D8" s="304">
        <f>'Baseline Price'!S8*'Baseline Consumption'!S8</f>
        <v>0.18185314563148466</v>
      </c>
      <c r="E8" s="304">
        <f>'Baseline Price'!T8*'Baseline Consumption'!T8</f>
        <v>0.18412616653526778</v>
      </c>
      <c r="F8" s="304">
        <f>'Baseline Price'!U8*'Baseline Consumption'!U8</f>
        <v>0.18655421965597949</v>
      </c>
      <c r="G8" s="304">
        <f>'Baseline Price'!V8*'Baseline Consumption'!V8</f>
        <v>0.18914506585026516</v>
      </c>
      <c r="H8" s="304">
        <f>'Baseline Price'!W8*'Baseline Consumption'!W8</f>
        <v>0.19107117323086856</v>
      </c>
      <c r="I8" s="304">
        <f>'Baseline Price'!X8*'Baseline Consumption'!X8</f>
        <v>0.19227294610222101</v>
      </c>
      <c r="J8" s="304">
        <f>'Baseline Price'!Y8*'Baseline Consumption'!Y8</f>
        <v>0.19301560604445969</v>
      </c>
      <c r="K8" s="304">
        <f>'Baseline Price'!Z8*'Baseline Consumption'!Z8</f>
        <v>0.20412877064345919</v>
      </c>
      <c r="L8" s="304">
        <f>'Baseline Price'!AA8*'Baseline Consumption'!AA8</f>
        <v>0.20311906406538752</v>
      </c>
      <c r="M8" s="304">
        <f>'Baseline Price'!AB8*'Baseline Consumption'!AB8</f>
        <v>0.20387406353832313</v>
      </c>
      <c r="N8" s="304">
        <f>'Baseline Price'!AC8*'Baseline Consumption'!AC8</f>
        <v>0.20358964208574276</v>
      </c>
      <c r="O8" s="304">
        <f>'Baseline Price'!AD8*'Baseline Consumption'!AD8</f>
        <v>0.20369241209534544</v>
      </c>
      <c r="P8" s="304">
        <f>'Baseline Price'!AE8*'Baseline Consumption'!AE8</f>
        <v>0.20403897692404258</v>
      </c>
      <c r="Q8" s="304">
        <f>'Baseline Price'!AF8*'Baseline Consumption'!AF8</f>
        <v>0.20443190790093832</v>
      </c>
      <c r="R8" s="304">
        <f>'Baseline Price'!AG8*'Baseline Consumption'!AG8</f>
        <v>0.20502040002459576</v>
      </c>
      <c r="S8" s="304">
        <f>'Baseline Price'!AH8*'Baseline Consumption'!AH8</f>
        <v>0.20542101264555593</v>
      </c>
      <c r="T8" s="304">
        <f>'Baseline Price'!AI8*'Baseline Consumption'!AI8</f>
        <v>0.20573684765316583</v>
      </c>
      <c r="U8" s="304">
        <f>'Baseline Price'!AJ8*'Baseline Consumption'!AJ8</f>
        <v>0.206105588938754</v>
      </c>
      <c r="V8" s="304">
        <f>'Baseline Price'!AK8*'Baseline Consumption'!AK8</f>
        <v>0.20654009760771594</v>
      </c>
      <c r="W8" s="304">
        <f>'Baseline Price'!AL8*'Baseline Consumption'!AL8</f>
        <v>0.2068623565884235</v>
      </c>
      <c r="X8" s="304">
        <f>'Baseline Price'!AM8*'Baseline Consumption'!AM8</f>
        <v>0.20719741595617197</v>
      </c>
      <c r="Y8" s="304">
        <f>'Baseline Price'!AN8*'Baseline Consumption'!AN8</f>
        <v>0.20761986756583473</v>
      </c>
      <c r="Z8" s="304">
        <f>'Baseline Price'!AO8*'Baseline Consumption'!AO8</f>
        <v>0.20803770574204883</v>
      </c>
      <c r="AA8" s="304">
        <f>'Baseline Price'!AP8*'Baseline Consumption'!AP8</f>
        <v>0.20844788720272245</v>
      </c>
      <c r="AB8" s="304">
        <f>'Baseline Price'!AQ8*'Baseline Consumption'!AQ8</f>
        <v>0.20878077601214687</v>
      </c>
      <c r="AC8" s="304">
        <f>'Baseline Price'!AR8*'Baseline Consumption'!AR8</f>
        <v>0.20908094035043193</v>
      </c>
      <c r="AD8" s="304">
        <f>'Baseline Price'!AS8*'Baseline Consumption'!AS8</f>
        <v>0.20934969379751658</v>
      </c>
      <c r="AE8" s="304">
        <f>'Baseline Price'!AT8*'Baseline Consumption'!AT8</f>
        <v>0.20948213448355799</v>
      </c>
      <c r="AF8" s="304">
        <f>'Baseline Price'!AU8*'Baseline Consumption'!AU8</f>
        <v>0.20940319836266447</v>
      </c>
    </row>
    <row r="9" spans="1:32">
      <c r="A9" s="40" t="str">
        <f>'Adjusted expend'!A9</f>
        <v xml:space="preserve">   Distillate Fuel Oil</v>
      </c>
      <c r="B9" s="304">
        <f>'Baseline Price'!Q9*'Baseline Consumption'!Q10</f>
        <v>5.8339255185656629E-2</v>
      </c>
      <c r="C9" s="304">
        <f>'Baseline Price'!R9*'Baseline Consumption'!R10</f>
        <v>5.7445434181869107E-2</v>
      </c>
      <c r="D9" s="304">
        <f>'Baseline Price'!S9*'Baseline Consumption'!S10</f>
        <v>5.6014723360487691E-2</v>
      </c>
      <c r="E9" s="304">
        <f>'Baseline Price'!T9*'Baseline Consumption'!T10</f>
        <v>5.5771234099990873E-2</v>
      </c>
      <c r="F9" s="304">
        <f>'Baseline Price'!U9*'Baseline Consumption'!U10</f>
        <v>5.6082508878275331E-2</v>
      </c>
      <c r="G9" s="304">
        <f>'Baseline Price'!V9*'Baseline Consumption'!V10</f>
        <v>5.5320491821169299E-2</v>
      </c>
      <c r="H9" s="304">
        <f>'Baseline Price'!W9*'Baseline Consumption'!W10</f>
        <v>5.4848044103717804E-2</v>
      </c>
      <c r="I9" s="304">
        <f>'Baseline Price'!X9*'Baseline Consumption'!X10</f>
        <v>5.4710175023339969E-2</v>
      </c>
      <c r="J9" s="304">
        <f>'Baseline Price'!Y9*'Baseline Consumption'!Y10</f>
        <v>5.376919097225958E-2</v>
      </c>
      <c r="K9" s="304">
        <f>'Baseline Price'!Z9*'Baseline Consumption'!Z10</f>
        <v>5.3825425362530772E-2</v>
      </c>
      <c r="L9" s="304">
        <f>'Baseline Price'!AA9*'Baseline Consumption'!AA10</f>
        <v>5.2813675600474175E-2</v>
      </c>
      <c r="M9" s="304">
        <f>'Baseline Price'!AB9*'Baseline Consumption'!AB10</f>
        <v>5.2117649985443354E-2</v>
      </c>
      <c r="N9" s="304">
        <f>'Baseline Price'!AC9*'Baseline Consumption'!AC10</f>
        <v>5.1531060889311822E-2</v>
      </c>
      <c r="O9" s="304">
        <f>'Baseline Price'!AD9*'Baseline Consumption'!AD10</f>
        <v>5.0822758607838664E-2</v>
      </c>
      <c r="P9" s="304">
        <f>'Baseline Price'!AE9*'Baseline Consumption'!AE10</f>
        <v>4.9803024494498381E-2</v>
      </c>
      <c r="Q9" s="304">
        <f>'Baseline Price'!AF9*'Baseline Consumption'!AF10</f>
        <v>4.912048639129285E-2</v>
      </c>
      <c r="R9" s="304">
        <f>'Baseline Price'!AG9*'Baseline Consumption'!AG10</f>
        <v>4.8588637708099514E-2</v>
      </c>
      <c r="S9" s="304">
        <f>'Baseline Price'!AH9*'Baseline Consumption'!AH10</f>
        <v>4.7454303923871302E-2</v>
      </c>
      <c r="T9" s="304">
        <f>'Baseline Price'!AI9*'Baseline Consumption'!AI10</f>
        <v>4.6719020792287624E-2</v>
      </c>
      <c r="U9" s="304">
        <f>'Baseline Price'!AJ9*'Baseline Consumption'!AJ10</f>
        <v>4.5996451867115533E-2</v>
      </c>
      <c r="V9" s="304">
        <f>'Baseline Price'!AK9*'Baseline Consumption'!AK10</f>
        <v>4.5196103953592894E-2</v>
      </c>
      <c r="W9" s="304">
        <f>'Baseline Price'!AL9*'Baseline Consumption'!AL10</f>
        <v>4.4363731698233724E-2</v>
      </c>
      <c r="X9" s="304">
        <f>'Baseline Price'!AM9*'Baseline Consumption'!AM10</f>
        <v>4.3786026040351381E-2</v>
      </c>
      <c r="Y9" s="304">
        <f>'Baseline Price'!AN9*'Baseline Consumption'!AN10</f>
        <v>4.2893750365735159E-2</v>
      </c>
      <c r="Z9" s="304">
        <f>'Baseline Price'!AO9*'Baseline Consumption'!AO10</f>
        <v>4.189625541720126E-2</v>
      </c>
      <c r="AA9" s="304">
        <f>'Baseline Price'!AP9*'Baseline Consumption'!AP10</f>
        <v>4.1068798507644458E-2</v>
      </c>
      <c r="AB9" s="304">
        <f>'Baseline Price'!AQ9*'Baseline Consumption'!AQ10</f>
        <v>4.0201821797576677E-2</v>
      </c>
      <c r="AC9" s="304">
        <f>'Baseline Price'!AR9*'Baseline Consumption'!AR10</f>
        <v>3.9323454114852885E-2</v>
      </c>
      <c r="AD9" s="304">
        <f>'Baseline Price'!AS9*'Baseline Consumption'!AS10</f>
        <v>3.8499697311244335E-2</v>
      </c>
      <c r="AE9" s="304">
        <f>'Baseline Price'!AT9*'Baseline Consumption'!AT10</f>
        <v>3.7554567676947488E-2</v>
      </c>
      <c r="AF9" s="304">
        <f>'Baseline Price'!AU9*'Baseline Consumption'!AU10</f>
        <v>3.667123765653936E-2</v>
      </c>
    </row>
    <row r="10" spans="1:32">
      <c r="A10" s="40" t="str">
        <f>'Adjusted expend'!A10</f>
        <v xml:space="preserve">   Natural Gas</v>
      </c>
      <c r="B10" s="304">
        <f>'Baseline Price'!Q10*'Baseline Consumption'!Q11</f>
        <v>1.0134863047945668</v>
      </c>
      <c r="C10" s="304">
        <f>'Baseline Price'!R10*'Baseline Consumption'!R11</f>
        <v>0.98670057137207612</v>
      </c>
      <c r="D10" s="304">
        <f>'Baseline Price'!S10*'Baseline Consumption'!S11</f>
        <v>0.96855185984847669</v>
      </c>
      <c r="E10" s="304">
        <f>'Baseline Price'!T10*'Baseline Consumption'!T11</f>
        <v>0.95721930349081952</v>
      </c>
      <c r="F10" s="304">
        <f>'Baseline Price'!U10*'Baseline Consumption'!U11</f>
        <v>0.95576595964010846</v>
      </c>
      <c r="G10" s="304">
        <f>'Baseline Price'!V10*'Baseline Consumption'!V11</f>
        <v>0.98364801950803715</v>
      </c>
      <c r="H10" s="304">
        <f>'Baseline Price'!W10*'Baseline Consumption'!W11</f>
        <v>0.9985933507855782</v>
      </c>
      <c r="I10" s="304">
        <f>'Baseline Price'!X10*'Baseline Consumption'!X11</f>
        <v>1.0033357354791943</v>
      </c>
      <c r="J10" s="304">
        <f>'Baseline Price'!Y10*'Baseline Consumption'!Y11</f>
        <v>1.0123068902931815</v>
      </c>
      <c r="K10" s="304">
        <f>'Baseline Price'!Z10*'Baseline Consumption'!Z11</f>
        <v>1.1969415870300983</v>
      </c>
      <c r="L10" s="304">
        <f>'Baseline Price'!AA10*'Baseline Consumption'!AA11</f>
        <v>1.1973189985454604</v>
      </c>
      <c r="M10" s="304">
        <f>'Baseline Price'!AB10*'Baseline Consumption'!AB11</f>
        <v>1.2248535752326446</v>
      </c>
      <c r="N10" s="304">
        <f>'Baseline Price'!AC10*'Baseline Consumption'!AC11</f>
        <v>1.2351103415594544</v>
      </c>
      <c r="O10" s="304">
        <f>'Baseline Price'!AD10*'Baseline Consumption'!AD11</f>
        <v>1.2443441459776448</v>
      </c>
      <c r="P10" s="304">
        <f>'Baseline Price'!AE10*'Baseline Consumption'!AE11</f>
        <v>1.252177584702949</v>
      </c>
      <c r="Q10" s="304">
        <f>'Baseline Price'!AF10*'Baseline Consumption'!AF11</f>
        <v>1.260195321150086</v>
      </c>
      <c r="R10" s="304">
        <f>'Baseline Price'!AG10*'Baseline Consumption'!AG11</f>
        <v>1.2688268713429889</v>
      </c>
      <c r="S10" s="304">
        <f>'Baseline Price'!AH10*'Baseline Consumption'!AH11</f>
        <v>1.2763540432979656</v>
      </c>
      <c r="T10" s="304">
        <f>'Baseline Price'!AI10*'Baseline Consumption'!AI11</f>
        <v>1.2815784880265182</v>
      </c>
      <c r="U10" s="304">
        <f>'Baseline Price'!AJ10*'Baseline Consumption'!AJ11</f>
        <v>1.2871280742129902</v>
      </c>
      <c r="V10" s="304">
        <f>'Baseline Price'!AK10*'Baseline Consumption'!AK11</f>
        <v>1.2952602918305023</v>
      </c>
      <c r="W10" s="304">
        <f>'Baseline Price'!AL10*'Baseline Consumption'!AL11</f>
        <v>1.3002072982291728</v>
      </c>
      <c r="X10" s="304">
        <f>'Baseline Price'!AM10*'Baseline Consumption'!AM11</f>
        <v>1.3064910579255078</v>
      </c>
      <c r="Y10" s="304">
        <f>'Baseline Price'!AN10*'Baseline Consumption'!AN11</f>
        <v>1.3142918077780683</v>
      </c>
      <c r="Z10" s="304">
        <f>'Baseline Price'!AO10*'Baseline Consumption'!AO11</f>
        <v>1.322596933354379</v>
      </c>
      <c r="AA10" s="304">
        <f>'Baseline Price'!AP10*'Baseline Consumption'!AP11</f>
        <v>1.3321338703769474</v>
      </c>
      <c r="AB10" s="304">
        <f>'Baseline Price'!AQ10*'Baseline Consumption'!AQ11</f>
        <v>1.3400902017166154</v>
      </c>
      <c r="AC10" s="304">
        <f>'Baseline Price'!AR10*'Baseline Consumption'!AR11</f>
        <v>1.3496382436573127</v>
      </c>
      <c r="AD10" s="304">
        <f>'Baseline Price'!AS10*'Baseline Consumption'!AS11</f>
        <v>1.3604002716765999</v>
      </c>
      <c r="AE10" s="304">
        <f>'Baseline Price'!AT10*'Baseline Consumption'!AT11</f>
        <v>1.3706904719390709</v>
      </c>
      <c r="AF10" s="304">
        <f>'Baseline Price'!AU10*'Baseline Consumption'!AU11</f>
        <v>1.3785194612262137</v>
      </c>
    </row>
    <row r="11" spans="1:32">
      <c r="A11" s="40" t="str">
        <f>'Adjusted expend'!A11</f>
        <v xml:space="preserve">   Electricity</v>
      </c>
      <c r="B11" s="304">
        <f>'Baseline Price'!Q11*'Baseline Consumption'!Q13</f>
        <v>3.1081867203822569</v>
      </c>
      <c r="C11" s="304">
        <f>'Baseline Price'!R11*'Baseline Consumption'!R13</f>
        <v>2.9521228681763327</v>
      </c>
      <c r="D11" s="304">
        <f>'Baseline Price'!S11*'Baseline Consumption'!S13</f>
        <v>2.9775801377375388</v>
      </c>
      <c r="E11" s="304">
        <f>'Baseline Price'!T11*'Baseline Consumption'!T13</f>
        <v>3.0457370377210045</v>
      </c>
      <c r="F11" s="304">
        <f>'Baseline Price'!U11*'Baseline Consumption'!U13</f>
        <v>3.0349803275982095</v>
      </c>
      <c r="G11" s="304">
        <f>'Baseline Price'!V11*'Baseline Consumption'!V13</f>
        <v>3.0854236307660745</v>
      </c>
      <c r="H11" s="304">
        <f>'Baseline Price'!W11*'Baseline Consumption'!W13</f>
        <v>3.1519078116497234</v>
      </c>
      <c r="I11" s="304">
        <f>'Baseline Price'!X11*'Baseline Consumption'!X13</f>
        <v>3.141757019806851</v>
      </c>
      <c r="J11" s="304">
        <f>'Baseline Price'!Y11*'Baseline Consumption'!Y13</f>
        <v>3.1236813608278111</v>
      </c>
      <c r="K11" s="304">
        <f>'Baseline Price'!Z11*'Baseline Consumption'!Z13</f>
        <v>3.1449991578386904</v>
      </c>
      <c r="L11" s="304">
        <f>'Baseline Price'!AA11*'Baseline Consumption'!AA13</f>
        <v>3.1962020948032874</v>
      </c>
      <c r="M11" s="304">
        <f>'Baseline Price'!AB11*'Baseline Consumption'!AB13</f>
        <v>3.2627131463867016</v>
      </c>
      <c r="N11" s="304">
        <f>'Baseline Price'!AC11*'Baseline Consumption'!AC13</f>
        <v>3.3263707036314951</v>
      </c>
      <c r="O11" s="304">
        <f>'Baseline Price'!AD11*'Baseline Consumption'!AD13</f>
        <v>3.3713713040129787</v>
      </c>
      <c r="P11" s="304">
        <f>'Baseline Price'!AE11*'Baseline Consumption'!AE13</f>
        <v>3.4201243955662233</v>
      </c>
      <c r="Q11" s="304">
        <f>'Baseline Price'!AF11*'Baseline Consumption'!AF13</f>
        <v>3.4731136603264656</v>
      </c>
      <c r="R11" s="304">
        <f>'Baseline Price'!AG11*'Baseline Consumption'!AG13</f>
        <v>3.5339894186932934</v>
      </c>
      <c r="S11" s="304">
        <f>'Baseline Price'!AH11*'Baseline Consumption'!AH13</f>
        <v>3.5867564504858862</v>
      </c>
      <c r="T11" s="304">
        <f>'Baseline Price'!AI11*'Baseline Consumption'!AI13</f>
        <v>3.6190577750382498</v>
      </c>
      <c r="U11" s="304">
        <f>'Baseline Price'!AJ11*'Baseline Consumption'!AJ13</f>
        <v>3.6484157690422752</v>
      </c>
      <c r="V11" s="304">
        <f>'Baseline Price'!AK11*'Baseline Consumption'!AK13</f>
        <v>3.6739872718549926</v>
      </c>
      <c r="W11" s="304">
        <f>'Baseline Price'!AL11*'Baseline Consumption'!AL13</f>
        <v>3.7160567761544097</v>
      </c>
      <c r="X11" s="304">
        <f>'Baseline Price'!AM11*'Baseline Consumption'!AM13</f>
        <v>3.7610175241486967</v>
      </c>
      <c r="Y11" s="304">
        <f>'Baseline Price'!AN11*'Baseline Consumption'!AN13</f>
        <v>3.7902006222809557</v>
      </c>
      <c r="Z11" s="304">
        <f>'Baseline Price'!AO11*'Baseline Consumption'!AO13</f>
        <v>3.8245605389002502</v>
      </c>
      <c r="AA11" s="304">
        <f>'Baseline Price'!AP11*'Baseline Consumption'!AP13</f>
        <v>3.869010265272625</v>
      </c>
      <c r="AB11" s="304">
        <f>'Baseline Price'!AQ11*'Baseline Consumption'!AQ13</f>
        <v>3.9137463663871523</v>
      </c>
      <c r="AC11" s="304">
        <f>'Baseline Price'!AR11*'Baseline Consumption'!AR13</f>
        <v>3.9506762584344006</v>
      </c>
      <c r="AD11" s="304">
        <f>'Baseline Price'!AS11*'Baseline Consumption'!AS13</f>
        <v>3.9877990005101585</v>
      </c>
      <c r="AE11" s="304">
        <f>'Baseline Price'!AT11*'Baseline Consumption'!AT13</f>
        <v>4.0195232305553672</v>
      </c>
      <c r="AF11" s="304">
        <f>'Baseline Price'!AU11*'Baseline Consumption'!AU13</f>
        <v>4.0435396876079741</v>
      </c>
    </row>
    <row r="12" spans="1:32">
      <c r="A12" s="46" t="str">
        <f>'Adjusted expend'!A12</f>
        <v>Total</v>
      </c>
      <c r="B12" s="304">
        <f>SUM(B8:B11)</f>
        <v>4.3548663939948202</v>
      </c>
      <c r="C12" s="304">
        <f t="shared" ref="C12:V12" si="0">SUM(C8:C11)</f>
        <v>4.1746867466098667</v>
      </c>
      <c r="D12" s="304">
        <f t="shared" si="0"/>
        <v>4.1839998665779881</v>
      </c>
      <c r="E12" s="304">
        <f t="shared" si="0"/>
        <v>4.2428537418470826</v>
      </c>
      <c r="F12" s="304">
        <f t="shared" si="0"/>
        <v>4.2333830157725725</v>
      </c>
      <c r="G12" s="304">
        <f t="shared" si="0"/>
        <v>4.3135372079455463</v>
      </c>
      <c r="H12" s="304">
        <f t="shared" si="0"/>
        <v>4.3964203797698875</v>
      </c>
      <c r="I12" s="304">
        <f t="shared" si="0"/>
        <v>4.3920758764116066</v>
      </c>
      <c r="J12" s="304">
        <f t="shared" si="0"/>
        <v>4.3827730481377118</v>
      </c>
      <c r="K12" s="304">
        <f t="shared" si="0"/>
        <v>4.5998949408747789</v>
      </c>
      <c r="L12" s="304">
        <f t="shared" si="0"/>
        <v>4.6494538330146096</v>
      </c>
      <c r="M12" s="304">
        <f t="shared" si="0"/>
        <v>4.7435584351431128</v>
      </c>
      <c r="N12" s="304">
        <f t="shared" si="0"/>
        <v>4.8166017481660042</v>
      </c>
      <c r="O12" s="304">
        <f t="shared" si="0"/>
        <v>4.8702306206938077</v>
      </c>
      <c r="P12" s="304">
        <f t="shared" si="0"/>
        <v>4.9261439816877131</v>
      </c>
      <c r="Q12" s="304">
        <f>SUM(Q8:Q11)</f>
        <v>4.9868613757687825</v>
      </c>
      <c r="R12" s="304">
        <f t="shared" si="0"/>
        <v>5.0564253277689772</v>
      </c>
      <c r="S12" s="304">
        <f t="shared" si="0"/>
        <v>5.1159858103532789</v>
      </c>
      <c r="T12" s="304">
        <f t="shared" si="0"/>
        <v>5.1530921315102214</v>
      </c>
      <c r="U12" s="304">
        <f t="shared" si="0"/>
        <v>5.1876458840611352</v>
      </c>
      <c r="V12" s="304">
        <f t="shared" si="0"/>
        <v>5.2209837652468032</v>
      </c>
      <c r="W12" s="304">
        <f t="shared" ref="W12:AF12" si="1">SUM(W8:W11)</f>
        <v>5.2674901626702395</v>
      </c>
      <c r="X12" s="304">
        <f t="shared" si="1"/>
        <v>5.3184920240707276</v>
      </c>
      <c r="Y12" s="304">
        <f t="shared" si="1"/>
        <v>5.3550060479905941</v>
      </c>
      <c r="Z12" s="304">
        <f t="shared" si="1"/>
        <v>5.3970914334138795</v>
      </c>
      <c r="AA12" s="304">
        <f t="shared" si="1"/>
        <v>5.4506608213599392</v>
      </c>
      <c r="AB12" s="304">
        <f t="shared" si="1"/>
        <v>5.5028191659134915</v>
      </c>
      <c r="AC12" s="304">
        <f t="shared" si="1"/>
        <v>5.5487188965569985</v>
      </c>
      <c r="AD12" s="304">
        <f t="shared" si="1"/>
        <v>5.5960486632955195</v>
      </c>
      <c r="AE12" s="304">
        <f t="shared" si="1"/>
        <v>5.6372504046549441</v>
      </c>
      <c r="AF12" s="304">
        <f t="shared" si="1"/>
        <v>5.6681335848533916</v>
      </c>
    </row>
    <row r="13" spans="1:32" s="40" customFormat="1">
      <c r="A13" s="46"/>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4"/>
      <c r="AF13" s="304"/>
    </row>
    <row r="14" spans="1:32" s="5" customFormat="1" ht="13">
      <c r="A14" s="250" t="s">
        <v>77</v>
      </c>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1"/>
    </row>
    <row r="15" spans="1:32" s="396" customFormat="1" ht="12.9" customHeight="1">
      <c r="A15" s="253" t="s">
        <v>6</v>
      </c>
      <c r="B15" s="253">
        <v>2020</v>
      </c>
      <c r="C15" s="253">
        <v>2021</v>
      </c>
      <c r="D15" s="253">
        <v>2022</v>
      </c>
      <c r="E15" s="253">
        <v>2023</v>
      </c>
      <c r="F15" s="253">
        <v>2024</v>
      </c>
      <c r="G15" s="253">
        <v>2025</v>
      </c>
      <c r="H15" s="253">
        <v>2026</v>
      </c>
      <c r="I15" s="253">
        <v>2027</v>
      </c>
      <c r="J15" s="253">
        <v>2028</v>
      </c>
      <c r="K15" s="253">
        <v>2029</v>
      </c>
      <c r="L15" s="253">
        <v>2030</v>
      </c>
      <c r="M15" s="253">
        <v>2031</v>
      </c>
      <c r="N15" s="253">
        <v>2032</v>
      </c>
      <c r="O15" s="253">
        <v>2033</v>
      </c>
      <c r="P15" s="253">
        <v>2034</v>
      </c>
      <c r="Q15" s="253">
        <v>2035</v>
      </c>
      <c r="R15" s="253">
        <v>2036</v>
      </c>
      <c r="S15" s="253">
        <v>2037</v>
      </c>
      <c r="T15" s="253">
        <v>2038</v>
      </c>
      <c r="U15" s="253">
        <v>2039</v>
      </c>
      <c r="V15" s="253">
        <v>2040</v>
      </c>
      <c r="W15" s="253">
        <v>2041</v>
      </c>
      <c r="X15" s="253">
        <v>2042</v>
      </c>
      <c r="Y15" s="253">
        <v>2043</v>
      </c>
      <c r="Z15" s="253">
        <v>2044</v>
      </c>
      <c r="AA15" s="253">
        <v>2045</v>
      </c>
      <c r="AB15" s="253">
        <v>2046</v>
      </c>
      <c r="AC15" s="253">
        <v>2047</v>
      </c>
      <c r="AD15" s="253">
        <v>2048</v>
      </c>
      <c r="AE15" s="253">
        <v>2049</v>
      </c>
      <c r="AF15" s="253">
        <v>2050</v>
      </c>
    </row>
    <row r="16" spans="1:32">
      <c r="A16" s="40" t="str">
        <f>'Adjusted expend'!A16</f>
        <v xml:space="preserve">   Liquefied Petroleum Gases</v>
      </c>
      <c r="B16" s="304">
        <f>'Baseline Price'!Q15*'Baseline Consumption'!Q18</f>
        <v>7.4893977554950628E-2</v>
      </c>
      <c r="C16" s="304">
        <f>'Baseline Price'!R15*'Baseline Consumption'!R18</f>
        <v>7.6812736512444704E-2</v>
      </c>
      <c r="D16" s="304">
        <f>'Baseline Price'!S15*'Baseline Consumption'!S18</f>
        <v>7.9401117281907074E-2</v>
      </c>
      <c r="E16" s="304">
        <f>'Baseline Price'!T15*'Baseline Consumption'!T18</f>
        <v>8.1551030284533962E-2</v>
      </c>
      <c r="F16" s="304">
        <f>'Baseline Price'!U15*'Baseline Consumption'!U18</f>
        <v>8.4098198268656749E-2</v>
      </c>
      <c r="G16" s="304">
        <f>'Baseline Price'!V15*'Baseline Consumption'!V18</f>
        <v>8.6743074754612612E-2</v>
      </c>
      <c r="H16" s="304">
        <f>'Baseline Price'!W15*'Baseline Consumption'!W18</f>
        <v>8.9062423208628103E-2</v>
      </c>
      <c r="I16" s="304">
        <f>'Baseline Price'!X15*'Baseline Consumption'!X18</f>
        <v>9.0998221683239636E-2</v>
      </c>
      <c r="J16" s="304">
        <f>'Baseline Price'!Y15*'Baseline Consumption'!Y18</f>
        <v>9.2684294939564676E-2</v>
      </c>
      <c r="K16" s="304">
        <f>'Baseline Price'!Z15*'Baseline Consumption'!Z18</f>
        <v>9.9718092626619029E-2</v>
      </c>
      <c r="L16" s="304">
        <f>'Baseline Price'!AA15*'Baseline Consumption'!AA18</f>
        <v>0.10105208573543126</v>
      </c>
      <c r="M16" s="304">
        <f>'Baseline Price'!AB15*'Baseline Consumption'!AB18</f>
        <v>0.10318779493057602</v>
      </c>
      <c r="N16" s="304">
        <f>'Baseline Price'!AC15*'Baseline Consumption'!AC18</f>
        <v>0.10483994447657724</v>
      </c>
      <c r="O16" s="304">
        <f>'Baseline Price'!AD15*'Baseline Consumption'!AD18</f>
        <v>0.10658370295879215</v>
      </c>
      <c r="P16" s="304">
        <f>'Baseline Price'!AE15*'Baseline Consumption'!AE18</f>
        <v>0.10831928941551175</v>
      </c>
      <c r="Q16" s="304">
        <f>'Baseline Price'!AF15*'Baseline Consumption'!AF18</f>
        <v>0.10997018825961012</v>
      </c>
      <c r="R16" s="304">
        <f>'Baseline Price'!AG15*'Baseline Consumption'!AG18</f>
        <v>0.11168767659990277</v>
      </c>
      <c r="S16" s="304">
        <f>'Baseline Price'!AH15*'Baseline Consumption'!AH18</f>
        <v>0.11321746967894096</v>
      </c>
      <c r="T16" s="304">
        <f>'Baseline Price'!AI15*'Baseline Consumption'!AI18</f>
        <v>0.11465093425140475</v>
      </c>
      <c r="U16" s="304">
        <f>'Baseline Price'!AJ15*'Baseline Consumption'!AJ18</f>
        <v>0.11612319899557244</v>
      </c>
      <c r="V16" s="304">
        <f>'Baseline Price'!AK15*'Baseline Consumption'!AK18</f>
        <v>0.11759104000754357</v>
      </c>
      <c r="W16" s="304">
        <f>'Baseline Price'!AL15*'Baseline Consumption'!AL18</f>
        <v>0.11893141540575637</v>
      </c>
      <c r="X16" s="304">
        <f>'Baseline Price'!AM15*'Baseline Consumption'!AM18</f>
        <v>0.12028930478285726</v>
      </c>
      <c r="Y16" s="304">
        <f>'Baseline Price'!AN15*'Baseline Consumption'!AN18</f>
        <v>0.1216433307183461</v>
      </c>
      <c r="Z16" s="304">
        <f>'Baseline Price'!AO15*'Baseline Consumption'!AO18</f>
        <v>0.12294102486650631</v>
      </c>
      <c r="AA16" s="304">
        <f>'Baseline Price'!AP15*'Baseline Consumption'!AP18</f>
        <v>0.12410117200145857</v>
      </c>
      <c r="AB16" s="304">
        <f>'Baseline Price'!AQ15*'Baseline Consumption'!AQ18</f>
        <v>0.12514210456712729</v>
      </c>
      <c r="AC16" s="304">
        <f>'Baseline Price'!AR15*'Baseline Consumption'!AR18</f>
        <v>0.12611991992758126</v>
      </c>
      <c r="AD16" s="304">
        <f>'Baseline Price'!AS15*'Baseline Consumption'!AS18</f>
        <v>0.12705803574684391</v>
      </c>
      <c r="AE16" s="304">
        <f>'Baseline Price'!AT15*'Baseline Consumption'!AT18</f>
        <v>0.12781553131785675</v>
      </c>
      <c r="AF16" s="304">
        <f>'Baseline Price'!AU15*'Baseline Consumption'!AU18</f>
        <v>0.12838216331279365</v>
      </c>
    </row>
    <row r="17" spans="1:32">
      <c r="A17" s="40" t="str">
        <f>'Adjusted expend'!A17</f>
        <v xml:space="preserve">   Distillate Fuel Oil</v>
      </c>
      <c r="B17" s="304">
        <f>'Baseline Price'!Q16*'Baseline Consumption'!Q21</f>
        <v>0.17614970253984008</v>
      </c>
      <c r="C17" s="304">
        <f>'Baseline Price'!R16*'Baseline Consumption'!R21</f>
        <v>0.17253991117110162</v>
      </c>
      <c r="D17" s="304">
        <f>'Baseline Price'!S16*'Baseline Consumption'!S21</f>
        <v>0.16807018975446572</v>
      </c>
      <c r="E17" s="304">
        <f>'Baseline Price'!T16*'Baseline Consumption'!T21</f>
        <v>0.166590048808371</v>
      </c>
      <c r="F17" s="304">
        <f>'Baseline Price'!U16*'Baseline Consumption'!U21</f>
        <v>0.17016599156803741</v>
      </c>
      <c r="G17" s="304">
        <f>'Baseline Price'!V16*'Baseline Consumption'!V21</f>
        <v>0.17596218430354893</v>
      </c>
      <c r="H17" s="304">
        <f>'Baseline Price'!W16*'Baseline Consumption'!W21</f>
        <v>0.1796088957744196</v>
      </c>
      <c r="I17" s="304">
        <f>'Baseline Price'!X16*'Baseline Consumption'!X21</f>
        <v>0.18391408884951549</v>
      </c>
      <c r="J17" s="304">
        <f>'Baseline Price'!Y16*'Baseline Consumption'!Y21</f>
        <v>0.18524694750563969</v>
      </c>
      <c r="K17" s="304">
        <f>'Baseline Price'!Z16*'Baseline Consumption'!Z21</f>
        <v>0.20424094047194213</v>
      </c>
      <c r="L17" s="304">
        <f>'Baseline Price'!AA16*'Baseline Consumption'!AA21</f>
        <v>0.20389478396986557</v>
      </c>
      <c r="M17" s="304">
        <f>'Baseline Price'!AB16*'Baseline Consumption'!AB21</f>
        <v>0.20706411882581469</v>
      </c>
      <c r="N17" s="304">
        <f>'Baseline Price'!AC16*'Baseline Consumption'!AC21</f>
        <v>0.20902072149658357</v>
      </c>
      <c r="O17" s="304">
        <f>'Baseline Price'!AD16*'Baseline Consumption'!AD21</f>
        <v>0.21037033777961694</v>
      </c>
      <c r="P17" s="304">
        <f>'Baseline Price'!AE16*'Baseline Consumption'!AE21</f>
        <v>0.21090292088160248</v>
      </c>
      <c r="Q17" s="304">
        <f>'Baseline Price'!AF16*'Baseline Consumption'!AF21</f>
        <v>0.21261674409619971</v>
      </c>
      <c r="R17" s="304">
        <f>'Baseline Price'!AG16*'Baseline Consumption'!AG21</f>
        <v>0.21495850989765491</v>
      </c>
      <c r="S17" s="304">
        <f>'Baseline Price'!AH16*'Baseline Consumption'!AH21</f>
        <v>0.2144901760912522</v>
      </c>
      <c r="T17" s="304">
        <f>'Baseline Price'!AI16*'Baseline Consumption'!AI21</f>
        <v>0.21580129686612495</v>
      </c>
      <c r="U17" s="304">
        <f>'Baseline Price'!AJ16*'Baseline Consumption'!AJ21</f>
        <v>0.21694878940082632</v>
      </c>
      <c r="V17" s="304">
        <f>'Baseline Price'!AK16*'Baseline Consumption'!AK21</f>
        <v>0.21779354527445982</v>
      </c>
      <c r="W17" s="304">
        <f>'Baseline Price'!AL16*'Baseline Consumption'!AL21</f>
        <v>0.21833941054617606</v>
      </c>
      <c r="X17" s="304">
        <f>'Baseline Price'!AM16*'Baseline Consumption'!AM21</f>
        <v>0.2199482144094809</v>
      </c>
      <c r="Y17" s="304">
        <f>'Baseline Price'!AN16*'Baseline Consumption'!AN21</f>
        <v>0.21998512499773468</v>
      </c>
      <c r="Z17" s="304">
        <f>'Baseline Price'!AO16*'Baseline Consumption'!AO21</f>
        <v>0.2192273580077497</v>
      </c>
      <c r="AA17" s="304">
        <f>'Baseline Price'!AP16*'Baseline Consumption'!AP21</f>
        <v>0.21948691934487033</v>
      </c>
      <c r="AB17" s="304">
        <f>'Baseline Price'!AQ16*'Baseline Consumption'!AQ21</f>
        <v>0.21902971557011866</v>
      </c>
      <c r="AC17" s="304">
        <f>'Baseline Price'!AR16*'Baseline Consumption'!AR21</f>
        <v>0.21828362885322319</v>
      </c>
      <c r="AD17" s="304">
        <f>'Baseline Price'!AS16*'Baseline Consumption'!AS21</f>
        <v>0.21847420020579866</v>
      </c>
      <c r="AE17" s="304">
        <f>'Baseline Price'!AT16*'Baseline Consumption'!AT21</f>
        <v>0.21789672616952035</v>
      </c>
      <c r="AF17" s="304">
        <f>'Baseline Price'!AU16*'Baseline Consumption'!AU21</f>
        <v>0.21752250856898558</v>
      </c>
    </row>
    <row r="18" spans="1:32">
      <c r="A18" s="40" t="str">
        <f>'Adjusted expend'!A18</f>
        <v xml:space="preserve">   Residual Fuel</v>
      </c>
      <c r="B18" s="304">
        <f>'Baseline Price'!Q17*'Baseline Consumption'!Q22</f>
        <v>0</v>
      </c>
      <c r="C18" s="304">
        <f>'Baseline Price'!R17*'Baseline Consumption'!R22</f>
        <v>0</v>
      </c>
      <c r="D18" s="304">
        <f>'Baseline Price'!S17*'Baseline Consumption'!S22</f>
        <v>0</v>
      </c>
      <c r="E18" s="304">
        <f>'Baseline Price'!T17*'Baseline Consumption'!T22</f>
        <v>0</v>
      </c>
      <c r="F18" s="304">
        <f>'Baseline Price'!U17*'Baseline Consumption'!U22</f>
        <v>0</v>
      </c>
      <c r="G18" s="304">
        <f>'Baseline Price'!V17*'Baseline Consumption'!V22</f>
        <v>0</v>
      </c>
      <c r="H18" s="304">
        <f>'Baseline Price'!W17*'Baseline Consumption'!W22</f>
        <v>0</v>
      </c>
      <c r="I18" s="304">
        <f>'Baseline Price'!X17*'Baseline Consumption'!X22</f>
        <v>0</v>
      </c>
      <c r="J18" s="304">
        <f>'Baseline Price'!Y17*'Baseline Consumption'!Y22</f>
        <v>0</v>
      </c>
      <c r="K18" s="304">
        <f>'Baseline Price'!Z17*'Baseline Consumption'!Z22</f>
        <v>0</v>
      </c>
      <c r="L18" s="304">
        <f>'Baseline Price'!AA17*'Baseline Consumption'!AA22</f>
        <v>0</v>
      </c>
      <c r="M18" s="304">
        <f>'Baseline Price'!AB17*'Baseline Consumption'!AB22</f>
        <v>0</v>
      </c>
      <c r="N18" s="304">
        <f>'Baseline Price'!AC17*'Baseline Consumption'!AC22</f>
        <v>0</v>
      </c>
      <c r="O18" s="304">
        <f>'Baseline Price'!AD17*'Baseline Consumption'!AD22</f>
        <v>0</v>
      </c>
      <c r="P18" s="304">
        <f>'Baseline Price'!AE17*'Baseline Consumption'!AE22</f>
        <v>0</v>
      </c>
      <c r="Q18" s="304">
        <f>'Baseline Price'!AF17*'Baseline Consumption'!AF22</f>
        <v>0</v>
      </c>
      <c r="R18" s="304">
        <f>'Baseline Price'!AG17*'Baseline Consumption'!AG22</f>
        <v>0</v>
      </c>
      <c r="S18" s="304">
        <f>'Baseline Price'!AH17*'Baseline Consumption'!AH22</f>
        <v>0</v>
      </c>
      <c r="T18" s="304">
        <f>'Baseline Price'!AI17*'Baseline Consumption'!AI22</f>
        <v>0</v>
      </c>
      <c r="U18" s="304">
        <f>'Baseline Price'!AJ17*'Baseline Consumption'!AJ22</f>
        <v>0</v>
      </c>
      <c r="V18" s="304">
        <f>'Baseline Price'!AK17*'Baseline Consumption'!AK22</f>
        <v>0</v>
      </c>
      <c r="W18" s="304">
        <f>'Baseline Price'!AL17*'Baseline Consumption'!AL22</f>
        <v>0</v>
      </c>
      <c r="X18" s="304">
        <f>'Baseline Price'!AM17*'Baseline Consumption'!AM22</f>
        <v>0</v>
      </c>
      <c r="Y18" s="304">
        <f>'Baseline Price'!AN17*'Baseline Consumption'!AN22</f>
        <v>0</v>
      </c>
      <c r="Z18" s="304">
        <f>'Baseline Price'!AO17*'Baseline Consumption'!AO22</f>
        <v>0</v>
      </c>
      <c r="AA18" s="304">
        <f>'Baseline Price'!AP17*'Baseline Consumption'!AP22</f>
        <v>0</v>
      </c>
      <c r="AB18" s="304">
        <f>'Baseline Price'!AQ17*'Baseline Consumption'!AQ22</f>
        <v>0</v>
      </c>
      <c r="AC18" s="304">
        <f>'Baseline Price'!AR17*'Baseline Consumption'!AR22</f>
        <v>0</v>
      </c>
      <c r="AD18" s="304">
        <f>'Baseline Price'!AS17*'Baseline Consumption'!AS22</f>
        <v>0</v>
      </c>
      <c r="AE18" s="304">
        <f>'Baseline Price'!AT17*'Baseline Consumption'!AT22</f>
        <v>0</v>
      </c>
      <c r="AF18" s="304">
        <f>'Baseline Price'!AU17*'Baseline Consumption'!AU22</f>
        <v>0</v>
      </c>
    </row>
    <row r="19" spans="1:32">
      <c r="A19" s="40" t="str">
        <f>'Adjusted expend'!A19</f>
        <v xml:space="preserve">   Natural Gas</v>
      </c>
      <c r="B19" s="304">
        <f>'Baseline Price'!Q18*'Baseline Consumption'!Q23</f>
        <v>0.54261258432325177</v>
      </c>
      <c r="C19" s="304">
        <f>'Baseline Price'!R18*'Baseline Consumption'!R23</f>
        <v>0.54675867692740143</v>
      </c>
      <c r="D19" s="304">
        <f>'Baseline Price'!S18*'Baseline Consumption'!S23</f>
        <v>0.55526288052604322</v>
      </c>
      <c r="E19" s="304">
        <f>'Baseline Price'!T18*'Baseline Consumption'!T23</f>
        <v>0.56696242202229663</v>
      </c>
      <c r="F19" s="304">
        <f>'Baseline Price'!U18*'Baseline Consumption'!U23</f>
        <v>0.59258821550370899</v>
      </c>
      <c r="G19" s="304">
        <f>'Baseline Price'!V18*'Baseline Consumption'!V23</f>
        <v>0.61924819673893716</v>
      </c>
      <c r="H19" s="304">
        <f>'Baseline Price'!W18*'Baseline Consumption'!W23</f>
        <v>0.63663047630134828</v>
      </c>
      <c r="I19" s="304">
        <f>'Baseline Price'!X18*'Baseline Consumption'!X23</f>
        <v>0.64720052490956659</v>
      </c>
      <c r="J19" s="304">
        <f>'Baseline Price'!Y18*'Baseline Consumption'!Y23</f>
        <v>0.66165010885943343</v>
      </c>
      <c r="K19" s="304">
        <f>'Baseline Price'!Z18*'Baseline Consumption'!Z23</f>
        <v>0.79541368538987611</v>
      </c>
      <c r="L19" s="304">
        <f>'Baseline Price'!AA18*'Baseline Consumption'!AA23</f>
        <v>0.79722733632101328</v>
      </c>
      <c r="M19" s="304">
        <f>'Baseline Price'!AB18*'Baseline Consumption'!AB23</f>
        <v>0.82062172294624036</v>
      </c>
      <c r="N19" s="304">
        <f>'Baseline Price'!AC18*'Baseline Consumption'!AC23</f>
        <v>0.83459881954687654</v>
      </c>
      <c r="O19" s="304">
        <f>'Baseline Price'!AD18*'Baseline Consumption'!AD23</f>
        <v>0.84827269324137444</v>
      </c>
      <c r="P19" s="304">
        <f>'Baseline Price'!AE18*'Baseline Consumption'!AE23</f>
        <v>0.86117216204653613</v>
      </c>
      <c r="Q19" s="304">
        <f>'Baseline Price'!AF18*'Baseline Consumption'!AF23</f>
        <v>0.87486274027865085</v>
      </c>
      <c r="R19" s="304">
        <f>'Baseline Price'!AG18*'Baseline Consumption'!AG23</f>
        <v>0.89029969781634155</v>
      </c>
      <c r="S19" s="304">
        <f>'Baseline Price'!AH18*'Baseline Consumption'!AH23</f>
        <v>0.90597769208882561</v>
      </c>
      <c r="T19" s="304">
        <f>'Baseline Price'!AI18*'Baseline Consumption'!AI23</f>
        <v>0.92005706737362092</v>
      </c>
      <c r="U19" s="304">
        <f>'Baseline Price'!AJ18*'Baseline Consumption'!AJ23</f>
        <v>0.93466171732184034</v>
      </c>
      <c r="V19" s="304">
        <f>'Baseline Price'!AK18*'Baseline Consumption'!AK23</f>
        <v>0.95172417063407599</v>
      </c>
      <c r="W19" s="304">
        <f>'Baseline Price'!AL18*'Baseline Consumption'!AL23</f>
        <v>0.96867328301469835</v>
      </c>
      <c r="X19" s="304">
        <f>'Baseline Price'!AM18*'Baseline Consumption'!AM23</f>
        <v>0.98736890503081087</v>
      </c>
      <c r="Y19" s="304">
        <f>'Baseline Price'!AN18*'Baseline Consumption'!AN23</f>
        <v>1.0076132934494046</v>
      </c>
      <c r="Z19" s="304">
        <f>'Baseline Price'!AO18*'Baseline Consumption'!AO23</f>
        <v>1.0286391901002976</v>
      </c>
      <c r="AA19" s="304">
        <f>'Baseline Price'!AP18*'Baseline Consumption'!AP23</f>
        <v>1.0511261673741994</v>
      </c>
      <c r="AB19" s="304">
        <f>'Baseline Price'!AQ18*'Baseline Consumption'!AQ23</f>
        <v>1.0730471813959344</v>
      </c>
      <c r="AC19" s="304">
        <f>'Baseline Price'!AR18*'Baseline Consumption'!AR23</f>
        <v>1.0960788863553848</v>
      </c>
      <c r="AD19" s="304">
        <f>'Baseline Price'!AS18*'Baseline Consumption'!AS23</f>
        <v>1.1200673767832103</v>
      </c>
      <c r="AE19" s="304">
        <f>'Baseline Price'!AT18*'Baseline Consumption'!AT23</f>
        <v>1.1429483129942313</v>
      </c>
      <c r="AF19" s="304">
        <f>'Baseline Price'!AU18*'Baseline Consumption'!AU23</f>
        <v>1.1628689726216321</v>
      </c>
    </row>
    <row r="20" spans="1:32">
      <c r="A20" s="40" t="str">
        <f>'Adjusted expend'!A20</f>
        <v xml:space="preserve">   Electricity</v>
      </c>
      <c r="B20" s="304">
        <f>'Baseline Price'!Q19*'Baseline Consumption'!Q26</f>
        <v>2.4004715639485599</v>
      </c>
      <c r="C20" s="304">
        <f>'Baseline Price'!R19*'Baseline Consumption'!R26</f>
        <v>2.287186980448185</v>
      </c>
      <c r="D20" s="304">
        <f>'Baseline Price'!S19*'Baseline Consumption'!S26</f>
        <v>2.3504795476835092</v>
      </c>
      <c r="E20" s="304">
        <f>'Baseline Price'!T19*'Baseline Consumption'!T26</f>
        <v>2.3715967781813818</v>
      </c>
      <c r="F20" s="304">
        <f>'Baseline Price'!U19*'Baseline Consumption'!U26</f>
        <v>2.3475240824390995</v>
      </c>
      <c r="G20" s="304">
        <f>'Baseline Price'!V19*'Baseline Consumption'!V26</f>
        <v>2.418179866474039</v>
      </c>
      <c r="H20" s="304">
        <f>'Baseline Price'!W19*'Baseline Consumption'!W26</f>
        <v>2.4382213454940844</v>
      </c>
      <c r="I20" s="304">
        <f>'Baseline Price'!X19*'Baseline Consumption'!X26</f>
        <v>2.4300516739196376</v>
      </c>
      <c r="J20" s="304">
        <f>'Baseline Price'!Y19*'Baseline Consumption'!Y26</f>
        <v>2.4244145080257256</v>
      </c>
      <c r="K20" s="304">
        <f>'Baseline Price'!Z19*'Baseline Consumption'!Z26</f>
        <v>2.4519131852414926</v>
      </c>
      <c r="L20" s="304">
        <f>'Baseline Price'!AA19*'Baseline Consumption'!AA26</f>
        <v>2.5103978328559751</v>
      </c>
      <c r="M20" s="304">
        <f>'Baseline Price'!AB19*'Baseline Consumption'!AB26</f>
        <v>2.5676041023028526</v>
      </c>
      <c r="N20" s="304">
        <f>'Baseline Price'!AC19*'Baseline Consumption'!AC26</f>
        <v>2.6259106869846658</v>
      </c>
      <c r="O20" s="304">
        <f>'Baseline Price'!AD19*'Baseline Consumption'!AD26</f>
        <v>2.6629038000073142</v>
      </c>
      <c r="P20" s="304">
        <f>'Baseline Price'!AE19*'Baseline Consumption'!AE26</f>
        <v>2.7000154349312644</v>
      </c>
      <c r="Q20" s="304">
        <f>'Baseline Price'!AF19*'Baseline Consumption'!AF26</f>
        <v>2.745986096671384</v>
      </c>
      <c r="R20" s="304">
        <f>'Baseline Price'!AG19*'Baseline Consumption'!AG26</f>
        <v>2.8077698117385368</v>
      </c>
      <c r="S20" s="304">
        <f>'Baseline Price'!AH19*'Baseline Consumption'!AH26</f>
        <v>2.8548780672511489</v>
      </c>
      <c r="T20" s="304">
        <f>'Baseline Price'!AI19*'Baseline Consumption'!AI26</f>
        <v>2.8839712676728779</v>
      </c>
      <c r="U20" s="304">
        <f>'Baseline Price'!AJ19*'Baseline Consumption'!AJ26</f>
        <v>2.9090710014244703</v>
      </c>
      <c r="V20" s="304">
        <f>'Baseline Price'!AK19*'Baseline Consumption'!AK26</f>
        <v>2.9284993494462892</v>
      </c>
      <c r="W20" s="304">
        <f>'Baseline Price'!AL19*'Baseline Consumption'!AL26</f>
        <v>2.9656952295140409</v>
      </c>
      <c r="X20" s="304">
        <f>'Baseline Price'!AM19*'Baseline Consumption'!AM26</f>
        <v>3.0004768131184965</v>
      </c>
      <c r="Y20" s="304">
        <f>'Baseline Price'!AN19*'Baseline Consumption'!AN26</f>
        <v>3.0198638094785908</v>
      </c>
      <c r="Z20" s="304">
        <f>'Baseline Price'!AO19*'Baseline Consumption'!AO26</f>
        <v>3.0415385074207353</v>
      </c>
      <c r="AA20" s="304">
        <f>'Baseline Price'!AP19*'Baseline Consumption'!AP26</f>
        <v>3.0720618332039318</v>
      </c>
      <c r="AB20" s="304">
        <f>'Baseline Price'!AQ19*'Baseline Consumption'!AQ26</f>
        <v>3.1012711008324532</v>
      </c>
      <c r="AC20" s="304">
        <f>'Baseline Price'!AR19*'Baseline Consumption'!AR26</f>
        <v>3.1225160888624464</v>
      </c>
      <c r="AD20" s="304">
        <f>'Baseline Price'!AS19*'Baseline Consumption'!AS26</f>
        <v>3.1455785975387687</v>
      </c>
      <c r="AE20" s="304">
        <f>'Baseline Price'!AT19*'Baseline Consumption'!AT26</f>
        <v>3.1629926638475863</v>
      </c>
      <c r="AF20" s="304">
        <f>'Baseline Price'!AU19*'Baseline Consumption'!AU26</f>
        <v>3.1738294178440136</v>
      </c>
    </row>
    <row r="21" spans="1:32">
      <c r="A21" s="46" t="str">
        <f>'Adjusted expend'!A21</f>
        <v>Total</v>
      </c>
      <c r="B21" s="304">
        <f t="shared" ref="B21:V21" si="2">SUM(B16:B20)</f>
        <v>3.1941278283666024</v>
      </c>
      <c r="C21" s="304">
        <f t="shared" si="2"/>
        <v>3.0832983050591327</v>
      </c>
      <c r="D21" s="304">
        <f t="shared" si="2"/>
        <v>3.1532137352459251</v>
      </c>
      <c r="E21" s="304">
        <f t="shared" si="2"/>
        <v>3.1867002792965833</v>
      </c>
      <c r="F21" s="304">
        <f t="shared" si="2"/>
        <v>3.1943764877795027</v>
      </c>
      <c r="G21" s="304">
        <f t="shared" si="2"/>
        <v>3.3001333222711375</v>
      </c>
      <c r="H21" s="304">
        <f t="shared" si="2"/>
        <v>3.3435231407784807</v>
      </c>
      <c r="I21" s="304">
        <f t="shared" si="2"/>
        <v>3.3521645093619594</v>
      </c>
      <c r="J21" s="304">
        <f t="shared" si="2"/>
        <v>3.3639958593303634</v>
      </c>
      <c r="K21" s="304">
        <f t="shared" si="2"/>
        <v>3.55128590372993</v>
      </c>
      <c r="L21" s="304">
        <f t="shared" si="2"/>
        <v>3.6125720388822851</v>
      </c>
      <c r="M21" s="304">
        <f t="shared" si="2"/>
        <v>3.6984777390054839</v>
      </c>
      <c r="N21" s="304">
        <f t="shared" si="2"/>
        <v>3.7743701725047032</v>
      </c>
      <c r="O21" s="304">
        <f t="shared" si="2"/>
        <v>3.8281305339870979</v>
      </c>
      <c r="P21" s="304">
        <f t="shared" si="2"/>
        <v>3.8804098072749147</v>
      </c>
      <c r="Q21" s="304">
        <f t="shared" si="2"/>
        <v>3.9434357693058448</v>
      </c>
      <c r="R21" s="304">
        <f t="shared" si="2"/>
        <v>4.0247156960524357</v>
      </c>
      <c r="S21" s="304">
        <f t="shared" si="2"/>
        <v>4.0885634051101682</v>
      </c>
      <c r="T21" s="304">
        <f t="shared" si="2"/>
        <v>4.1344805661640285</v>
      </c>
      <c r="U21" s="304">
        <f t="shared" si="2"/>
        <v>4.1768047071427095</v>
      </c>
      <c r="V21" s="304">
        <f t="shared" si="2"/>
        <v>4.2156081053623691</v>
      </c>
      <c r="W21" s="304">
        <f t="shared" ref="W21:AF21" si="3">SUM(W16:W20)</f>
        <v>4.2716393384806715</v>
      </c>
      <c r="X21" s="304">
        <f t="shared" si="3"/>
        <v>4.3280832373416454</v>
      </c>
      <c r="Y21" s="304">
        <f t="shared" si="3"/>
        <v>4.3691055586440761</v>
      </c>
      <c r="Z21" s="304">
        <f t="shared" si="3"/>
        <v>4.412346080395289</v>
      </c>
      <c r="AA21" s="304">
        <f t="shared" si="3"/>
        <v>4.4667760919244603</v>
      </c>
      <c r="AB21" s="304">
        <f t="shared" si="3"/>
        <v>4.5184901023656332</v>
      </c>
      <c r="AC21" s="304">
        <f t="shared" si="3"/>
        <v>4.562998523998635</v>
      </c>
      <c r="AD21" s="304">
        <f t="shared" si="3"/>
        <v>4.6111782102746215</v>
      </c>
      <c r="AE21" s="304">
        <f t="shared" si="3"/>
        <v>4.6516532343291948</v>
      </c>
      <c r="AF21" s="304">
        <f t="shared" si="3"/>
        <v>4.6826030623474253</v>
      </c>
    </row>
    <row r="22" spans="1:32" s="40" customFormat="1">
      <c r="A22" s="46"/>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row>
    <row r="23" spans="1:32" s="5" customFormat="1" ht="13">
      <c r="A23" s="250" t="s">
        <v>78</v>
      </c>
      <c r="B23" s="380"/>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1"/>
    </row>
    <row r="24" spans="1:32" s="396" customFormat="1" ht="12.9" customHeight="1">
      <c r="A24" s="253" t="s">
        <v>6</v>
      </c>
      <c r="B24" s="253">
        <v>2020</v>
      </c>
      <c r="C24" s="253">
        <v>2021</v>
      </c>
      <c r="D24" s="253">
        <v>2022</v>
      </c>
      <c r="E24" s="253">
        <v>2023</v>
      </c>
      <c r="F24" s="253">
        <v>2024</v>
      </c>
      <c r="G24" s="253">
        <v>2025</v>
      </c>
      <c r="H24" s="253">
        <v>2026</v>
      </c>
      <c r="I24" s="253">
        <v>2027</v>
      </c>
      <c r="J24" s="253">
        <v>2028</v>
      </c>
      <c r="K24" s="253">
        <v>2029</v>
      </c>
      <c r="L24" s="253">
        <v>2030</v>
      </c>
      <c r="M24" s="253">
        <v>2031</v>
      </c>
      <c r="N24" s="253">
        <v>2032</v>
      </c>
      <c r="O24" s="253">
        <v>2033</v>
      </c>
      <c r="P24" s="253">
        <v>2034</v>
      </c>
      <c r="Q24" s="253">
        <v>2035</v>
      </c>
      <c r="R24" s="253">
        <v>2036</v>
      </c>
      <c r="S24" s="253">
        <v>2037</v>
      </c>
      <c r="T24" s="253">
        <v>2038</v>
      </c>
      <c r="U24" s="253">
        <v>2039</v>
      </c>
      <c r="V24" s="253">
        <v>2040</v>
      </c>
      <c r="W24" s="253">
        <v>2041</v>
      </c>
      <c r="X24" s="253">
        <v>2042</v>
      </c>
      <c r="Y24" s="253">
        <v>2043</v>
      </c>
      <c r="Z24" s="253">
        <v>2044</v>
      </c>
      <c r="AA24" s="253">
        <v>2045</v>
      </c>
      <c r="AB24" s="253">
        <v>2046</v>
      </c>
      <c r="AC24" s="253">
        <v>2047</v>
      </c>
      <c r="AD24" s="253">
        <v>2048</v>
      </c>
      <c r="AE24" s="253">
        <v>2049</v>
      </c>
      <c r="AF24" s="253">
        <v>2050</v>
      </c>
    </row>
    <row r="25" spans="1:32">
      <c r="A25" s="40" t="str">
        <f>'Adjusted expend'!A25</f>
        <v xml:space="preserve">   Liquefied Petroleum Gases</v>
      </c>
      <c r="B25" s="304">
        <f>'Baseline Price'!Q23*'Baseline Consumption'!Q31</f>
        <v>5.2844684567084181E-2</v>
      </c>
      <c r="C25" s="304">
        <f>'Baseline Price'!R23*'Baseline Consumption'!R31</f>
        <v>5.4274645301626477E-2</v>
      </c>
      <c r="D25" s="304">
        <f>'Baseline Price'!S23*'Baseline Consumption'!S31</f>
        <v>5.6750772692044635E-2</v>
      </c>
      <c r="E25" s="304">
        <f>'Baseline Price'!T23*'Baseline Consumption'!T31</f>
        <v>5.8493111321994376E-2</v>
      </c>
      <c r="F25" s="304">
        <f>'Baseline Price'!U23*'Baseline Consumption'!U31</f>
        <v>6.075348857796091E-2</v>
      </c>
      <c r="G25" s="304">
        <f>'Baseline Price'!V23*'Baseline Consumption'!V31</f>
        <v>6.3246690414684406E-2</v>
      </c>
      <c r="H25" s="304">
        <f>'Baseline Price'!W23*'Baseline Consumption'!W31</f>
        <v>6.5082541694798907E-2</v>
      </c>
      <c r="I25" s="304">
        <f>'Baseline Price'!X23*'Baseline Consumption'!X31</f>
        <v>6.6247222212651696E-2</v>
      </c>
      <c r="J25" s="304">
        <f>'Baseline Price'!Y23*'Baseline Consumption'!Y31</f>
        <v>6.7435225691520842E-2</v>
      </c>
      <c r="K25" s="304">
        <f>'Baseline Price'!Z23*'Baseline Consumption'!Z31</f>
        <v>6.8271675160222173E-2</v>
      </c>
      <c r="L25" s="304">
        <f>'Baseline Price'!AA23*'Baseline Consumption'!AA31</f>
        <v>6.8784405046114064E-2</v>
      </c>
      <c r="M25" s="304">
        <f>'Baseline Price'!AB23*'Baseline Consumption'!AB31</f>
        <v>6.9485786332782185E-2</v>
      </c>
      <c r="N25" s="304">
        <f>'Baseline Price'!AC23*'Baseline Consumption'!AC31</f>
        <v>7.0618711558181849E-2</v>
      </c>
      <c r="O25" s="304">
        <f>'Baseline Price'!AD23*'Baseline Consumption'!AD31</f>
        <v>7.1857819473829673E-2</v>
      </c>
      <c r="P25" s="304">
        <f>'Baseline Price'!AE23*'Baseline Consumption'!AE31</f>
        <v>7.3174489322180347E-2</v>
      </c>
      <c r="Q25" s="304">
        <f>'Baseline Price'!AF23*'Baseline Consumption'!AF31</f>
        <v>7.4395585073962725E-2</v>
      </c>
      <c r="R25" s="304">
        <f>'Baseline Price'!AG23*'Baseline Consumption'!AG31</f>
        <v>7.5606261506739811E-2</v>
      </c>
      <c r="S25" s="304">
        <f>'Baseline Price'!AH23*'Baseline Consumption'!AH31</f>
        <v>7.6590615693872391E-2</v>
      </c>
      <c r="T25" s="304">
        <f>'Baseline Price'!AI23*'Baseline Consumption'!AI31</f>
        <v>7.7487184826792829E-2</v>
      </c>
      <c r="U25" s="304">
        <f>'Baseline Price'!AJ23*'Baseline Consumption'!AJ31</f>
        <v>7.8323927495765708E-2</v>
      </c>
      <c r="V25" s="304">
        <f>'Baseline Price'!AK23*'Baseline Consumption'!AK31</f>
        <v>7.9305808793597096E-2</v>
      </c>
      <c r="W25" s="304">
        <f>'Baseline Price'!AL23*'Baseline Consumption'!AL31</f>
        <v>8.0138104996439877E-2</v>
      </c>
      <c r="X25" s="304">
        <f>'Baseline Price'!AM23*'Baseline Consumption'!AM31</f>
        <v>8.0916919874878854E-2</v>
      </c>
      <c r="Y25" s="304">
        <f>'Baseline Price'!AN23*'Baseline Consumption'!AN31</f>
        <v>8.1836806725525013E-2</v>
      </c>
      <c r="Z25" s="304">
        <f>'Baseline Price'!AO23*'Baseline Consumption'!AO31</f>
        <v>8.286703947248672E-2</v>
      </c>
      <c r="AA25" s="304">
        <f>'Baseline Price'!AP23*'Baseline Consumption'!AP31</f>
        <v>8.3734955173571587E-2</v>
      </c>
      <c r="AB25" s="304">
        <f>'Baseline Price'!AQ23*'Baseline Consumption'!AQ31</f>
        <v>8.4543771758310807E-2</v>
      </c>
      <c r="AC25" s="304">
        <f>'Baseline Price'!AR23*'Baseline Consumption'!AR31</f>
        <v>8.5313198009392271E-2</v>
      </c>
      <c r="AD25" s="304">
        <f>'Baseline Price'!AS23*'Baseline Consumption'!AS31</f>
        <v>8.6079373837235448E-2</v>
      </c>
      <c r="AE25" s="304">
        <f>'Baseline Price'!AT23*'Baseline Consumption'!AT31</f>
        <v>8.6531252098692793E-2</v>
      </c>
      <c r="AF25" s="304">
        <f>'Baseline Price'!AU23*'Baseline Consumption'!AU31</f>
        <v>8.6777952821499166E-2</v>
      </c>
    </row>
    <row r="26" spans="1:32">
      <c r="A26" s="46" t="str">
        <f>'Adjusted expend'!A26</f>
        <v>Motor gas</v>
      </c>
      <c r="B26" s="304">
        <f>'Baseline Price'!Q36*'Baseline Consumption'!Q19</f>
        <v>1.3623476690955507E-2</v>
      </c>
      <c r="C26" s="304">
        <f>'Baseline Price'!R36*'Baseline Consumption'!R19</f>
        <v>1.4378524677866909E-2</v>
      </c>
      <c r="D26" s="304">
        <f>'Baseline Price'!S36*'Baseline Consumption'!S19</f>
        <v>1.4701253499625592E-2</v>
      </c>
      <c r="E26" s="304">
        <f>'Baseline Price'!T36*'Baseline Consumption'!T19</f>
        <v>1.495528257084533E-2</v>
      </c>
      <c r="F26" s="304">
        <f>'Baseline Price'!U36*'Baseline Consumption'!U19</f>
        <v>1.6563234788833696E-2</v>
      </c>
      <c r="G26" s="304">
        <f>'Baseline Price'!V36*'Baseline Consumption'!V19</f>
        <v>1.6596348022363872E-2</v>
      </c>
      <c r="H26" s="304">
        <f>'Baseline Price'!W36*'Baseline Consumption'!W19</f>
        <v>1.6647280197508284E-2</v>
      </c>
      <c r="I26" s="304">
        <f>'Baseline Price'!X36*'Baseline Consumption'!X19</f>
        <v>1.6734100409371108E-2</v>
      </c>
      <c r="J26" s="304">
        <f>'Baseline Price'!Y36*'Baseline Consumption'!Y19</f>
        <v>1.6885126341211257E-2</v>
      </c>
      <c r="K26" s="304">
        <f>'Baseline Price'!Z36*'Baseline Consumption'!Z19</f>
        <v>1.7223465357137039E-2</v>
      </c>
      <c r="L26" s="304">
        <f>'Baseline Price'!AA36*'Baseline Consumption'!AA19</f>
        <v>1.7297633041763145E-2</v>
      </c>
      <c r="M26" s="304">
        <f>'Baseline Price'!AB36*'Baseline Consumption'!AB19</f>
        <v>1.7489603500989059E-2</v>
      </c>
      <c r="N26" s="304">
        <f>'Baseline Price'!AC36*'Baseline Consumption'!AC19</f>
        <v>1.7562699686272207E-2</v>
      </c>
      <c r="O26" s="304">
        <f>'Baseline Price'!AD36*'Baseline Consumption'!AD19</f>
        <v>1.7594501540213418E-2</v>
      </c>
      <c r="P26" s="304">
        <f>'Baseline Price'!AE36*'Baseline Consumption'!AE19</f>
        <v>1.7691553903040658E-2</v>
      </c>
      <c r="Q26" s="304">
        <f>'Baseline Price'!AF36*'Baseline Consumption'!AF19</f>
        <v>1.7766076528244901E-2</v>
      </c>
      <c r="R26" s="304">
        <f>'Baseline Price'!AG36*'Baseline Consumption'!AG19</f>
        <v>1.7784608946650786E-2</v>
      </c>
      <c r="S26" s="304">
        <f>'Baseline Price'!AH36*'Baseline Consumption'!AH19</f>
        <v>1.7997724310216567E-2</v>
      </c>
      <c r="T26" s="304">
        <f>'Baseline Price'!AI36*'Baseline Consumption'!AI19</f>
        <v>1.8053900462730244E-2</v>
      </c>
      <c r="U26" s="304">
        <f>'Baseline Price'!AJ36*'Baseline Consumption'!AJ19</f>
        <v>1.8160749904641039E-2</v>
      </c>
      <c r="V26" s="304">
        <f>'Baseline Price'!AK36*'Baseline Consumption'!AK19</f>
        <v>1.8285215391598247E-2</v>
      </c>
      <c r="W26" s="304">
        <f>'Baseline Price'!AL36*'Baseline Consumption'!AL19</f>
        <v>1.8380670778654993E-2</v>
      </c>
      <c r="X26" s="304">
        <f>'Baseline Price'!AM36*'Baseline Consumption'!AM19</f>
        <v>1.8451170401532258E-2</v>
      </c>
      <c r="Y26" s="304">
        <f>'Baseline Price'!AN36*'Baseline Consumption'!AN19</f>
        <v>1.8494783917693689E-2</v>
      </c>
      <c r="Z26" s="304">
        <f>'Baseline Price'!AO36*'Baseline Consumption'!AO19</f>
        <v>1.8536714676497718E-2</v>
      </c>
      <c r="AA26" s="304">
        <f>'Baseline Price'!AP36*'Baseline Consumption'!AP19</f>
        <v>1.860380306872465E-2</v>
      </c>
      <c r="AB26" s="304">
        <f>'Baseline Price'!AQ36*'Baseline Consumption'!AQ19</f>
        <v>1.8553995300129491E-2</v>
      </c>
      <c r="AC26" s="304">
        <f>'Baseline Price'!AR36*'Baseline Consumption'!AR19</f>
        <v>1.862676787822852E-2</v>
      </c>
      <c r="AD26" s="304">
        <f>'Baseline Price'!AS36*'Baseline Consumption'!AS19</f>
        <v>1.8726971044972219E-2</v>
      </c>
      <c r="AE26" s="304">
        <f>'Baseline Price'!AT36*'Baseline Consumption'!AT19</f>
        <v>1.8749798706669485E-2</v>
      </c>
      <c r="AF26" s="304">
        <f>'Baseline Price'!AU36*'Baseline Consumption'!AU19</f>
        <v>1.8805947121424523E-2</v>
      </c>
    </row>
    <row r="27" spans="1:32">
      <c r="A27" s="40" t="str">
        <f>'Adjusted expend'!A27</f>
        <v xml:space="preserve">   Distillate Fuel Oil</v>
      </c>
      <c r="B27" s="304">
        <f>'Baseline Price'!Q24*'Baseline Consumption'!Q33</f>
        <v>0.41456227736182544</v>
      </c>
      <c r="C27" s="304">
        <f>'Baseline Price'!R24*'Baseline Consumption'!R33</f>
        <v>0.41006716661549919</v>
      </c>
      <c r="D27" s="304">
        <f>'Baseline Price'!S24*'Baseline Consumption'!S33</f>
        <v>0.40409145354842146</v>
      </c>
      <c r="E27" s="304">
        <f>'Baseline Price'!T24*'Baseline Consumption'!T33</f>
        <v>0.40318878774785105</v>
      </c>
      <c r="F27" s="304">
        <f>'Baseline Price'!U24*'Baseline Consumption'!U33</f>
        <v>0.41004968816231158</v>
      </c>
      <c r="G27" s="304">
        <f>'Baseline Price'!V24*'Baseline Consumption'!V33</f>
        <v>0.42408064342404245</v>
      </c>
      <c r="H27" s="304">
        <f>'Baseline Price'!W24*'Baseline Consumption'!W33</f>
        <v>0.43564705024068551</v>
      </c>
      <c r="I27" s="304">
        <f>'Baseline Price'!X24*'Baseline Consumption'!X33</f>
        <v>0.45189502706942114</v>
      </c>
      <c r="J27" s="304">
        <f>'Baseline Price'!Y24*'Baseline Consumption'!Y33</f>
        <v>0.46115358432163223</v>
      </c>
      <c r="K27" s="304">
        <f>'Baseline Price'!Z24*'Baseline Consumption'!Z33</f>
        <v>0.47624411595062444</v>
      </c>
      <c r="L27" s="304">
        <f>'Baseline Price'!AA24*'Baseline Consumption'!AA33</f>
        <v>0.48312799282977276</v>
      </c>
      <c r="M27" s="304">
        <f>'Baseline Price'!AB24*'Baseline Consumption'!AB33</f>
        <v>0.49286480072481903</v>
      </c>
      <c r="N27" s="304">
        <f>'Baseline Price'!AC24*'Baseline Consumption'!AC33</f>
        <v>0.50419828329909044</v>
      </c>
      <c r="O27" s="304">
        <f>'Baseline Price'!AD24*'Baseline Consumption'!AD33</f>
        <v>0.51407512366426023</v>
      </c>
      <c r="P27" s="304">
        <f>'Baseline Price'!AE24*'Baseline Consumption'!AE33</f>
        <v>0.52072034676298085</v>
      </c>
      <c r="Q27" s="304">
        <f>'Baseline Price'!AF24*'Baseline Consumption'!AF33</f>
        <v>0.53221213253853128</v>
      </c>
      <c r="R27" s="304">
        <f>'Baseline Price'!AG24*'Baseline Consumption'!AG33</f>
        <v>0.54620989076852489</v>
      </c>
      <c r="S27" s="304">
        <f>'Baseline Price'!AH24*'Baseline Consumption'!AH33</f>
        <v>0.55042517503115351</v>
      </c>
      <c r="T27" s="304">
        <f>'Baseline Price'!AI24*'Baseline Consumption'!AI33</f>
        <v>0.56219527478743359</v>
      </c>
      <c r="U27" s="304">
        <f>'Baseline Price'!AJ24*'Baseline Consumption'!AJ33</f>
        <v>0.57217568263533924</v>
      </c>
      <c r="V27" s="304">
        <f>'Baseline Price'!AK24*'Baseline Consumption'!AK33</f>
        <v>0.58166541280961126</v>
      </c>
      <c r="W27" s="304">
        <f>'Baseline Price'!AL24*'Baseline Consumption'!AL33</f>
        <v>0.59131241239143384</v>
      </c>
      <c r="X27" s="304">
        <f>'Baseline Price'!AM24*'Baseline Consumption'!AM33</f>
        <v>0.60397374081005806</v>
      </c>
      <c r="Y27" s="304">
        <f>'Baseline Price'!AN24*'Baseline Consumption'!AN33</f>
        <v>0.61004911088705593</v>
      </c>
      <c r="Z27" s="304">
        <f>'Baseline Price'!AO24*'Baseline Consumption'!AO33</f>
        <v>0.61517891686304704</v>
      </c>
      <c r="AA27" s="304">
        <f>'Baseline Price'!AP24*'Baseline Consumption'!AP33</f>
        <v>0.62304206088658975</v>
      </c>
      <c r="AB27" s="304">
        <f>'Baseline Price'!AQ24*'Baseline Consumption'!AQ33</f>
        <v>0.62922276206662098</v>
      </c>
      <c r="AC27" s="304">
        <f>'Baseline Price'!AR24*'Baseline Consumption'!AR33</f>
        <v>0.63412004845742909</v>
      </c>
      <c r="AD27" s="304">
        <f>'Baseline Price'!AS24*'Baseline Consumption'!AS33</f>
        <v>0.64390084609791987</v>
      </c>
      <c r="AE27" s="304">
        <f>'Baseline Price'!AT24*'Baseline Consumption'!AT33</f>
        <v>0.64850000743648617</v>
      </c>
      <c r="AF27" s="304">
        <f>'Baseline Price'!AU24*'Baseline Consumption'!AU33</f>
        <v>0.65514013998149523</v>
      </c>
    </row>
    <row r="28" spans="1:32">
      <c r="A28" s="40" t="str">
        <f>'Adjusted expend'!A28</f>
        <v xml:space="preserve">   Residual Fuel Oil</v>
      </c>
      <c r="B28" s="304">
        <f>'Baseline Price'!Q25*'Baseline Consumption'!Q34</f>
        <v>3.5906489515645447E-3</v>
      </c>
      <c r="C28" s="304">
        <f>'Baseline Price'!R25*'Baseline Consumption'!R34</f>
        <v>3.8363612037506868E-3</v>
      </c>
      <c r="D28" s="304">
        <f>'Baseline Price'!S25*'Baseline Consumption'!S34</f>
        <v>3.967347640700971E-3</v>
      </c>
      <c r="E28" s="304">
        <f>'Baseline Price'!T25*'Baseline Consumption'!T34</f>
        <v>4.2297301924040832E-3</v>
      </c>
      <c r="F28" s="304">
        <f>'Baseline Price'!U25*'Baseline Consumption'!U34</f>
        <v>4.5639791882050012E-3</v>
      </c>
      <c r="G28" s="304">
        <f>'Baseline Price'!V25*'Baseline Consumption'!V34</f>
        <v>4.7557305253938505E-3</v>
      </c>
      <c r="H28" s="304">
        <f>'Baseline Price'!W25*'Baseline Consumption'!W34</f>
        <v>5.013649897747636E-3</v>
      </c>
      <c r="I28" s="304">
        <f>'Baseline Price'!X25*'Baseline Consumption'!X34</f>
        <v>5.2932627882289239E-3</v>
      </c>
      <c r="J28" s="304">
        <f>'Baseline Price'!Y25*'Baseline Consumption'!Y34</f>
        <v>5.4161609296505325E-3</v>
      </c>
      <c r="K28" s="304">
        <f>'Baseline Price'!Z25*'Baseline Consumption'!Z34</f>
        <v>5.6258700084868031E-3</v>
      </c>
      <c r="L28" s="304">
        <f>'Baseline Price'!AA25*'Baseline Consumption'!AA34</f>
        <v>5.6712698653145826E-3</v>
      </c>
      <c r="M28" s="304">
        <f>'Baseline Price'!AB25*'Baseline Consumption'!AB34</f>
        <v>5.7785922215369866E-3</v>
      </c>
      <c r="N28" s="304">
        <f>'Baseline Price'!AC25*'Baseline Consumption'!AC34</f>
        <v>5.8868806976899411E-3</v>
      </c>
      <c r="O28" s="304">
        <f>'Baseline Price'!AD25*'Baseline Consumption'!AD34</f>
        <v>5.9581247062615705E-3</v>
      </c>
      <c r="P28" s="304">
        <f>'Baseline Price'!AE25*'Baseline Consumption'!AE34</f>
        <v>6.0118918198567494E-3</v>
      </c>
      <c r="Q28" s="304">
        <f>'Baseline Price'!AF25*'Baseline Consumption'!AF34</f>
        <v>6.0965277851780329E-3</v>
      </c>
      <c r="R28" s="304">
        <f>'Baseline Price'!AG25*'Baseline Consumption'!AG34</f>
        <v>6.2222838264576362E-3</v>
      </c>
      <c r="S28" s="304">
        <f>'Baseline Price'!AH25*'Baseline Consumption'!AH34</f>
        <v>6.2943427041268988E-3</v>
      </c>
      <c r="T28" s="304">
        <f>'Baseline Price'!AI25*'Baseline Consumption'!AI34</f>
        <v>6.3400110590700167E-3</v>
      </c>
      <c r="U28" s="304">
        <f>'Baseline Price'!AJ25*'Baseline Consumption'!AJ34</f>
        <v>6.4006696715193231E-3</v>
      </c>
      <c r="V28" s="304">
        <f>'Baseline Price'!AK25*'Baseline Consumption'!AK34</f>
        <v>6.4491961575646722E-3</v>
      </c>
      <c r="W28" s="304">
        <f>'Baseline Price'!AL25*'Baseline Consumption'!AL34</f>
        <v>6.4877315427090982E-3</v>
      </c>
      <c r="X28" s="304">
        <f>'Baseline Price'!AM25*'Baseline Consumption'!AM34</f>
        <v>6.6165940490414219E-3</v>
      </c>
      <c r="Y28" s="304">
        <f>'Baseline Price'!AN25*'Baseline Consumption'!AN34</f>
        <v>6.5955437842461218E-3</v>
      </c>
      <c r="Z28" s="304">
        <f>'Baseline Price'!AO25*'Baseline Consumption'!AO34</f>
        <v>6.536072344366743E-3</v>
      </c>
      <c r="AA28" s="304">
        <f>'Baseline Price'!AP25*'Baseline Consumption'!AP34</f>
        <v>6.5180004666736844E-3</v>
      </c>
      <c r="AB28" s="304">
        <f>'Baseline Price'!AQ25*'Baseline Consumption'!AQ34</f>
        <v>6.5025686112734644E-3</v>
      </c>
      <c r="AC28" s="304">
        <f>'Baseline Price'!AR25*'Baseline Consumption'!AR34</f>
        <v>6.4868830322503037E-3</v>
      </c>
      <c r="AD28" s="304">
        <f>'Baseline Price'!AS25*'Baseline Consumption'!AS34</f>
        <v>6.4703955884667244E-3</v>
      </c>
      <c r="AE28" s="304">
        <f>'Baseline Price'!AT25*'Baseline Consumption'!AT34</f>
        <v>6.4241998072594626E-3</v>
      </c>
      <c r="AF28" s="304">
        <f>'Baseline Price'!AU25*'Baseline Consumption'!AU34</f>
        <v>6.4098151758359726E-3</v>
      </c>
    </row>
    <row r="29" spans="1:32" s="24" customFormat="1">
      <c r="A29" s="46" t="str">
        <f>'Adjusted expend'!A29</f>
        <v>Other petroleum</v>
      </c>
      <c r="B29" s="304">
        <f>'Baseline Price'!Q25*'Baseline Consumption'!Q36</f>
        <v>0.80535405648049252</v>
      </c>
      <c r="C29" s="304">
        <f>'Baseline Price'!R25*'Baseline Consumption'!R36</f>
        <v>0.79806082890875085</v>
      </c>
      <c r="D29" s="304">
        <f>'Baseline Price'!S25*'Baseline Consumption'!S36</f>
        <v>0.77351869903808756</v>
      </c>
      <c r="E29" s="304">
        <f>'Baseline Price'!T25*'Baseline Consumption'!T36</f>
        <v>0.78183483010735955</v>
      </c>
      <c r="F29" s="304">
        <f>'Baseline Price'!U25*'Baseline Consumption'!U36</f>
        <v>0.82256932890275147</v>
      </c>
      <c r="G29" s="304">
        <f>'Baseline Price'!V25*'Baseline Consumption'!V36</f>
        <v>0.84709738941472112</v>
      </c>
      <c r="H29" s="304">
        <f>'Baseline Price'!W25*'Baseline Consumption'!W36</f>
        <v>0.85060641557803407</v>
      </c>
      <c r="I29" s="304">
        <f>'Baseline Price'!X25*'Baseline Consumption'!X36</f>
        <v>0.86155900675796615</v>
      </c>
      <c r="J29" s="304">
        <f>'Baseline Price'!Y25*'Baseline Consumption'!Y36</f>
        <v>0.88499800608110957</v>
      </c>
      <c r="K29" s="304">
        <f>'Baseline Price'!Z25*'Baseline Consumption'!Z36</f>
        <v>0.91140791312050973</v>
      </c>
      <c r="L29" s="304">
        <f>'Baseline Price'!AA25*'Baseline Consumption'!AA36</f>
        <v>0.91827447509100624</v>
      </c>
      <c r="M29" s="304">
        <f>'Baseline Price'!AB25*'Baseline Consumption'!AB36</f>
        <v>0.93612929637355335</v>
      </c>
      <c r="N29" s="304">
        <f>'Baseline Price'!AC25*'Baseline Consumption'!AC36</f>
        <v>0.96435209367116814</v>
      </c>
      <c r="O29" s="304">
        <f>'Baseline Price'!AD25*'Baseline Consumption'!AD36</f>
        <v>0.99846944362797785</v>
      </c>
      <c r="P29" s="304">
        <f>'Baseline Price'!AE25*'Baseline Consumption'!AE36</f>
        <v>1.0379733417860775</v>
      </c>
      <c r="Q29" s="304">
        <f>'Baseline Price'!AF25*'Baseline Consumption'!AF36</f>
        <v>1.0564951075138391</v>
      </c>
      <c r="R29" s="304">
        <f>'Baseline Price'!AG25*'Baseline Consumption'!AG36</f>
        <v>1.0613920646809825</v>
      </c>
      <c r="S29" s="304">
        <f>'Baseline Price'!AH25*'Baseline Consumption'!AH36</f>
        <v>1.071412236410513</v>
      </c>
      <c r="T29" s="304">
        <f>'Baseline Price'!AI25*'Baseline Consumption'!AI36</f>
        <v>1.0817018993787573</v>
      </c>
      <c r="U29" s="304">
        <f>'Baseline Price'!AJ25*'Baseline Consumption'!AJ36</f>
        <v>1.1271218979372146</v>
      </c>
      <c r="V29" s="304">
        <f>'Baseline Price'!AK25*'Baseline Consumption'!AK36</f>
        <v>1.1307847892336396</v>
      </c>
      <c r="W29" s="304">
        <f>'Baseline Price'!AL25*'Baseline Consumption'!AL36</f>
        <v>1.1524023258947336</v>
      </c>
      <c r="X29" s="304">
        <f>'Baseline Price'!AM25*'Baseline Consumption'!AM36</f>
        <v>1.1846680905157692</v>
      </c>
      <c r="Y29" s="304">
        <f>'Baseline Price'!AN25*'Baseline Consumption'!AN36</f>
        <v>1.2051761460673212</v>
      </c>
      <c r="Z29" s="304">
        <f>'Baseline Price'!AO25*'Baseline Consumption'!AO36</f>
        <v>1.193600656602021</v>
      </c>
      <c r="AA29" s="304">
        <f>'Baseline Price'!AP25*'Baseline Consumption'!AP36</f>
        <v>1.2270072021925063</v>
      </c>
      <c r="AB29" s="304">
        <f>'Baseline Price'!AQ25*'Baseline Consumption'!AQ36</f>
        <v>1.2376928566704035</v>
      </c>
      <c r="AC29" s="304">
        <f>'Baseline Price'!AR25*'Baseline Consumption'!AR36</f>
        <v>1.2483654099843102</v>
      </c>
      <c r="AD29" s="304">
        <f>'Baseline Price'!AS25*'Baseline Consumption'!AS36</f>
        <v>1.2604460549580176</v>
      </c>
      <c r="AE29" s="304">
        <f>'Baseline Price'!AT25*'Baseline Consumption'!AT36</f>
        <v>1.2693769154286603</v>
      </c>
      <c r="AF29" s="304">
        <f>'Baseline Price'!AU25*'Baseline Consumption'!AU36</f>
        <v>1.3011320154691743</v>
      </c>
    </row>
    <row r="30" spans="1:32">
      <c r="A30" s="40" t="str">
        <f>'Adjusted expend'!A30</f>
        <v xml:space="preserve">   Natural Gas 2/</v>
      </c>
      <c r="B30" s="304">
        <f>'Baseline Price'!Q26*'Baseline Consumption'!Q40</f>
        <v>0.38073049011338983</v>
      </c>
      <c r="C30" s="304">
        <f>'Baseline Price'!R26*'Baseline Consumption'!R40</f>
        <v>0.37650300631995243</v>
      </c>
      <c r="D30" s="304">
        <f>'Baseline Price'!S26*'Baseline Consumption'!S40</f>
        <v>0.38659429058392719</v>
      </c>
      <c r="E30" s="304">
        <f>'Baseline Price'!T26*'Baseline Consumption'!T40</f>
        <v>0.40073085716538998</v>
      </c>
      <c r="F30" s="304">
        <f>'Baseline Price'!U26*'Baseline Consumption'!U40</f>
        <v>0.45095537322141854</v>
      </c>
      <c r="G30" s="304">
        <f>'Baseline Price'!V26*'Baseline Consumption'!V40</f>
        <v>0.47532863963050226</v>
      </c>
      <c r="H30" s="304">
        <f>'Baseline Price'!W26*'Baseline Consumption'!W40</f>
        <v>0.50549991614084633</v>
      </c>
      <c r="I30" s="304">
        <f>'Baseline Price'!X26*'Baseline Consumption'!X40</f>
        <v>0.50027351542612408</v>
      </c>
      <c r="J30" s="304">
        <f>'Baseline Price'!Y26*'Baseline Consumption'!Y40</f>
        <v>0.51558341452103618</v>
      </c>
      <c r="K30" s="304">
        <f>'Baseline Price'!Z26*'Baseline Consumption'!Z40</f>
        <v>0.48960845045201162</v>
      </c>
      <c r="L30" s="304">
        <f>'Baseline Price'!AA26*'Baseline Consumption'!AA40</f>
        <v>0.49785724136641479</v>
      </c>
      <c r="M30" s="304">
        <f>'Baseline Price'!AB26*'Baseline Consumption'!AB40</f>
        <v>0.49548783837377069</v>
      </c>
      <c r="N30" s="304">
        <f>'Baseline Price'!AC26*'Baseline Consumption'!AC40</f>
        <v>0.50470884624358603</v>
      </c>
      <c r="O30" s="304">
        <f>'Baseline Price'!AD26*'Baseline Consumption'!AD40</f>
        <v>0.51036420290171602</v>
      </c>
      <c r="P30" s="304">
        <f>'Baseline Price'!AE26*'Baseline Consumption'!AE40</f>
        <v>0.52041445403926256</v>
      </c>
      <c r="Q30" s="304">
        <f>'Baseline Price'!AF26*'Baseline Consumption'!AF40</f>
        <v>0.5246985010752343</v>
      </c>
      <c r="R30" s="304">
        <f>'Baseline Price'!AG26*'Baseline Consumption'!AG40</f>
        <v>0.5345574739755854</v>
      </c>
      <c r="S30" s="304">
        <f>'Baseline Price'!AH26*'Baseline Consumption'!AH40</f>
        <v>0.54074722465521585</v>
      </c>
      <c r="T30" s="304">
        <f>'Baseline Price'!AI26*'Baseline Consumption'!AI40</f>
        <v>0.54915148272636194</v>
      </c>
      <c r="U30" s="304">
        <f>'Baseline Price'!AJ26*'Baseline Consumption'!AJ40</f>
        <v>0.55476988612793399</v>
      </c>
      <c r="V30" s="304">
        <f>'Baseline Price'!AK26*'Baseline Consumption'!AK40</f>
        <v>0.56550145620461567</v>
      </c>
      <c r="W30" s="304">
        <f>'Baseline Price'!AL26*'Baseline Consumption'!AL40</f>
        <v>0.57270560362937106</v>
      </c>
      <c r="X30" s="304">
        <f>'Baseline Price'!AM26*'Baseline Consumption'!AM40</f>
        <v>0.57775109177042661</v>
      </c>
      <c r="Y30" s="304">
        <f>'Baseline Price'!AN26*'Baseline Consumption'!AN40</f>
        <v>0.5913953641559152</v>
      </c>
      <c r="Z30" s="304">
        <f>'Baseline Price'!AO26*'Baseline Consumption'!AO40</f>
        <v>0.61171793673165287</v>
      </c>
      <c r="AA30" s="304">
        <f>'Baseline Price'!AP26*'Baseline Consumption'!AP40</f>
        <v>0.63854828340964931</v>
      </c>
      <c r="AB30" s="304">
        <f>'Baseline Price'!AQ26*'Baseline Consumption'!AQ40</f>
        <v>0.64956206796646287</v>
      </c>
      <c r="AC30" s="304">
        <f>'Baseline Price'!AR26*'Baseline Consumption'!AR40</f>
        <v>0.66830713751214288</v>
      </c>
      <c r="AD30" s="304">
        <f>'Baseline Price'!AS26*'Baseline Consumption'!AS40</f>
        <v>0.69318432426009557</v>
      </c>
      <c r="AE30" s="304">
        <f>'Baseline Price'!AT26*'Baseline Consumption'!AT40</f>
        <v>0.71248889794987513</v>
      </c>
      <c r="AF30" s="304">
        <f>'Baseline Price'!AU26*'Baseline Consumption'!AU40</f>
        <v>0.72895429654533905</v>
      </c>
    </row>
    <row r="31" spans="1:32">
      <c r="A31" s="40" t="str">
        <f>'Adjusted expend'!A31</f>
        <v xml:space="preserve">   Metallurgical Coal</v>
      </c>
      <c r="B31" s="304">
        <f>'Baseline Price'!Q28*'Baseline Consumption'!Q42</f>
        <v>7.5028879510959283E-3</v>
      </c>
      <c r="C31" s="304">
        <f>'Baseline Price'!R28*'Baseline Consumption'!R42</f>
        <v>7.6369093866218646E-3</v>
      </c>
      <c r="D31" s="304">
        <f>'Baseline Price'!S28*'Baseline Consumption'!S42</f>
        <v>7.7276854382805626E-3</v>
      </c>
      <c r="E31" s="304">
        <f>'Baseline Price'!T28*'Baseline Consumption'!T42</f>
        <v>7.7909273544247678E-3</v>
      </c>
      <c r="F31" s="304">
        <f>'Baseline Price'!U28*'Baseline Consumption'!U42</f>
        <v>7.870188958373504E-3</v>
      </c>
      <c r="G31" s="304">
        <f>'Baseline Price'!V28*'Baseline Consumption'!V42</f>
        <v>7.9654606149749813E-3</v>
      </c>
      <c r="H31" s="304">
        <f>'Baseline Price'!W28*'Baseline Consumption'!W42</f>
        <v>7.9769104118631445E-3</v>
      </c>
      <c r="I31" s="304">
        <f>'Baseline Price'!X28*'Baseline Consumption'!X42</f>
        <v>7.9673256625017817E-3</v>
      </c>
      <c r="J31" s="304">
        <f>'Baseline Price'!Y28*'Baseline Consumption'!Y42</f>
        <v>7.9464717543807472E-3</v>
      </c>
      <c r="K31" s="304">
        <f>'Baseline Price'!Z28*'Baseline Consumption'!Z42</f>
        <v>7.9337066615781347E-3</v>
      </c>
      <c r="L31" s="304">
        <f>'Baseline Price'!AA28*'Baseline Consumption'!AA42</f>
        <v>7.8762955357748517E-3</v>
      </c>
      <c r="M31" s="304">
        <f>'Baseline Price'!AB28*'Baseline Consumption'!AB42</f>
        <v>7.8128898623768817E-3</v>
      </c>
      <c r="N31" s="304">
        <f>'Baseline Price'!AC28*'Baseline Consumption'!AC42</f>
        <v>7.7017511381067055E-3</v>
      </c>
      <c r="O31" s="304">
        <f>'Baseline Price'!AD28*'Baseline Consumption'!AD42</f>
        <v>7.6204197992905563E-3</v>
      </c>
      <c r="P31" s="304">
        <f>'Baseline Price'!AE28*'Baseline Consumption'!AE42</f>
        <v>7.564597689038278E-3</v>
      </c>
      <c r="Q31" s="304">
        <f>'Baseline Price'!AF28*'Baseline Consumption'!AF42</f>
        <v>7.4785905167685431E-3</v>
      </c>
      <c r="R31" s="304">
        <f>'Baseline Price'!AG28*'Baseline Consumption'!AG42</f>
        <v>7.4789101197329979E-3</v>
      </c>
      <c r="S31" s="304">
        <f>'Baseline Price'!AH28*'Baseline Consumption'!AH42</f>
        <v>7.474628192430657E-3</v>
      </c>
      <c r="T31" s="304">
        <f>'Baseline Price'!AI28*'Baseline Consumption'!AI42</f>
        <v>7.4866107765812354E-3</v>
      </c>
      <c r="U31" s="304">
        <f>'Baseline Price'!AJ28*'Baseline Consumption'!AJ42</f>
        <v>7.490172143590523E-3</v>
      </c>
      <c r="V31" s="304">
        <f>'Baseline Price'!AK28*'Baseline Consumption'!AK42</f>
        <v>7.5027314656508038E-3</v>
      </c>
      <c r="W31" s="304">
        <f>'Baseline Price'!AL28*'Baseline Consumption'!AL42</f>
        <v>7.5241452335049084E-3</v>
      </c>
      <c r="X31" s="304">
        <f>'Baseline Price'!AM28*'Baseline Consumption'!AM42</f>
        <v>7.5362283710770101E-3</v>
      </c>
      <c r="Y31" s="304">
        <f>'Baseline Price'!AN28*'Baseline Consumption'!AN42</f>
        <v>7.555793162768415E-3</v>
      </c>
      <c r="Z31" s="304">
        <f>'Baseline Price'!AO28*'Baseline Consumption'!AO42</f>
        <v>7.581485954905153E-3</v>
      </c>
      <c r="AA31" s="304">
        <f>'Baseline Price'!AP28*'Baseline Consumption'!AP42</f>
        <v>7.6229898608068921E-3</v>
      </c>
      <c r="AB31" s="304">
        <f>'Baseline Price'!AQ28*'Baseline Consumption'!AQ42</f>
        <v>7.6639585892605616E-3</v>
      </c>
      <c r="AC31" s="304">
        <f>'Baseline Price'!AR28*'Baseline Consumption'!AR42</f>
        <v>7.6979767353906855E-3</v>
      </c>
      <c r="AD31" s="304">
        <f>'Baseline Price'!AS28*'Baseline Consumption'!AS42</f>
        <v>7.7429714852770273E-3</v>
      </c>
      <c r="AE31" s="304">
        <f>'Baseline Price'!AT28*'Baseline Consumption'!AT42</f>
        <v>7.7920013036921936E-3</v>
      </c>
      <c r="AF31" s="304">
        <f>'Baseline Price'!AU28*'Baseline Consumption'!AU42</f>
        <v>7.8355327402027074E-3</v>
      </c>
    </row>
    <row r="32" spans="1:32">
      <c r="A32" s="40" t="str">
        <f>'Adjusted expend'!A32</f>
        <v xml:space="preserve">   Other Industrial Coal</v>
      </c>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row>
    <row r="33" spans="1:32">
      <c r="A33" s="40" t="str">
        <f>'Adjusted expend'!A33</f>
        <v xml:space="preserve">   Coal to Liquids</v>
      </c>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row>
    <row r="34" spans="1:32">
      <c r="A34" s="40" t="str">
        <f>'Adjusted expend'!A34</f>
        <v xml:space="preserve">   Electricity</v>
      </c>
      <c r="B34" s="304">
        <f>'Baseline Price'!Q30*'Baseline Consumption'!Q48</f>
        <v>0.96352378455434617</v>
      </c>
      <c r="C34" s="304">
        <f>'Baseline Price'!R30*'Baseline Consumption'!R48</f>
        <v>0.93432834887855853</v>
      </c>
      <c r="D34" s="304">
        <f>'Baseline Price'!S30*'Baseline Consumption'!S48</f>
        <v>1.0035375726783502</v>
      </c>
      <c r="E34" s="304">
        <f>'Baseline Price'!T30*'Baseline Consumption'!T48</f>
        <v>1.0266149838952121</v>
      </c>
      <c r="F34" s="304">
        <f>'Baseline Price'!U30*'Baseline Consumption'!U48</f>
        <v>1.0411973748536203</v>
      </c>
      <c r="G34" s="304">
        <f>'Baseline Price'!V30*'Baseline Consumption'!V48</f>
        <v>1.1173603786213731</v>
      </c>
      <c r="H34" s="304">
        <f>'Baseline Price'!W30*'Baseline Consumption'!W48</f>
        <v>1.1467466562504214</v>
      </c>
      <c r="I34" s="304">
        <f>'Baseline Price'!X30*'Baseline Consumption'!X48</f>
        <v>1.1607334797001572</v>
      </c>
      <c r="J34" s="304">
        <f>'Baseline Price'!Y30*'Baseline Consumption'!Y48</f>
        <v>1.1752436387820779</v>
      </c>
      <c r="K34" s="304">
        <f>'Baseline Price'!Z30*'Baseline Consumption'!Z48</f>
        <v>1.2023993413703586</v>
      </c>
      <c r="L34" s="304">
        <f>'Baseline Price'!AA30*'Baseline Consumption'!AA48</f>
        <v>1.2390761092040949</v>
      </c>
      <c r="M34" s="304">
        <f>'Baseline Price'!AB30*'Baseline Consumption'!AB48</f>
        <v>1.2552262237753735</v>
      </c>
      <c r="N34" s="304">
        <f>'Baseline Price'!AC30*'Baseline Consumption'!AC48</f>
        <v>1.2843006576874756</v>
      </c>
      <c r="O34" s="304">
        <f>'Baseline Price'!AD30*'Baseline Consumption'!AD48</f>
        <v>1.3023596472219499</v>
      </c>
      <c r="P34" s="304">
        <f>'Baseline Price'!AE30*'Baseline Consumption'!AE48</f>
        <v>1.3219557027545765</v>
      </c>
      <c r="Q34" s="304">
        <f>'Baseline Price'!AF30*'Baseline Consumption'!AF48</f>
        <v>1.3451536613069401</v>
      </c>
      <c r="R34" s="304">
        <f>'Baseline Price'!AG30*'Baseline Consumption'!AG48</f>
        <v>1.3780036773658002</v>
      </c>
      <c r="S34" s="304">
        <f>'Baseline Price'!AH30*'Baseline Consumption'!AH48</f>
        <v>1.3966462524140362</v>
      </c>
      <c r="T34" s="304">
        <f>'Baseline Price'!AI30*'Baseline Consumption'!AI48</f>
        <v>1.4102426279971088</v>
      </c>
      <c r="U34" s="304">
        <f>'Baseline Price'!AJ30*'Baseline Consumption'!AJ48</f>
        <v>1.421546982142174</v>
      </c>
      <c r="V34" s="304">
        <f>'Baseline Price'!AK30*'Baseline Consumption'!AK48</f>
        <v>1.4314963253790758</v>
      </c>
      <c r="W34" s="304">
        <f>'Baseline Price'!AL30*'Baseline Consumption'!AL48</f>
        <v>1.4517284269286816</v>
      </c>
      <c r="X34" s="304">
        <f>'Baseline Price'!AM30*'Baseline Consumption'!AM48</f>
        <v>1.4665345098464593</v>
      </c>
      <c r="Y34" s="304">
        <f>'Baseline Price'!AN30*'Baseline Consumption'!AN48</f>
        <v>1.4779940897960759</v>
      </c>
      <c r="Z34" s="304">
        <f>'Baseline Price'!AO30*'Baseline Consumption'!AO48</f>
        <v>1.4900879331765369</v>
      </c>
      <c r="AA34" s="304">
        <f>'Baseline Price'!AP30*'Baseline Consumption'!AP48</f>
        <v>1.505412751032569</v>
      </c>
      <c r="AB34" s="304">
        <f>'Baseline Price'!AQ30*'Baseline Consumption'!AQ48</f>
        <v>1.5203737618409436</v>
      </c>
      <c r="AC34" s="304">
        <f>'Baseline Price'!AR30*'Baseline Consumption'!AR48</f>
        <v>1.5324161577563993</v>
      </c>
      <c r="AD34" s="304">
        <f>'Baseline Price'!AS30*'Baseline Consumption'!AS48</f>
        <v>1.5462607724888173</v>
      </c>
      <c r="AE34" s="304">
        <f>'Baseline Price'!AT30*'Baseline Consumption'!AT48</f>
        <v>1.5567160673872915</v>
      </c>
      <c r="AF34" s="304">
        <f>'Baseline Price'!AU30*'Baseline Consumption'!AU48</f>
        <v>1.5652648036294809</v>
      </c>
    </row>
    <row r="35" spans="1:32">
      <c r="A35" s="46" t="str">
        <f>'Adjusted expend'!A35</f>
        <v>Total</v>
      </c>
      <c r="B35" s="304">
        <f t="shared" ref="B35:V35" si="4">SUM(B25:B34)</f>
        <v>2.6417323066707539</v>
      </c>
      <c r="C35" s="304">
        <f t="shared" si="4"/>
        <v>2.5990857912926266</v>
      </c>
      <c r="D35" s="304">
        <f t="shared" si="4"/>
        <v>2.6508890751194381</v>
      </c>
      <c r="E35" s="304">
        <f t="shared" si="4"/>
        <v>2.6978385103554814</v>
      </c>
      <c r="F35" s="304">
        <f t="shared" si="4"/>
        <v>2.8145226566534749</v>
      </c>
      <c r="G35" s="304">
        <f t="shared" si="4"/>
        <v>2.9564312806680562</v>
      </c>
      <c r="H35" s="304">
        <f t="shared" si="4"/>
        <v>3.0332204204119053</v>
      </c>
      <c r="I35" s="304">
        <f t="shared" si="4"/>
        <v>3.0707029400264219</v>
      </c>
      <c r="J35" s="304">
        <f t="shared" si="4"/>
        <v>3.1346616284226192</v>
      </c>
      <c r="K35" s="304">
        <f t="shared" si="4"/>
        <v>3.1787145380809285</v>
      </c>
      <c r="L35" s="304">
        <f t="shared" si="4"/>
        <v>3.2379654219802556</v>
      </c>
      <c r="M35" s="304">
        <f t="shared" si="4"/>
        <v>3.2802750311652016</v>
      </c>
      <c r="N35" s="304">
        <f t="shared" si="4"/>
        <v>3.359329923981571</v>
      </c>
      <c r="O35" s="304">
        <f t="shared" si="4"/>
        <v>3.428299282935499</v>
      </c>
      <c r="P35" s="304">
        <f t="shared" si="4"/>
        <v>3.5055063780770128</v>
      </c>
      <c r="Q35" s="304">
        <f t="shared" si="4"/>
        <v>3.5642961823386989</v>
      </c>
      <c r="R35" s="304">
        <f t="shared" si="4"/>
        <v>3.6272551711904741</v>
      </c>
      <c r="S35" s="304">
        <f t="shared" si="4"/>
        <v>3.6675881994115649</v>
      </c>
      <c r="T35" s="304">
        <f t="shared" si="4"/>
        <v>3.7126589920148358</v>
      </c>
      <c r="U35" s="304">
        <f t="shared" si="4"/>
        <v>3.7859899680581788</v>
      </c>
      <c r="V35" s="304">
        <f t="shared" si="4"/>
        <v>3.8209909354353533</v>
      </c>
      <c r="W35" s="304">
        <f t="shared" ref="W35:AF35" si="5">SUM(W25:W34)</f>
        <v>3.8806794213955289</v>
      </c>
      <c r="X35" s="304">
        <f t="shared" si="5"/>
        <v>3.9464483456392427</v>
      </c>
      <c r="Y35" s="304">
        <f t="shared" si="5"/>
        <v>3.9990976384966013</v>
      </c>
      <c r="Z35" s="304">
        <f t="shared" si="5"/>
        <v>4.0261067558215142</v>
      </c>
      <c r="AA35" s="304">
        <f t="shared" si="5"/>
        <v>4.1104900460910905</v>
      </c>
      <c r="AB35" s="304">
        <f t="shared" si="5"/>
        <v>4.1541157428034055</v>
      </c>
      <c r="AC35" s="304">
        <f t="shared" si="5"/>
        <v>4.2013335793655431</v>
      </c>
      <c r="AD35" s="304">
        <f t="shared" si="5"/>
        <v>4.2628117097608023</v>
      </c>
      <c r="AE35" s="304">
        <f t="shared" si="5"/>
        <v>4.3065791401186271</v>
      </c>
      <c r="AF35" s="304">
        <f t="shared" si="5"/>
        <v>4.3703205034844519</v>
      </c>
    </row>
    <row r="36" spans="1:32" s="40" customFormat="1">
      <c r="A36" s="46"/>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4"/>
      <c r="AF36" s="304"/>
    </row>
    <row r="37" spans="1:32" s="5" customFormat="1" ht="13">
      <c r="A37" s="250" t="s">
        <v>79</v>
      </c>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1"/>
    </row>
    <row r="38" spans="1:32" s="396" customFormat="1" ht="12.9" customHeight="1">
      <c r="A38" s="253" t="s">
        <v>6</v>
      </c>
      <c r="B38" s="253">
        <v>2020</v>
      </c>
      <c r="C38" s="253">
        <v>2021</v>
      </c>
      <c r="D38" s="253">
        <v>2022</v>
      </c>
      <c r="E38" s="253">
        <v>2023</v>
      </c>
      <c r="F38" s="253">
        <v>2024</v>
      </c>
      <c r="G38" s="253">
        <v>2025</v>
      </c>
      <c r="H38" s="253">
        <v>2026</v>
      </c>
      <c r="I38" s="253">
        <v>2027</v>
      </c>
      <c r="J38" s="253">
        <v>2028</v>
      </c>
      <c r="K38" s="253">
        <v>2029</v>
      </c>
      <c r="L38" s="253">
        <v>2030</v>
      </c>
      <c r="M38" s="253">
        <v>2031</v>
      </c>
      <c r="N38" s="253">
        <v>2032</v>
      </c>
      <c r="O38" s="253">
        <v>2033</v>
      </c>
      <c r="P38" s="253">
        <v>2034</v>
      </c>
      <c r="Q38" s="253">
        <v>2035</v>
      </c>
      <c r="R38" s="253">
        <v>2036</v>
      </c>
      <c r="S38" s="253">
        <v>2037</v>
      </c>
      <c r="T38" s="253">
        <v>2038</v>
      </c>
      <c r="U38" s="253">
        <v>2039</v>
      </c>
      <c r="V38" s="253">
        <v>2040</v>
      </c>
      <c r="W38" s="253">
        <v>2041</v>
      </c>
      <c r="X38" s="253">
        <v>2042</v>
      </c>
      <c r="Y38" s="253">
        <v>2043</v>
      </c>
      <c r="Z38" s="253">
        <v>2044</v>
      </c>
      <c r="AA38" s="253">
        <v>2045</v>
      </c>
      <c r="AB38" s="253">
        <v>2046</v>
      </c>
      <c r="AC38" s="253">
        <v>2047</v>
      </c>
      <c r="AD38" s="253">
        <v>2048</v>
      </c>
      <c r="AE38" s="253">
        <v>2049</v>
      </c>
      <c r="AF38" s="253">
        <v>2050</v>
      </c>
    </row>
    <row r="39" spans="1:32">
      <c r="A39" s="40" t="str">
        <f>'Adjusted expend'!A39</f>
        <v xml:space="preserve">   Liquefied Petroleum Gases 3/</v>
      </c>
      <c r="B39" s="304">
        <f>'Baseline Price'!Q34*'Baseline Consumption'!Q53</f>
        <v>4.0511285116284247E-3</v>
      </c>
      <c r="C39" s="304">
        <f>'Baseline Price'!R34*'Baseline Consumption'!R53</f>
        <v>4.0856928724880446E-3</v>
      </c>
      <c r="D39" s="304">
        <f>'Baseline Price'!S34*'Baseline Consumption'!S53</f>
        <v>4.0866179903959431E-3</v>
      </c>
      <c r="E39" s="304">
        <f>'Baseline Price'!T34*'Baseline Consumption'!T53</f>
        <v>4.1002876766470233E-3</v>
      </c>
      <c r="F39" s="304">
        <f>'Baseline Price'!U34*'Baseline Consumption'!U53</f>
        <v>4.5096914441499457E-3</v>
      </c>
      <c r="G39" s="304">
        <f>'Baseline Price'!V34*'Baseline Consumption'!V53</f>
        <v>4.446060750024421E-3</v>
      </c>
      <c r="H39" s="304">
        <f>'Baseline Price'!W34*'Baseline Consumption'!W53</f>
        <v>4.4126935421010312E-3</v>
      </c>
      <c r="I39" s="304">
        <f>'Baseline Price'!X34*'Baseline Consumption'!X53</f>
        <v>4.403067262761802E-3</v>
      </c>
      <c r="J39" s="304">
        <f>'Baseline Price'!Y34*'Baseline Consumption'!Y53</f>
        <v>4.3921702082931622E-3</v>
      </c>
      <c r="K39" s="304">
        <f>'Baseline Price'!Z34*'Baseline Consumption'!Z53</f>
        <v>4.4991348076494015E-3</v>
      </c>
      <c r="L39" s="304">
        <f>'Baseline Price'!AA34*'Baseline Consumption'!AA53</f>
        <v>4.494701482311075E-3</v>
      </c>
      <c r="M39" s="304">
        <f>'Baseline Price'!AB34*'Baseline Consumption'!AB53</f>
        <v>4.5124320960569465E-3</v>
      </c>
      <c r="N39" s="304">
        <f>'Baseline Price'!AC34*'Baseline Consumption'!AC53</f>
        <v>4.5659454767839995E-3</v>
      </c>
      <c r="O39" s="304">
        <f>'Baseline Price'!AD34*'Baseline Consumption'!AD53</f>
        <v>4.6151460722110189E-3</v>
      </c>
      <c r="P39" s="304">
        <f>'Baseline Price'!AE34*'Baseline Consumption'!AE53</f>
        <v>4.6714577467834332E-3</v>
      </c>
      <c r="Q39" s="304">
        <f>'Baseline Price'!AF34*'Baseline Consumption'!AF53</f>
        <v>4.7423414648287317E-3</v>
      </c>
      <c r="R39" s="304">
        <f>'Baseline Price'!AG34*'Baseline Consumption'!AG53</f>
        <v>4.847437021823383E-3</v>
      </c>
      <c r="S39" s="304">
        <f>'Baseline Price'!AH34*'Baseline Consumption'!AH53</f>
        <v>4.9284690593553318E-3</v>
      </c>
      <c r="T39" s="304">
        <f>'Baseline Price'!AI34*'Baseline Consumption'!AI53</f>
        <v>5.075119158238545E-3</v>
      </c>
      <c r="U39" s="304">
        <f>'Baseline Price'!AJ34*'Baseline Consumption'!AJ53</f>
        <v>5.1863866837018949E-3</v>
      </c>
      <c r="V39" s="304">
        <f>'Baseline Price'!AK34*'Baseline Consumption'!AK53</f>
        <v>5.2956120020853405E-3</v>
      </c>
      <c r="W39" s="304">
        <f>'Baseline Price'!AL34*'Baseline Consumption'!AL53</f>
        <v>5.4306500542256522E-3</v>
      </c>
      <c r="X39" s="304">
        <f>'Baseline Price'!AM34*'Baseline Consumption'!AM53</f>
        <v>5.5578281549578104E-3</v>
      </c>
      <c r="Y39" s="304">
        <f>'Baseline Price'!AN34*'Baseline Consumption'!AN53</f>
        <v>5.6909034066949518E-3</v>
      </c>
      <c r="Z39" s="304">
        <f>'Baseline Price'!AO34*'Baseline Consumption'!AO53</f>
        <v>5.8187749521664599E-3</v>
      </c>
      <c r="AA39" s="304">
        <f>'Baseline Price'!AP34*'Baseline Consumption'!AP53</f>
        <v>5.9663046673789407E-3</v>
      </c>
      <c r="AB39" s="304">
        <f>'Baseline Price'!AQ34*'Baseline Consumption'!AQ53</f>
        <v>6.1087529323378686E-3</v>
      </c>
      <c r="AC39" s="304">
        <f>'Baseline Price'!AR34*'Baseline Consumption'!AR53</f>
        <v>6.2730163353789514E-3</v>
      </c>
      <c r="AD39" s="304">
        <f>'Baseline Price'!AS34*'Baseline Consumption'!AS53</f>
        <v>6.4345259133170938E-3</v>
      </c>
      <c r="AE39" s="304">
        <f>'Baseline Price'!AT34*'Baseline Consumption'!AT53</f>
        <v>6.6042191396433027E-3</v>
      </c>
      <c r="AF39" s="304">
        <f>'Baseline Price'!AU34*'Baseline Consumption'!AU53</f>
        <v>6.7769891692689458E-3</v>
      </c>
    </row>
    <row r="40" spans="1:32">
      <c r="A40" s="40" t="str">
        <f>'Adjusted expend'!A40</f>
        <v xml:space="preserve">   E85 4/</v>
      </c>
      <c r="B40" s="304">
        <f>'Baseline Price'!Q35*'Baseline Consumption'!Q54</f>
        <v>4.9758606563100161E-2</v>
      </c>
      <c r="C40" s="304">
        <f>'Baseline Price'!R35*'Baseline Consumption'!R54</f>
        <v>6.2211382672069035E-2</v>
      </c>
      <c r="D40" s="304">
        <f>'Baseline Price'!S35*'Baseline Consumption'!S54</f>
        <v>6.924685168979075E-2</v>
      </c>
      <c r="E40" s="304">
        <f>'Baseline Price'!T35*'Baseline Consumption'!T54</f>
        <v>7.1661463193851804E-2</v>
      </c>
      <c r="F40" s="304">
        <f>'Baseline Price'!U35*'Baseline Consumption'!U54</f>
        <v>9.8883108222584726E-2</v>
      </c>
      <c r="G40" s="304">
        <f>'Baseline Price'!V35*'Baseline Consumption'!V54</f>
        <v>0.1217969485382206</v>
      </c>
      <c r="H40" s="304">
        <f>'Baseline Price'!W35*'Baseline Consumption'!W54</f>
        <v>0.1227043158856496</v>
      </c>
      <c r="I40" s="304">
        <f>'Baseline Price'!X35*'Baseline Consumption'!X54</f>
        <v>0.13394618802214209</v>
      </c>
      <c r="J40" s="304">
        <f>'Baseline Price'!Y35*'Baseline Consumption'!Y54</f>
        <v>0.14332751371443625</v>
      </c>
      <c r="K40" s="304">
        <f>'Baseline Price'!Z35*'Baseline Consumption'!Z54</f>
        <v>0.17857363529107431</v>
      </c>
      <c r="L40" s="304">
        <f>'Baseline Price'!AA35*'Baseline Consumption'!AA54</f>
        <v>0.19165913106145818</v>
      </c>
      <c r="M40" s="304">
        <f>'Baseline Price'!AB35*'Baseline Consumption'!AB54</f>
        <v>0.20612240159917694</v>
      </c>
      <c r="N40" s="304">
        <f>'Baseline Price'!AC35*'Baseline Consumption'!AC54</f>
        <v>0.20938854666595036</v>
      </c>
      <c r="O40" s="304">
        <f>'Baseline Price'!AD35*'Baseline Consumption'!AD54</f>
        <v>0.21097383275448048</v>
      </c>
      <c r="P40" s="304">
        <f>'Baseline Price'!AE35*'Baseline Consumption'!AE54</f>
        <v>0.21829383947067016</v>
      </c>
      <c r="Q40" s="304">
        <f>'Baseline Price'!AF35*'Baseline Consumption'!AF54</f>
        <v>0.21816615602849945</v>
      </c>
      <c r="R40" s="304">
        <f>'Baseline Price'!AG35*'Baseline Consumption'!AG54</f>
        <v>0.22617496080745073</v>
      </c>
      <c r="S40" s="304">
        <f>'Baseline Price'!AH35*'Baseline Consumption'!AH54</f>
        <v>0.23544225604155014</v>
      </c>
      <c r="T40" s="304">
        <f>'Baseline Price'!AI35*'Baseline Consumption'!AI54</f>
        <v>0.24153696728840152</v>
      </c>
      <c r="U40" s="304">
        <f>'Baseline Price'!AJ35*'Baseline Consumption'!AJ54</f>
        <v>0.24483050830722153</v>
      </c>
      <c r="V40" s="304">
        <f>'Baseline Price'!AK35*'Baseline Consumption'!AK54</f>
        <v>0.24930584587646346</v>
      </c>
      <c r="W40" s="304">
        <f>'Baseline Price'!AL35*'Baseline Consumption'!AL54</f>
        <v>0.24803178275288143</v>
      </c>
      <c r="X40" s="304">
        <f>'Baseline Price'!AM35*'Baseline Consumption'!AM54</f>
        <v>0.24625777599761636</v>
      </c>
      <c r="Y40" s="304">
        <f>'Baseline Price'!AN35*'Baseline Consumption'!AN54</f>
        <v>0.23770834504128002</v>
      </c>
      <c r="Z40" s="304">
        <f>'Baseline Price'!AO35*'Baseline Consumption'!AO54</f>
        <v>0.23204065604285778</v>
      </c>
      <c r="AA40" s="304">
        <f>'Baseline Price'!AP35*'Baseline Consumption'!AP54</f>
        <v>0.22313653890523333</v>
      </c>
      <c r="AB40" s="304">
        <f>'Baseline Price'!AQ35*'Baseline Consumption'!AQ54</f>
        <v>0.19739625833559438</v>
      </c>
      <c r="AC40" s="304">
        <f>'Baseline Price'!AR35*'Baseline Consumption'!AR54</f>
        <v>0.16388119556431621</v>
      </c>
      <c r="AD40" s="304">
        <f>'Baseline Price'!AS35*'Baseline Consumption'!AS54</f>
        <v>0.14895990301787243</v>
      </c>
      <c r="AE40" s="304">
        <f>'Baseline Price'!AT35*'Baseline Consumption'!AT54</f>
        <v>0.15469615789622582</v>
      </c>
      <c r="AF40" s="304">
        <f>'Baseline Price'!AU35*'Baseline Consumption'!AU54</f>
        <v>0.15450021329372776</v>
      </c>
    </row>
    <row r="41" spans="1:32">
      <c r="A41" s="40" t="str">
        <f>'Adjusted expend'!A41</f>
        <v xml:space="preserve">   Motor Gasoline 5/</v>
      </c>
      <c r="B41" s="304">
        <f>'Baseline Price'!Q36*'Baseline Consumption'!Q55</f>
        <v>7.5841854270433693</v>
      </c>
      <c r="C41" s="304">
        <f>'Baseline Price'!R36*'Baseline Consumption'!R55</f>
        <v>7.8843939739194875</v>
      </c>
      <c r="D41" s="304">
        <f>'Baseline Price'!S36*'Baseline Consumption'!S55</f>
        <v>7.9241841270258222</v>
      </c>
      <c r="E41" s="304">
        <f>'Baseline Price'!T36*'Baseline Consumption'!T55</f>
        <v>7.9269961636514363</v>
      </c>
      <c r="F41" s="304">
        <f>'Baseline Price'!U36*'Baseline Consumption'!U55</f>
        <v>8.6528810082607297</v>
      </c>
      <c r="G41" s="304">
        <f>'Baseline Price'!V36*'Baseline Consumption'!V55</f>
        <v>8.4895980208811785</v>
      </c>
      <c r="H41" s="304">
        <f>'Baseline Price'!W36*'Baseline Consumption'!W55</f>
        <v>8.3565262482298657</v>
      </c>
      <c r="I41" s="304">
        <f>'Baseline Price'!X36*'Baseline Consumption'!X55</f>
        <v>8.2463256286009514</v>
      </c>
      <c r="J41" s="304">
        <f>'Baseline Price'!Y36*'Baseline Consumption'!Y55</f>
        <v>8.1738530264056219</v>
      </c>
      <c r="K41" s="304">
        <f>'Baseline Price'!Z36*'Baseline Consumption'!Z55</f>
        <v>8.1856493333235534</v>
      </c>
      <c r="L41" s="304">
        <f>'Baseline Price'!AA36*'Baseline Consumption'!AA55</f>
        <v>8.0830299465181028</v>
      </c>
      <c r="M41" s="304">
        <f>'Baseline Price'!AB36*'Baseline Consumption'!AB55</f>
        <v>8.037650337675057</v>
      </c>
      <c r="N41" s="304">
        <f>'Baseline Price'!AC36*'Baseline Consumption'!AC55</f>
        <v>7.9575130886934895</v>
      </c>
      <c r="O41" s="304">
        <f>'Baseline Price'!AD36*'Baseline Consumption'!AD55</f>
        <v>7.8612792918865111</v>
      </c>
      <c r="P41" s="304">
        <f>'Baseline Price'!AE36*'Baseline Consumption'!AE55</f>
        <v>7.7998711807224295</v>
      </c>
      <c r="Q41" s="304">
        <f>'Baseline Price'!AF36*'Baseline Consumption'!AF55</f>
        <v>7.7432226168232585</v>
      </c>
      <c r="R41" s="304">
        <f>'Baseline Price'!AG36*'Baseline Consumption'!AG55</f>
        <v>7.6769139434162259</v>
      </c>
      <c r="S41" s="304">
        <f>'Baseline Price'!AH36*'Baseline Consumption'!AH55</f>
        <v>7.7118757828207372</v>
      </c>
      <c r="T41" s="304">
        <f>'Baseline Price'!AI36*'Baseline Consumption'!AI55</f>
        <v>7.6919144014723164</v>
      </c>
      <c r="U41" s="304">
        <f>'Baseline Price'!AJ36*'Baseline Consumption'!AJ55</f>
        <v>7.7091029334381309</v>
      </c>
      <c r="V41" s="304">
        <f>'Baseline Price'!AK36*'Baseline Consumption'!AK55</f>
        <v>7.7406197351077664</v>
      </c>
      <c r="W41" s="304">
        <f>'Baseline Price'!AL36*'Baseline Consumption'!AL55</f>
        <v>7.7736471813664378</v>
      </c>
      <c r="X41" s="304">
        <f>'Baseline Price'!AM36*'Baseline Consumption'!AM55</f>
        <v>7.7975687626036265</v>
      </c>
      <c r="Y41" s="304">
        <f>'Baseline Price'!AN36*'Baseline Consumption'!AN55</f>
        <v>7.8180276429040108</v>
      </c>
      <c r="Z41" s="304">
        <f>'Baseline Price'!AO36*'Baseline Consumption'!AO55</f>
        <v>7.8415670617698643</v>
      </c>
      <c r="AA41" s="304">
        <f>'Baseline Price'!AP36*'Baseline Consumption'!AP55</f>
        <v>7.8748688852514563</v>
      </c>
      <c r="AB41" s="304">
        <f>'Baseline Price'!AQ36*'Baseline Consumption'!AQ55</f>
        <v>7.8705142096617555</v>
      </c>
      <c r="AC41" s="304">
        <f>'Baseline Price'!AR36*'Baseline Consumption'!AR55</f>
        <v>7.9262153052613433</v>
      </c>
      <c r="AD41" s="304">
        <f>'Baseline Price'!AS36*'Baseline Consumption'!AS55</f>
        <v>7.9846712763102312</v>
      </c>
      <c r="AE41" s="304">
        <f>'Baseline Price'!AT36*'Baseline Consumption'!AT55</f>
        <v>7.9972880704704439</v>
      </c>
      <c r="AF41" s="304">
        <f>'Baseline Price'!AU36*'Baseline Consumption'!AU55</f>
        <v>8.0219736031401521</v>
      </c>
    </row>
    <row r="42" spans="1:32">
      <c r="A42" s="40" t="str">
        <f>'Adjusted expend'!A42</f>
        <v xml:space="preserve">   Jet Fuel 6/</v>
      </c>
      <c r="B42" s="304">
        <f>'Baseline Price'!Q37*'Baseline Consumption'!Q56</f>
        <v>1.7458529388529571</v>
      </c>
      <c r="C42" s="304">
        <f>'Baseline Price'!R37*'Baseline Consumption'!R56</f>
        <v>1.9305237057409335</v>
      </c>
      <c r="D42" s="304">
        <f>'Baseline Price'!S37*'Baseline Consumption'!S56</f>
        <v>2.017366709780648</v>
      </c>
      <c r="E42" s="304">
        <f>'Baseline Price'!T37*'Baseline Consumption'!T56</f>
        <v>2.0919096441037439</v>
      </c>
      <c r="F42" s="304">
        <f>'Baseline Price'!U37*'Baseline Consumption'!U56</f>
        <v>2.1729504098725854</v>
      </c>
      <c r="G42" s="304">
        <f>'Baseline Price'!V37*'Baseline Consumption'!V56</f>
        <v>2.2108432946241763</v>
      </c>
      <c r="H42" s="304">
        <f>'Baseline Price'!W37*'Baseline Consumption'!W56</f>
        <v>2.2465071596117872</v>
      </c>
      <c r="I42" s="304">
        <f>'Baseline Price'!X37*'Baseline Consumption'!X56</f>
        <v>2.3071836882724801</v>
      </c>
      <c r="J42" s="304">
        <f>'Baseline Price'!Y37*'Baseline Consumption'!Y56</f>
        <v>2.3723336157007</v>
      </c>
      <c r="K42" s="304">
        <f>'Baseline Price'!Z37*'Baseline Consumption'!Z56</f>
        <v>2.4616776022045608</v>
      </c>
      <c r="L42" s="304">
        <f>'Baseline Price'!AA37*'Baseline Consumption'!AA56</f>
        <v>2.5136504311133878</v>
      </c>
      <c r="M42" s="304">
        <f>'Baseline Price'!AB37*'Baseline Consumption'!AB56</f>
        <v>2.5878143253766703</v>
      </c>
      <c r="N42" s="304">
        <f>'Baseline Price'!AC37*'Baseline Consumption'!AC56</f>
        <v>2.643442050593543</v>
      </c>
      <c r="O42" s="304">
        <f>'Baseline Price'!AD37*'Baseline Consumption'!AD56</f>
        <v>2.7108637502579125</v>
      </c>
      <c r="P42" s="304">
        <f>'Baseline Price'!AE37*'Baseline Consumption'!AE56</f>
        <v>2.7671356167879257</v>
      </c>
      <c r="Q42" s="304">
        <f>'Baseline Price'!AF37*'Baseline Consumption'!AF56</f>
        <v>2.8204126761489476</v>
      </c>
      <c r="R42" s="304">
        <f>'Baseline Price'!AG37*'Baseline Consumption'!AG56</f>
        <v>2.8729370702559573</v>
      </c>
      <c r="S42" s="304">
        <f>'Baseline Price'!AH37*'Baseline Consumption'!AH56</f>
        <v>2.9648210036270481</v>
      </c>
      <c r="T42" s="304">
        <f>'Baseline Price'!AI37*'Baseline Consumption'!AI56</f>
        <v>3.028681758875865</v>
      </c>
      <c r="U42" s="304">
        <f>'Baseline Price'!AJ37*'Baseline Consumption'!AJ56</f>
        <v>3.0835851093936206</v>
      </c>
      <c r="V42" s="304">
        <f>'Baseline Price'!AK37*'Baseline Consumption'!AK56</f>
        <v>3.1397721467336814</v>
      </c>
      <c r="W42" s="304">
        <f>'Baseline Price'!AL37*'Baseline Consumption'!AL56</f>
        <v>3.2008183234239209</v>
      </c>
      <c r="X42" s="304">
        <f>'Baseline Price'!AM37*'Baseline Consumption'!AM56</f>
        <v>3.2465951508569075</v>
      </c>
      <c r="Y42" s="304">
        <f>'Baseline Price'!AN37*'Baseline Consumption'!AN56</f>
        <v>3.3065691256538039</v>
      </c>
      <c r="Z42" s="304">
        <f>'Baseline Price'!AO37*'Baseline Consumption'!AO56</f>
        <v>3.3631524087488978</v>
      </c>
      <c r="AA42" s="304">
        <f>'Baseline Price'!AP37*'Baseline Consumption'!AP56</f>
        <v>3.4174042608326012</v>
      </c>
      <c r="AB42" s="304">
        <f>'Baseline Price'!AQ37*'Baseline Consumption'!AQ56</f>
        <v>3.4619432706259325</v>
      </c>
      <c r="AC42" s="304">
        <f>'Baseline Price'!AR37*'Baseline Consumption'!AR56</f>
        <v>3.5195222419422669</v>
      </c>
      <c r="AD42" s="304">
        <f>'Baseline Price'!AS37*'Baseline Consumption'!AS56</f>
        <v>3.586457356605977</v>
      </c>
      <c r="AE42" s="304">
        <f>'Baseline Price'!AT37*'Baseline Consumption'!AT56</f>
        <v>3.6577316384821441</v>
      </c>
      <c r="AF42" s="304">
        <f>'Baseline Price'!AU37*'Baseline Consumption'!AU56</f>
        <v>3.7011947003647538</v>
      </c>
    </row>
    <row r="43" spans="1:32">
      <c r="A43" s="40" t="str">
        <f>'Adjusted expend'!A43</f>
        <v xml:space="preserve">   Diesel Fuel (distillate fuel oil) 7/</v>
      </c>
      <c r="B43" s="304">
        <f>'Baseline Price'!Q38*'Baseline Consumption'!Q57</f>
        <v>3.2860569670467572</v>
      </c>
      <c r="C43" s="304">
        <f>'Baseline Price'!R38*'Baseline Consumption'!R57</f>
        <v>3.4312831915749036</v>
      </c>
      <c r="D43" s="304">
        <f>'Baseline Price'!S38*'Baseline Consumption'!S57</f>
        <v>3.3911958520664234</v>
      </c>
      <c r="E43" s="304">
        <f>'Baseline Price'!T38*'Baseline Consumption'!T57</f>
        <v>3.4217835343097827</v>
      </c>
      <c r="F43" s="304">
        <f>'Baseline Price'!U38*'Baseline Consumption'!U57</f>
        <v>3.8046265666520336</v>
      </c>
      <c r="G43" s="304">
        <f>'Baseline Price'!V38*'Baseline Consumption'!V57</f>
        <v>3.843278339872529</v>
      </c>
      <c r="H43" s="304">
        <f>'Baseline Price'!W38*'Baseline Consumption'!W57</f>
        <v>3.8651869639168761</v>
      </c>
      <c r="I43" s="304">
        <f>'Baseline Price'!X38*'Baseline Consumption'!X57</f>
        <v>3.8928887482763925</v>
      </c>
      <c r="J43" s="304">
        <f>'Baseline Price'!Y38*'Baseline Consumption'!Y57</f>
        <v>3.9280498136467266</v>
      </c>
      <c r="K43" s="304">
        <f>'Baseline Price'!Z38*'Baseline Consumption'!Z57</f>
        <v>4.0049452391965872</v>
      </c>
      <c r="L43" s="304">
        <f>'Baseline Price'!AA38*'Baseline Consumption'!AA57</f>
        <v>4.0286135891660928</v>
      </c>
      <c r="M43" s="304">
        <f>'Baseline Price'!AB38*'Baseline Consumption'!AB57</f>
        <v>4.0568969171468359</v>
      </c>
      <c r="N43" s="304">
        <f>'Baseline Price'!AC38*'Baseline Consumption'!AC57</f>
        <v>4.0552218152833772</v>
      </c>
      <c r="O43" s="304">
        <f>'Baseline Price'!AD38*'Baseline Consumption'!AD57</f>
        <v>4.075370047246996</v>
      </c>
      <c r="P43" s="304">
        <f>'Baseline Price'!AE38*'Baseline Consumption'!AE57</f>
        <v>4.1039490679944821</v>
      </c>
      <c r="Q43" s="304">
        <f>'Baseline Price'!AF38*'Baseline Consumption'!AF57</f>
        <v>4.1491222055050185</v>
      </c>
      <c r="R43" s="304">
        <f>'Baseline Price'!AG38*'Baseline Consumption'!AG57</f>
        <v>4.1731083945135703</v>
      </c>
      <c r="S43" s="304">
        <f>'Baseline Price'!AH38*'Baseline Consumption'!AH57</f>
        <v>4.2411453115633302</v>
      </c>
      <c r="T43" s="304">
        <f>'Baseline Price'!AI38*'Baseline Consumption'!AI57</f>
        <v>4.2777745939773419</v>
      </c>
      <c r="U43" s="304">
        <f>'Baseline Price'!AJ38*'Baseline Consumption'!AJ57</f>
        <v>4.3121433557892104</v>
      </c>
      <c r="V43" s="304">
        <f>'Baseline Price'!AK38*'Baseline Consumption'!AK57</f>
        <v>4.342881251147384</v>
      </c>
      <c r="W43" s="304">
        <f>'Baseline Price'!AL38*'Baseline Consumption'!AL57</f>
        <v>4.3803947838486952</v>
      </c>
      <c r="X43" s="304">
        <f>'Baseline Price'!AM38*'Baseline Consumption'!AM57</f>
        <v>4.3925031492636677</v>
      </c>
      <c r="Y43" s="304">
        <f>'Baseline Price'!AN38*'Baseline Consumption'!AN57</f>
        <v>4.4108508918599538</v>
      </c>
      <c r="Z43" s="304">
        <f>'Baseline Price'!AO38*'Baseline Consumption'!AO57</f>
        <v>4.4488416325202351</v>
      </c>
      <c r="AA43" s="304">
        <f>'Baseline Price'!AP38*'Baseline Consumption'!AP57</f>
        <v>4.479136025622859</v>
      </c>
      <c r="AB43" s="304">
        <f>'Baseline Price'!AQ38*'Baseline Consumption'!AQ57</f>
        <v>4.4975862958358492</v>
      </c>
      <c r="AC43" s="304">
        <f>'Baseline Price'!AR38*'Baseline Consumption'!AR57</f>
        <v>4.5297025082773628</v>
      </c>
      <c r="AD43" s="304">
        <f>'Baseline Price'!AS38*'Baseline Consumption'!AS57</f>
        <v>4.5591451223042894</v>
      </c>
      <c r="AE43" s="304">
        <f>'Baseline Price'!AT38*'Baseline Consumption'!AT57</f>
        <v>4.5536646912851975</v>
      </c>
      <c r="AF43" s="304">
        <f>'Baseline Price'!AU38*'Baseline Consumption'!AU57</f>
        <v>4.5826164438715615</v>
      </c>
    </row>
    <row r="44" spans="1:32">
      <c r="A44" s="40" t="str">
        <f>'Adjusted expend'!A44</f>
        <v xml:space="preserve">   Residual Fuel Oil</v>
      </c>
      <c r="B44" s="304">
        <f>'Baseline Price'!Q39*'Baseline Consumption'!Q58</f>
        <v>0.53991392211282219</v>
      </c>
      <c r="C44" s="304">
        <f>'Baseline Price'!R39*'Baseline Consumption'!R58</f>
        <v>0.71146003957063486</v>
      </c>
      <c r="D44" s="304">
        <f>'Baseline Price'!S39*'Baseline Consumption'!S58</f>
        <v>1.044162854960732</v>
      </c>
      <c r="E44" s="304">
        <f>'Baseline Price'!T39*'Baseline Consumption'!T58</f>
        <v>1.1173215679047401</v>
      </c>
      <c r="F44" s="304">
        <f>'Baseline Price'!U39*'Baseline Consumption'!U58</f>
        <v>1.1410026592479525</v>
      </c>
      <c r="G44" s="304">
        <f>'Baseline Price'!V39*'Baseline Consumption'!V58</f>
        <v>1.1652908479262087</v>
      </c>
      <c r="H44" s="304">
        <f>'Baseline Price'!W39*'Baseline Consumption'!W58</f>
        <v>1.1694867668691997</v>
      </c>
      <c r="I44" s="304">
        <f>'Baseline Price'!X39*'Baseline Consumption'!X58</f>
        <v>1.1608513917903018</v>
      </c>
      <c r="J44" s="304">
        <f>'Baseline Price'!Y39*'Baseline Consumption'!Y58</f>
        <v>1.1603757901586467</v>
      </c>
      <c r="K44" s="304">
        <f>'Baseline Price'!Z39*'Baseline Consumption'!Z58</f>
        <v>1.1830842451930339</v>
      </c>
      <c r="L44" s="304">
        <f>'Baseline Price'!AA39*'Baseline Consumption'!AA58</f>
        <v>1.1534807735595269</v>
      </c>
      <c r="M44" s="304">
        <f>'Baseline Price'!AB39*'Baseline Consumption'!AB58</f>
        <v>1.1627291171305156</v>
      </c>
      <c r="N44" s="304">
        <f>'Baseline Price'!AC39*'Baseline Consumption'!AC58</f>
        <v>1.1683758938795279</v>
      </c>
      <c r="O44" s="304">
        <f>'Baseline Price'!AD39*'Baseline Consumption'!AD58</f>
        <v>1.1759711830627424</v>
      </c>
      <c r="P44" s="304">
        <f>'Baseline Price'!AE39*'Baseline Consumption'!AE58</f>
        <v>1.1785582234609624</v>
      </c>
      <c r="Q44" s="304">
        <f>'Baseline Price'!AF39*'Baseline Consumption'!AF58</f>
        <v>1.111252269672135</v>
      </c>
      <c r="R44" s="304">
        <f>'Baseline Price'!AG39*'Baseline Consumption'!AG58</f>
        <v>1.1107433352956917</v>
      </c>
      <c r="S44" s="304">
        <f>'Baseline Price'!AH39*'Baseline Consumption'!AH58</f>
        <v>1.1113367898236999</v>
      </c>
      <c r="T44" s="304">
        <f>'Baseline Price'!AI39*'Baseline Consumption'!AI58</f>
        <v>1.111582228433539</v>
      </c>
      <c r="U44" s="304">
        <f>'Baseline Price'!AJ39*'Baseline Consumption'!AJ58</f>
        <v>1.1139139087981582</v>
      </c>
      <c r="V44" s="304">
        <f>'Baseline Price'!AK39*'Baseline Consumption'!AK58</f>
        <v>1.1170071031939925</v>
      </c>
      <c r="W44" s="304">
        <f>'Baseline Price'!AL39*'Baseline Consumption'!AL58</f>
        <v>1.1205535247870004</v>
      </c>
      <c r="X44" s="304">
        <f>'Baseline Price'!AM39*'Baseline Consumption'!AM58</f>
        <v>1.1116846887558747</v>
      </c>
      <c r="Y44" s="304">
        <f>'Baseline Price'!AN39*'Baseline Consumption'!AN58</f>
        <v>1.1481377794533589</v>
      </c>
      <c r="Z44" s="304">
        <f>'Baseline Price'!AO39*'Baseline Consumption'!AO58</f>
        <v>1.1092857399232365</v>
      </c>
      <c r="AA44" s="304">
        <f>'Baseline Price'!AP39*'Baseline Consumption'!AP58</f>
        <v>1.1091386614888772</v>
      </c>
      <c r="AB44" s="304">
        <f>'Baseline Price'!AQ39*'Baseline Consumption'!AQ58</f>
        <v>1.084268050705087</v>
      </c>
      <c r="AC44" s="304">
        <f>'Baseline Price'!AR39*'Baseline Consumption'!AR58</f>
        <v>1.0848417046733898</v>
      </c>
      <c r="AD44" s="304">
        <f>'Baseline Price'!AS39*'Baseline Consumption'!AS58</f>
        <v>1.0888230005039692</v>
      </c>
      <c r="AE44" s="304">
        <f>'Baseline Price'!AT39*'Baseline Consumption'!AT58</f>
        <v>1.0913246476489336</v>
      </c>
      <c r="AF44" s="304">
        <f>'Baseline Price'!AU39*'Baseline Consumption'!AU58</f>
        <v>1.0924647546265511</v>
      </c>
    </row>
    <row r="45" spans="1:32">
      <c r="A45" s="40" t="str">
        <f>'Adjusted expend'!A45</f>
        <v xml:space="preserve">   Natural Gas 8/</v>
      </c>
      <c r="B45" s="304">
        <f>'Baseline Price'!Q40*('Baseline Consumption'!Q60+'Baseline Consumption'!Q61)</f>
        <v>0.20198278475657705</v>
      </c>
      <c r="C45" s="304">
        <f>'Baseline Price'!R40*('Baseline Consumption'!R60+'Baseline Consumption'!R61)</f>
        <v>0.22621847535103551</v>
      </c>
      <c r="D45" s="304">
        <f>'Baseline Price'!S40*('Baseline Consumption'!S60+'Baseline Consumption'!S61)</f>
        <v>0.21434955133728123</v>
      </c>
      <c r="E45" s="304">
        <f>'Baseline Price'!T40*('Baseline Consumption'!T60+'Baseline Consumption'!T61)</f>
        <v>0.21858905695274364</v>
      </c>
      <c r="F45" s="304">
        <f>'Baseline Price'!U40*('Baseline Consumption'!U60+'Baseline Consumption'!U61)</f>
        <v>0.26414277028796895</v>
      </c>
      <c r="G45" s="304">
        <f>'Baseline Price'!V40*('Baseline Consumption'!V60+'Baseline Consumption'!V61)</f>
        <v>0.26805126648788147</v>
      </c>
      <c r="H45" s="304">
        <f>'Baseline Price'!W40*('Baseline Consumption'!W60+'Baseline Consumption'!W61)</f>
        <v>0.27389939480115449</v>
      </c>
      <c r="I45" s="304">
        <f>'Baseline Price'!X40*('Baseline Consumption'!X60+'Baseline Consumption'!X61)</f>
        <v>0.28419444670554622</v>
      </c>
      <c r="J45" s="304">
        <f>'Baseline Price'!Y40*('Baseline Consumption'!Y60+'Baseline Consumption'!Y61)</f>
        <v>0.2899443188421385</v>
      </c>
      <c r="K45" s="304">
        <f>'Baseline Price'!Z40*('Baseline Consumption'!Z60+'Baseline Consumption'!Z61)</f>
        <v>0.2962227404561979</v>
      </c>
      <c r="L45" s="304">
        <f>'Baseline Price'!AA40*('Baseline Consumption'!AA60+'Baseline Consumption'!AA61)</f>
        <v>0.30369828333460819</v>
      </c>
      <c r="M45" s="304">
        <f>'Baseline Price'!AB40*('Baseline Consumption'!AB60+'Baseline Consumption'!AB61)</f>
        <v>0.30967599861380163</v>
      </c>
      <c r="N45" s="304">
        <f>'Baseline Price'!AC40*('Baseline Consumption'!AC60+'Baseline Consumption'!AC61)</f>
        <v>0.31617351584045406</v>
      </c>
      <c r="O45" s="304">
        <f>'Baseline Price'!AD40*('Baseline Consumption'!AD60+'Baseline Consumption'!AD61)</f>
        <v>0.32026385343914682</v>
      </c>
      <c r="P45" s="304">
        <f>'Baseline Price'!AE40*('Baseline Consumption'!AE60+'Baseline Consumption'!AE61)</f>
        <v>0.32657313092956997</v>
      </c>
      <c r="Q45" s="304">
        <f>'Baseline Price'!AF40*('Baseline Consumption'!AF60+'Baseline Consumption'!AF61)</f>
        <v>0.34105863029594963</v>
      </c>
      <c r="R45" s="304">
        <f>'Baseline Price'!AG40*('Baseline Consumption'!AG60+'Baseline Consumption'!AG61)</f>
        <v>0.35042966871276909</v>
      </c>
      <c r="S45" s="304">
        <f>'Baseline Price'!AH40*('Baseline Consumption'!AH60+'Baseline Consumption'!AH61)</f>
        <v>0.357603503790211</v>
      </c>
      <c r="T45" s="304">
        <f>'Baseline Price'!AI40*('Baseline Consumption'!AI60+'Baseline Consumption'!AI61)</f>
        <v>0.36659366773963298</v>
      </c>
      <c r="U45" s="304">
        <f>'Baseline Price'!AJ40*('Baseline Consumption'!AJ60+'Baseline Consumption'!AJ61)</f>
        <v>0.37594029645105481</v>
      </c>
      <c r="V45" s="304">
        <f>'Baseline Price'!AK40*('Baseline Consumption'!AK60+'Baseline Consumption'!AK61)</f>
        <v>0.38414364172957893</v>
      </c>
      <c r="W45" s="304">
        <f>'Baseline Price'!AL40*('Baseline Consumption'!AL60+'Baseline Consumption'!AL61)</f>
        <v>0.39339334445108948</v>
      </c>
      <c r="X45" s="304">
        <f>'Baseline Price'!AM40*('Baseline Consumption'!AM60+'Baseline Consumption'!AM61)</f>
        <v>0.40536350536205901</v>
      </c>
      <c r="Y45" s="304">
        <f>'Baseline Price'!AN40*('Baseline Consumption'!AN60+'Baseline Consumption'!AN61)</f>
        <v>0.40776985054448994</v>
      </c>
      <c r="Z45" s="304">
        <f>'Baseline Price'!AO40*('Baseline Consumption'!AO60+'Baseline Consumption'!AO61)</f>
        <v>0.41736937450495581</v>
      </c>
      <c r="AA45" s="304">
        <f>'Baseline Price'!AP40*('Baseline Consumption'!AP60+'Baseline Consumption'!AP61)</f>
        <v>0.42504231389661717</v>
      </c>
      <c r="AB45" s="304">
        <f>'Baseline Price'!AQ40*('Baseline Consumption'!AQ60+'Baseline Consumption'!AQ61)</f>
        <v>0.43346565059061803</v>
      </c>
      <c r="AC45" s="304">
        <f>'Baseline Price'!AR40*('Baseline Consumption'!AR60+'Baseline Consumption'!AR61)</f>
        <v>0.44037671141474677</v>
      </c>
      <c r="AD45" s="304">
        <f>'Baseline Price'!AS40*('Baseline Consumption'!AS60+'Baseline Consumption'!AS61)</f>
        <v>0.4467542884002873</v>
      </c>
      <c r="AE45" s="304">
        <f>'Baseline Price'!AT40*('Baseline Consumption'!AT60+'Baseline Consumption'!AT61)</f>
        <v>0.45214113912431031</v>
      </c>
      <c r="AF45" s="304">
        <f>'Baseline Price'!AU40*('Baseline Consumption'!AU60+'Baseline Consumption'!AU61)</f>
        <v>0.46001833085399685</v>
      </c>
    </row>
    <row r="46" spans="1:32">
      <c r="A46" s="40" t="str">
        <f>'Adjusted expend'!A46</f>
        <v xml:space="preserve">   Electricity</v>
      </c>
      <c r="B46" s="304">
        <f>'Baseline Price'!Q41*'Baseline Consumption'!Q63</f>
        <v>4.658794583017848E-2</v>
      </c>
      <c r="C46" s="304">
        <f>'Baseline Price'!R41*'Baseline Consumption'!R63</f>
        <v>6.003364333456216E-2</v>
      </c>
      <c r="D46" s="304">
        <f>'Baseline Price'!S41*'Baseline Consumption'!S63</f>
        <v>7.5626891540189964E-2</v>
      </c>
      <c r="E46" s="304">
        <f>'Baseline Price'!T41*'Baseline Consumption'!T63</f>
        <v>9.3925172571064391E-2</v>
      </c>
      <c r="F46" s="304">
        <f>'Baseline Price'!U41*'Baseline Consumption'!U63</f>
        <v>0.11079124110260657</v>
      </c>
      <c r="G46" s="304">
        <f>'Baseline Price'!V41*'Baseline Consumption'!V63</f>
        <v>0.13063613674393154</v>
      </c>
      <c r="H46" s="304">
        <f>'Baseline Price'!W41*'Baseline Consumption'!W63</f>
        <v>0.15195966570993724</v>
      </c>
      <c r="I46" s="304">
        <f>'Baseline Price'!X41*'Baseline Consumption'!X63</f>
        <v>0.17047085578480847</v>
      </c>
      <c r="J46" s="304">
        <f>'Baseline Price'!Y41*'Baseline Consumption'!Y63</f>
        <v>0.18838574257306451</v>
      </c>
      <c r="K46" s="304">
        <f>'Baseline Price'!Z41*'Baseline Consumption'!Z63</f>
        <v>0.20561024426221519</v>
      </c>
      <c r="L46" s="304">
        <f>'Baseline Price'!AA41*'Baseline Consumption'!AA63</f>
        <v>0.2227775817211616</v>
      </c>
      <c r="M46" s="304">
        <f>'Baseline Price'!AB41*'Baseline Consumption'!AB63</f>
        <v>0.23711388414155485</v>
      </c>
      <c r="N46" s="304">
        <f>'Baseline Price'!AC41*'Baseline Consumption'!AC63</f>
        <v>0.2498136568794101</v>
      </c>
      <c r="O46" s="304">
        <f>'Baseline Price'!AD41*'Baseline Consumption'!AD63</f>
        <v>0.25994129451331333</v>
      </c>
      <c r="P46" s="304">
        <f>'Baseline Price'!AE41*'Baseline Consumption'!AE63</f>
        <v>0.26980370576963897</v>
      </c>
      <c r="Q46" s="304">
        <f>'Baseline Price'!AF41*'Baseline Consumption'!AF63</f>
        <v>0.27620265398744587</v>
      </c>
      <c r="R46" s="304">
        <f>'Baseline Price'!AG41*'Baseline Consumption'!AG63</f>
        <v>0.28793391078269015</v>
      </c>
      <c r="S46" s="304">
        <f>'Baseline Price'!AH41*'Baseline Consumption'!AH63</f>
        <v>0.29724457996126763</v>
      </c>
      <c r="T46" s="304">
        <f>'Baseline Price'!AI41*'Baseline Consumption'!AI63</f>
        <v>0.30592554270812816</v>
      </c>
      <c r="U46" s="304">
        <f>'Baseline Price'!AJ41*'Baseline Consumption'!AJ63</f>
        <v>0.31403694672141558</v>
      </c>
      <c r="V46" s="304">
        <f>'Baseline Price'!AK41*'Baseline Consumption'!AK63</f>
        <v>0.32181915027643199</v>
      </c>
      <c r="W46" s="304">
        <f>'Baseline Price'!AL41*'Baseline Consumption'!AL63</f>
        <v>0.32983059244800411</v>
      </c>
      <c r="X46" s="304">
        <f>'Baseline Price'!AM41*'Baseline Consumption'!AM63</f>
        <v>0.33808322465055063</v>
      </c>
      <c r="Y46" s="304">
        <f>'Baseline Price'!AN41*'Baseline Consumption'!AN63</f>
        <v>0.34551511065778828</v>
      </c>
      <c r="Z46" s="304">
        <f>'Baseline Price'!AO41*'Baseline Consumption'!AO63</f>
        <v>0.35252219359957698</v>
      </c>
      <c r="AA46" s="304">
        <f>'Baseline Price'!AP41*'Baseline Consumption'!AP63</f>
        <v>0.36098547229913425</v>
      </c>
      <c r="AB46" s="304">
        <f>'Baseline Price'!AQ41*'Baseline Consumption'!AQ63</f>
        <v>0.36852445819727475</v>
      </c>
      <c r="AC46" s="304">
        <f>'Baseline Price'!AR41*'Baseline Consumption'!AR63</f>
        <v>0.37552357878170473</v>
      </c>
      <c r="AD46" s="304">
        <f>'Baseline Price'!AS41*'Baseline Consumption'!AS63</f>
        <v>0.38178685764352238</v>
      </c>
      <c r="AE46" s="304">
        <f>'Baseline Price'!AT41*'Baseline Consumption'!AT63</f>
        <v>0.38780200783851831</v>
      </c>
      <c r="AF46" s="304">
        <f>'Baseline Price'!AU41*'Baseline Consumption'!AU63</f>
        <v>0.39369952345963238</v>
      </c>
    </row>
    <row r="47" spans="1:32">
      <c r="A47" s="46" t="s">
        <v>4</v>
      </c>
      <c r="B47" s="304">
        <f t="shared" ref="B47:V47" si="6">SUM(B39:B46)</f>
        <v>13.45838972071739</v>
      </c>
      <c r="C47" s="304">
        <f t="shared" si="6"/>
        <v>14.310210105036115</v>
      </c>
      <c r="D47" s="304">
        <f t="shared" si="6"/>
        <v>14.740219456391285</v>
      </c>
      <c r="E47" s="304">
        <f t="shared" si="6"/>
        <v>14.946286890364011</v>
      </c>
      <c r="F47" s="304">
        <f t="shared" si="6"/>
        <v>16.249787455090612</v>
      </c>
      <c r="G47" s="304">
        <f t="shared" si="6"/>
        <v>16.233940915824149</v>
      </c>
      <c r="H47" s="304">
        <f t="shared" si="6"/>
        <v>16.190683208566572</v>
      </c>
      <c r="I47" s="304">
        <f t="shared" si="6"/>
        <v>16.200264014715387</v>
      </c>
      <c r="J47" s="304">
        <f t="shared" si="6"/>
        <v>16.260661991249627</v>
      </c>
      <c r="K47" s="304">
        <f t="shared" si="6"/>
        <v>16.520262174734871</v>
      </c>
      <c r="L47" s="304">
        <f t="shared" si="6"/>
        <v>16.501404437956651</v>
      </c>
      <c r="M47" s="304">
        <f t="shared" si="6"/>
        <v>16.60251541377967</v>
      </c>
      <c r="N47" s="304">
        <f t="shared" si="6"/>
        <v>16.604494513312538</v>
      </c>
      <c r="O47" s="304">
        <f t="shared" si="6"/>
        <v>16.619278399233316</v>
      </c>
      <c r="P47" s="304">
        <f t="shared" si="6"/>
        <v>16.668856222882464</v>
      </c>
      <c r="Q47" s="304">
        <f t="shared" si="6"/>
        <v>16.664179549926086</v>
      </c>
      <c r="R47" s="304">
        <f t="shared" si="6"/>
        <v>16.703088720806178</v>
      </c>
      <c r="S47" s="304">
        <f t="shared" si="6"/>
        <v>16.924397696687201</v>
      </c>
      <c r="T47" s="304">
        <f t="shared" si="6"/>
        <v>17.02908427965346</v>
      </c>
      <c r="U47" s="304">
        <f t="shared" si="6"/>
        <v>17.158739445582516</v>
      </c>
      <c r="V47" s="304">
        <f t="shared" si="6"/>
        <v>17.300844486067383</v>
      </c>
      <c r="W47" s="304">
        <f t="shared" ref="W47:AF47" si="7">SUM(W39:W46)</f>
        <v>17.452100183132252</v>
      </c>
      <c r="X47" s="304">
        <f t="shared" si="7"/>
        <v>17.54361408564526</v>
      </c>
      <c r="Y47" s="304">
        <f t="shared" si="7"/>
        <v>17.680269649521382</v>
      </c>
      <c r="Z47" s="304">
        <f t="shared" si="7"/>
        <v>17.77059784206179</v>
      </c>
      <c r="AA47" s="304">
        <f t="shared" si="7"/>
        <v>17.89567846296416</v>
      </c>
      <c r="AB47" s="304">
        <f t="shared" si="7"/>
        <v>17.919806946884453</v>
      </c>
      <c r="AC47" s="304">
        <f t="shared" si="7"/>
        <v>18.046336262250513</v>
      </c>
      <c r="AD47" s="304">
        <f t="shared" si="7"/>
        <v>18.203032330699468</v>
      </c>
      <c r="AE47" s="304">
        <f t="shared" si="7"/>
        <v>18.301252571885417</v>
      </c>
      <c r="AF47" s="304">
        <f t="shared" si="7"/>
        <v>18.413244558779642</v>
      </c>
    </row>
    <row r="48" spans="1:32">
      <c r="A48" s="4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row>
    <row r="49" spans="1:32" s="5" customFormat="1" ht="13">
      <c r="A49" s="250" t="s">
        <v>1272</v>
      </c>
      <c r="B49" s="380"/>
      <c r="C49" s="380"/>
      <c r="D49" s="380"/>
      <c r="E49" s="380"/>
      <c r="F49" s="380"/>
      <c r="G49" s="380"/>
      <c r="H49" s="380"/>
      <c r="I49" s="380"/>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1"/>
    </row>
    <row r="50" spans="1:32" s="396" customFormat="1" ht="12.9" customHeight="1">
      <c r="A50" s="253" t="s">
        <v>6</v>
      </c>
      <c r="B50" s="253">
        <v>2020</v>
      </c>
      <c r="C50" s="253">
        <v>2021</v>
      </c>
      <c r="D50" s="253">
        <v>2022</v>
      </c>
      <c r="E50" s="253">
        <v>2023</v>
      </c>
      <c r="F50" s="253">
        <v>2024</v>
      </c>
      <c r="G50" s="253">
        <v>2025</v>
      </c>
      <c r="H50" s="253">
        <v>2026</v>
      </c>
      <c r="I50" s="253">
        <v>2027</v>
      </c>
      <c r="J50" s="253">
        <v>2028</v>
      </c>
      <c r="K50" s="253">
        <v>2029</v>
      </c>
      <c r="L50" s="253">
        <v>2030</v>
      </c>
      <c r="M50" s="253">
        <v>2031</v>
      </c>
      <c r="N50" s="253">
        <v>2032</v>
      </c>
      <c r="O50" s="253">
        <v>2033</v>
      </c>
      <c r="P50" s="253">
        <v>2034</v>
      </c>
      <c r="Q50" s="253">
        <v>2035</v>
      </c>
      <c r="R50" s="253">
        <v>2036</v>
      </c>
      <c r="S50" s="253">
        <v>2037</v>
      </c>
      <c r="T50" s="253">
        <v>2038</v>
      </c>
      <c r="U50" s="253">
        <v>2039</v>
      </c>
      <c r="V50" s="253">
        <v>2040</v>
      </c>
      <c r="W50" s="253">
        <v>2041</v>
      </c>
      <c r="X50" s="253">
        <v>2042</v>
      </c>
      <c r="Y50" s="253">
        <v>2043</v>
      </c>
      <c r="Z50" s="253">
        <v>2044</v>
      </c>
      <c r="AA50" s="253">
        <v>2045</v>
      </c>
      <c r="AB50" s="253">
        <v>2046</v>
      </c>
      <c r="AC50" s="253">
        <v>2047</v>
      </c>
      <c r="AD50" s="253">
        <v>2048</v>
      </c>
      <c r="AE50" s="253">
        <v>2049</v>
      </c>
      <c r="AF50" s="253">
        <v>2050</v>
      </c>
    </row>
    <row r="51" spans="1:32">
      <c r="A51" s="40" t="s">
        <v>338</v>
      </c>
      <c r="B51" s="304">
        <f t="shared" ref="B51:AF51" si="8">B12+B21+B35+B47</f>
        <v>23.649116249749568</v>
      </c>
      <c r="C51" s="304">
        <f t="shared" si="8"/>
        <v>24.167280947997739</v>
      </c>
      <c r="D51" s="304">
        <f t="shared" si="8"/>
        <v>24.728322133334636</v>
      </c>
      <c r="E51" s="304">
        <f t="shared" si="8"/>
        <v>25.073679421863158</v>
      </c>
      <c r="F51" s="304">
        <f t="shared" si="8"/>
        <v>26.49206961529616</v>
      </c>
      <c r="G51" s="304">
        <f t="shared" si="8"/>
        <v>26.804042726708889</v>
      </c>
      <c r="H51" s="304">
        <f t="shared" si="8"/>
        <v>26.963847149526845</v>
      </c>
      <c r="I51" s="304">
        <f t="shared" si="8"/>
        <v>27.015207340515374</v>
      </c>
      <c r="J51" s="304">
        <f t="shared" si="8"/>
        <v>27.142092527140321</v>
      </c>
      <c r="K51" s="304">
        <f t="shared" si="8"/>
        <v>27.850157557420509</v>
      </c>
      <c r="L51" s="304">
        <f t="shared" si="8"/>
        <v>28.001395731833803</v>
      </c>
      <c r="M51" s="304">
        <f t="shared" si="8"/>
        <v>28.324826619093471</v>
      </c>
      <c r="N51" s="304">
        <f t="shared" si="8"/>
        <v>28.554796357964818</v>
      </c>
      <c r="O51" s="304">
        <f t="shared" si="8"/>
        <v>28.745938836849721</v>
      </c>
      <c r="P51" s="304">
        <f t="shared" si="8"/>
        <v>28.980916389922104</v>
      </c>
      <c r="Q51" s="304">
        <f t="shared" si="8"/>
        <v>29.158772877339413</v>
      </c>
      <c r="R51" s="304">
        <f t="shared" si="8"/>
        <v>29.411484915818065</v>
      </c>
      <c r="S51" s="304">
        <f t="shared" si="8"/>
        <v>29.796535111562214</v>
      </c>
      <c r="T51" s="304">
        <f t="shared" si="8"/>
        <v>30.029315969342548</v>
      </c>
      <c r="U51" s="304">
        <f t="shared" si="8"/>
        <v>30.309180004844539</v>
      </c>
      <c r="V51" s="304">
        <f t="shared" si="8"/>
        <v>30.558427292111908</v>
      </c>
      <c r="W51" s="304">
        <f t="shared" si="8"/>
        <v>30.871909105678689</v>
      </c>
      <c r="X51" s="304">
        <f t="shared" si="8"/>
        <v>31.136637692696876</v>
      </c>
      <c r="Y51" s="304">
        <f t="shared" si="8"/>
        <v>31.403478894652654</v>
      </c>
      <c r="Z51" s="304">
        <f t="shared" si="8"/>
        <v>31.606142111692471</v>
      </c>
      <c r="AA51" s="304">
        <f t="shared" si="8"/>
        <v>31.923605422339648</v>
      </c>
      <c r="AB51" s="304">
        <f t="shared" si="8"/>
        <v>32.095231957966988</v>
      </c>
      <c r="AC51" s="304">
        <f t="shared" si="8"/>
        <v>32.359387262171694</v>
      </c>
      <c r="AD51" s="304">
        <f t="shared" si="8"/>
        <v>32.673070914030411</v>
      </c>
      <c r="AE51" s="304">
        <f t="shared" si="8"/>
        <v>32.89673535098818</v>
      </c>
      <c r="AF51" s="304">
        <f t="shared" si="8"/>
        <v>33.134301709464907</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F107"/>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33203125" defaultRowHeight="12"/>
  <cols>
    <col min="1" max="1" width="38.109375" style="5" customWidth="1"/>
    <col min="2" max="22" width="8.88671875" style="5" customWidth="1"/>
    <col min="23" max="23" width="8.88671875" style="225" customWidth="1"/>
    <col min="24" max="32" width="8.88671875" style="5" customWidth="1"/>
    <col min="33" max="16384" width="9.33203125" style="5"/>
  </cols>
  <sheetData>
    <row r="1" spans="1:32" s="280" customFormat="1" ht="26.15" customHeight="1">
      <c r="A1" s="281" t="s">
        <v>291</v>
      </c>
    </row>
    <row r="2" spans="1:32" s="280" customFormat="1" ht="12.9" customHeight="1">
      <c r="A2" s="43" t="s">
        <v>359</v>
      </c>
      <c r="B2" s="280" t="s">
        <v>401</v>
      </c>
    </row>
    <row r="3" spans="1:32" s="280" customFormat="1" ht="12.9" customHeight="1">
      <c r="A3" s="43" t="s">
        <v>360</v>
      </c>
      <c r="B3" s="280" t="s">
        <v>400</v>
      </c>
    </row>
    <row r="4" spans="1:32" s="280" customFormat="1" ht="12.9" customHeight="1">
      <c r="A4" s="43" t="s">
        <v>357</v>
      </c>
      <c r="B4" s="280" t="s">
        <v>402</v>
      </c>
    </row>
    <row r="5" spans="1:32" s="280" customFormat="1" ht="12.9" customHeight="1"/>
    <row r="6" spans="1:32" ht="13">
      <c r="A6" s="250" t="s">
        <v>21</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1"/>
    </row>
    <row r="7" spans="1:32" s="280" customFormat="1" ht="12.9" customHeight="1">
      <c r="A7" s="253" t="s">
        <v>6</v>
      </c>
      <c r="B7" s="253">
        <v>2020</v>
      </c>
      <c r="C7" s="253">
        <v>2021</v>
      </c>
      <c r="D7" s="253">
        <v>2022</v>
      </c>
      <c r="E7" s="253">
        <v>2023</v>
      </c>
      <c r="F7" s="253">
        <v>2024</v>
      </c>
      <c r="G7" s="253">
        <v>2025</v>
      </c>
      <c r="H7" s="253">
        <v>2026</v>
      </c>
      <c r="I7" s="253">
        <v>2027</v>
      </c>
      <c r="J7" s="253">
        <v>2028</v>
      </c>
      <c r="K7" s="253">
        <v>2029</v>
      </c>
      <c r="L7" s="253">
        <v>2030</v>
      </c>
      <c r="M7" s="253">
        <v>2031</v>
      </c>
      <c r="N7" s="253">
        <v>2032</v>
      </c>
      <c r="O7" s="253">
        <v>2033</v>
      </c>
      <c r="P7" s="253">
        <v>2034</v>
      </c>
      <c r="Q7" s="253">
        <v>2035</v>
      </c>
      <c r="R7" s="253">
        <v>2036</v>
      </c>
      <c r="S7" s="253">
        <v>2037</v>
      </c>
      <c r="T7" s="253">
        <v>2038</v>
      </c>
      <c r="U7" s="253">
        <v>2039</v>
      </c>
      <c r="V7" s="253">
        <v>2040</v>
      </c>
      <c r="W7" s="253">
        <v>2041</v>
      </c>
      <c r="X7" s="253">
        <v>2042</v>
      </c>
      <c r="Y7" s="253">
        <v>2043</v>
      </c>
      <c r="Z7" s="253">
        <v>2044</v>
      </c>
      <c r="AA7" s="253">
        <v>2045</v>
      </c>
      <c r="AB7" s="253">
        <v>2046</v>
      </c>
      <c r="AC7" s="253">
        <v>2047</v>
      </c>
      <c r="AD7" s="253">
        <v>2048</v>
      </c>
      <c r="AE7" s="253">
        <v>2049</v>
      </c>
      <c r="AF7" s="253">
        <v>2050</v>
      </c>
    </row>
    <row r="8" spans="1:32">
      <c r="A8" s="40" t="s">
        <v>22</v>
      </c>
      <c r="B8" s="309">
        <f>ramps!C21/'Baseline Price'!Q8</f>
        <v>2.1785487178656627E-2</v>
      </c>
      <c r="C8" s="309">
        <f>ramps!D21/'Baseline Price'!R8</f>
        <v>2.7026012988134913E-2</v>
      </c>
      <c r="D8" s="309">
        <f>ramps!E21/'Baseline Price'!S8</f>
        <v>3.1868932108697463E-2</v>
      </c>
      <c r="E8" s="309">
        <f>ramps!F21/'Baseline Price'!T8</f>
        <v>3.6595281765608847E-2</v>
      </c>
      <c r="F8" s="309">
        <f>ramps!G21/'Baseline Price'!U8</f>
        <v>4.1001389575324287E-2</v>
      </c>
      <c r="G8" s="309">
        <f>ramps!H21/'Baseline Price'!V8</f>
        <v>4.5124416885736485E-2</v>
      </c>
      <c r="H8" s="309">
        <f>ramps!I21/'Baseline Price'!W8</f>
        <v>4.9165728489662511E-2</v>
      </c>
      <c r="I8" s="309">
        <f>ramps!J21/'Baseline Price'!X8</f>
        <v>5.3259656022974465E-2</v>
      </c>
      <c r="J8" s="309">
        <f>ramps!K21/'Baseline Price'!Y8</f>
        <v>5.7442442470275676E-2</v>
      </c>
      <c r="K8" s="309">
        <f>ramps!L21/'Baseline Price'!Z8</f>
        <v>5.812742396246523E-2</v>
      </c>
      <c r="L8" s="309">
        <f>ramps!M21/'Baseline Price'!AA8</f>
        <v>6.2402081872924134E-2</v>
      </c>
      <c r="M8" s="309">
        <f>ramps!N21/'Baseline Price'!AB8</f>
        <v>6.6197120710500532E-2</v>
      </c>
      <c r="N8" s="309">
        <f>ramps!O21/'Baseline Price'!AC8</f>
        <v>7.0342720899206693E-2</v>
      </c>
      <c r="O8" s="309">
        <f>ramps!P21/'Baseline Price'!AD8</f>
        <v>7.4338601010142849E-2</v>
      </c>
      <c r="P8" s="309">
        <f>ramps!Q21/'Baseline Price'!AE8</f>
        <v>7.524437204596672E-2</v>
      </c>
      <c r="Q8" s="309">
        <f>ramps!R21/'Baseline Price'!AF8</f>
        <v>7.4679674199968807E-2</v>
      </c>
      <c r="R8" s="309">
        <f>ramps!S21/'Baseline Price'!AG8</f>
        <v>7.4107183356354786E-2</v>
      </c>
      <c r="S8" s="309">
        <f>ramps!T21/'Baseline Price'!AH8</f>
        <v>7.3645042954287213E-2</v>
      </c>
      <c r="T8" s="309">
        <f>ramps!U21/'Baseline Price'!AI8</f>
        <v>7.3279612835143032E-2</v>
      </c>
      <c r="U8" s="309">
        <f>ramps!V21/'Baseline Price'!AJ8</f>
        <v>7.2948866569284371E-2</v>
      </c>
      <c r="V8" s="309">
        <f>ramps!W21/'Baseline Price'!AK8</f>
        <v>7.265191529486599E-2</v>
      </c>
      <c r="W8" s="309">
        <f>ramps!X21/'Baseline Price'!AL8</f>
        <v>7.2447147142319493E-2</v>
      </c>
      <c r="X8" s="309">
        <f>ramps!Y21/'Baseline Price'!AM8</f>
        <v>7.2228437254258912E-2</v>
      </c>
      <c r="Y8" s="309">
        <f>ramps!Z21/'Baseline Price'!AN8</f>
        <v>7.1998907947199695E-2</v>
      </c>
      <c r="Z8" s="309">
        <f>ramps!AA21/'Baseline Price'!AO8</f>
        <v>7.177863799965245E-2</v>
      </c>
      <c r="AA8" s="309">
        <f>ramps!AB21/'Baseline Price'!AP8</f>
        <v>7.161703185488319E-2</v>
      </c>
      <c r="AB8" s="309">
        <f>ramps!AC21/'Baseline Price'!AQ8</f>
        <v>7.1523535836966384E-2</v>
      </c>
      <c r="AC8" s="309">
        <f>ramps!AD21/'Baseline Price'!AR8</f>
        <v>7.1475533195083041E-2</v>
      </c>
      <c r="AD8" s="309">
        <f>ramps!AE21/'Baseline Price'!AS8</f>
        <v>7.1457476663018452E-2</v>
      </c>
      <c r="AE8" s="309">
        <f>ramps!AF21/'Baseline Price'!AT8</f>
        <v>7.1526410817108615E-2</v>
      </c>
      <c r="AF8" s="309">
        <f>ramps!AG21/'Baseline Price'!AU8</f>
        <v>7.1704768671067468E-2</v>
      </c>
    </row>
    <row r="9" spans="1:32">
      <c r="A9" s="40" t="s">
        <v>23</v>
      </c>
      <c r="B9" s="309">
        <f>ramps!C19/'Baseline Price'!Q9</f>
        <v>3.1470534394626735E-2</v>
      </c>
      <c r="C9" s="309">
        <f>ramps!D19/'Baseline Price'!R9</f>
        <v>4.0372689661742713E-2</v>
      </c>
      <c r="D9" s="309">
        <f>ramps!E19/'Baseline Price'!S9</f>
        <v>4.9582881467809196E-2</v>
      </c>
      <c r="E9" s="309">
        <f>ramps!F19/'Baseline Price'!T9</f>
        <v>5.7530883034170123E-2</v>
      </c>
      <c r="F9" s="309">
        <f>ramps!G19/'Baseline Price'!U9</f>
        <v>6.4322826485608289E-2</v>
      </c>
      <c r="G9" s="309">
        <f>ramps!H19/'Baseline Price'!V9</f>
        <v>7.2053154996373617E-2</v>
      </c>
      <c r="H9" s="309">
        <f>ramps!I19/'Baseline Price'!W9</f>
        <v>7.9201402996281672E-2</v>
      </c>
      <c r="I9" s="309">
        <f>ramps!J19/'Baseline Price'!X9</f>
        <v>8.5555587834592661E-2</v>
      </c>
      <c r="J9" s="309">
        <f>ramps!K19/'Baseline Price'!Y9</f>
        <v>9.315786897076607E-2</v>
      </c>
      <c r="K9" s="309">
        <f>ramps!L19/'Baseline Price'!Z9</f>
        <v>9.8746733190781658E-2</v>
      </c>
      <c r="L9" s="309">
        <f>ramps!M19/'Baseline Price'!AA9</f>
        <v>0.10637344145276312</v>
      </c>
      <c r="M9" s="309">
        <f>ramps!N19/'Baseline Price'!AB9</f>
        <v>0.11337046282519649</v>
      </c>
      <c r="N9" s="309">
        <f>ramps!O19/'Baseline Price'!AC9</f>
        <v>0.11987300991975965</v>
      </c>
      <c r="O9" s="309">
        <f>ramps!P19/'Baseline Price'!AD9</f>
        <v>0.12651749696020567</v>
      </c>
      <c r="P9" s="309">
        <f>ramps!Q19/'Baseline Price'!AE9</f>
        <v>0.12885995911853942</v>
      </c>
      <c r="Q9" s="309">
        <f>ramps!R19/'Baseline Price'!AF9</f>
        <v>0.12778588515020409</v>
      </c>
      <c r="R9" s="309">
        <f>ramps!S19/'Baseline Price'!AG9</f>
        <v>0.12626712468749968</v>
      </c>
      <c r="S9" s="309">
        <f>ramps!T19/'Baseline Price'!AH9</f>
        <v>0.12643722306315894</v>
      </c>
      <c r="T9" s="309">
        <f>ramps!U19/'Baseline Price'!AI9</f>
        <v>0.12567943349793476</v>
      </c>
      <c r="U9" s="309">
        <f>ramps!V19/'Baseline Price'!AJ9</f>
        <v>0.12491526595356645</v>
      </c>
      <c r="V9" s="309">
        <f>ramps!W19/'Baseline Price'!AK9</f>
        <v>0.12445738960093602</v>
      </c>
      <c r="W9" s="309">
        <f>ramps!X19/'Baseline Price'!AL9</f>
        <v>0.12409556556244404</v>
      </c>
      <c r="X9" s="309">
        <f>ramps!Y19/'Baseline Price'!AM9</f>
        <v>0.12294782185201811</v>
      </c>
      <c r="Y9" s="309">
        <f>ramps!Z19/'Baseline Price'!AN9</f>
        <v>0.1227432771753616</v>
      </c>
      <c r="Z9" s="309">
        <f>ramps!AA19/'Baseline Price'!AO9</f>
        <v>0.12287489836994481</v>
      </c>
      <c r="AA9" s="309">
        <f>ramps!AB19/'Baseline Price'!AP9</f>
        <v>0.12259988723156787</v>
      </c>
      <c r="AB9" s="309">
        <f>ramps!AC19/'Baseline Price'!AQ9</f>
        <v>0.12251218204864756</v>
      </c>
      <c r="AC9" s="309">
        <f>ramps!AD19/'Baseline Price'!AR9</f>
        <v>0.12245757401685654</v>
      </c>
      <c r="AD9" s="309">
        <f>ramps!AE19/'Baseline Price'!AS9</f>
        <v>0.12220585868418557</v>
      </c>
      <c r="AE9" s="309">
        <f>ramps!AF19/'Baseline Price'!AT9</f>
        <v>0.12242717574681333</v>
      </c>
      <c r="AF9" s="309">
        <f>ramps!AG19/'Baseline Price'!AU9</f>
        <v>0.12251903969325456</v>
      </c>
    </row>
    <row r="10" spans="1:32">
      <c r="A10" s="40" t="s">
        <v>24</v>
      </c>
      <c r="B10" s="309">
        <f>ramps!C16/'Baseline Price'!Q10</f>
        <v>4.4319535581832117E-2</v>
      </c>
      <c r="C10" s="309">
        <f>ramps!D16/'Baseline Price'!R10</f>
        <v>5.9302369403656144E-2</v>
      </c>
      <c r="D10" s="309">
        <f>ramps!E16/'Baseline Price'!S10</f>
        <v>7.4594945480096486E-2</v>
      </c>
      <c r="E10" s="309">
        <f>ramps!F16/'Baseline Price'!T10</f>
        <v>8.9929489818014324E-2</v>
      </c>
      <c r="F10" s="309">
        <f>ramps!G16/'Baseline Price'!U10</f>
        <v>0.10582692718584953</v>
      </c>
      <c r="G10" s="309">
        <f>ramps!H16/'Baseline Price'!V10</f>
        <v>0.11791496065194734</v>
      </c>
      <c r="H10" s="309">
        <f>ramps!I16/'Baseline Price'!W10</f>
        <v>0.13054522688119308</v>
      </c>
      <c r="I10" s="309">
        <f>ramps!J16/'Baseline Price'!X10</f>
        <v>0.1439802885605109</v>
      </c>
      <c r="J10" s="309">
        <f>ramps!K16/'Baseline Price'!Y10</f>
        <v>0.1567901923458129</v>
      </c>
      <c r="K10" s="309">
        <f>ramps!L16/'Baseline Price'!Z10</f>
        <v>0.14319806341754623</v>
      </c>
      <c r="L10" s="309">
        <f>ramps!M16/'Baseline Price'!AA10</f>
        <v>0.1541305140337858</v>
      </c>
      <c r="M10" s="309">
        <f>ramps!N16/'Baseline Price'!AB10</f>
        <v>0.16169682882323813</v>
      </c>
      <c r="N10" s="309">
        <f>ramps!O16/'Baseline Price'!AC10</f>
        <v>0.17161424510130904</v>
      </c>
      <c r="O10" s="309">
        <f>ramps!P16/'Baseline Price'!AD10</f>
        <v>0.18161405379483858</v>
      </c>
      <c r="P10" s="309">
        <f>ramps!Q16/'Baseline Price'!AE10</f>
        <v>0.18447356353714817</v>
      </c>
      <c r="Q10" s="309">
        <f>ramps!R16/'Baseline Price'!AF10</f>
        <v>0.18366904022870101</v>
      </c>
      <c r="R10" s="309">
        <f>ramps!S16/'Baseline Price'!AG10</f>
        <v>0.18283085803531351</v>
      </c>
      <c r="S10" s="309">
        <f>ramps!T16/'Baseline Price'!AH10</f>
        <v>0.18210742441111766</v>
      </c>
      <c r="T10" s="309">
        <f>ramps!U16/'Baseline Price'!AI10</f>
        <v>0.18170656356939693</v>
      </c>
      <c r="U10" s="309">
        <f>ramps!V16/'Baseline Price'!AJ10</f>
        <v>0.18123073121208791</v>
      </c>
      <c r="V10" s="309">
        <f>ramps!W16/'Baseline Price'!AK10</f>
        <v>0.18038240435091846</v>
      </c>
      <c r="W10" s="309">
        <f>ramps!X16/'Baseline Price'!AL10</f>
        <v>0.18003372694404426</v>
      </c>
      <c r="X10" s="309">
        <f>ramps!Y16/'Baseline Price'!AM10</f>
        <v>0.17939903925429521</v>
      </c>
      <c r="Y10" s="309">
        <f>ramps!Z16/'Baseline Price'!AN10</f>
        <v>0.17850014882675611</v>
      </c>
      <c r="Z10" s="309">
        <f>ramps!AA16/'Baseline Price'!AO10</f>
        <v>0.17746276214250245</v>
      </c>
      <c r="AA10" s="309">
        <f>ramps!AB16/'Baseline Price'!AP10</f>
        <v>0.17628373811809739</v>
      </c>
      <c r="AB10" s="309">
        <f>ramps!AC16/'Baseline Price'!AQ10</f>
        <v>0.17532080888265086</v>
      </c>
      <c r="AC10" s="309">
        <f>ramps!AD16/'Baseline Price'!AR10</f>
        <v>0.17413046028685578</v>
      </c>
      <c r="AD10" s="309">
        <f>ramps!AE16/'Baseline Price'!AS10</f>
        <v>0.17270737764859043</v>
      </c>
      <c r="AE10" s="309">
        <f>ramps!AF16/'Baseline Price'!AT10</f>
        <v>0.17134540710773097</v>
      </c>
      <c r="AF10" s="309">
        <f>ramps!AG16/'Baseline Price'!AU10</f>
        <v>0.17028474407883676</v>
      </c>
    </row>
    <row r="11" spans="1:32">
      <c r="A11" s="40" t="s">
        <v>25</v>
      </c>
      <c r="B11" s="512">
        <f>B90/'Baseline Price'!Q11</f>
        <v>1.4515017209378053E-2</v>
      </c>
      <c r="C11" s="309">
        <f>C90/'Baseline Price'!R11</f>
        <v>1.5710218420332701E-2</v>
      </c>
      <c r="D11" s="309">
        <f>D90/'Baseline Price'!S11</f>
        <v>1.0847516158182056E-2</v>
      </c>
      <c r="E11" s="309">
        <f>E90/'Baseline Price'!T11</f>
        <v>1.2345899856338162E-2</v>
      </c>
      <c r="F11" s="309">
        <f>F90/'Baseline Price'!U11</f>
        <v>7.8126957729217524E-3</v>
      </c>
      <c r="G11" s="309">
        <f>G90/'Baseline Price'!V11</f>
        <v>-2.1038685129519206E-3</v>
      </c>
      <c r="H11" s="309">
        <f>H90/'Baseline Price'!W11</f>
        <v>-5.716378548207255E-3</v>
      </c>
      <c r="I11" s="309">
        <f>I90/'Baseline Price'!X11</f>
        <v>-4.4656789338527233E-3</v>
      </c>
      <c r="J11" s="309">
        <f>J90/'Baseline Price'!Y11</f>
        <v>-2.9535897570038888E-3</v>
      </c>
      <c r="K11" s="309">
        <f>K90/'Baseline Price'!Z11</f>
        <v>2.2834693531164586E-3</v>
      </c>
      <c r="L11" s="309">
        <f>L90/'Baseline Price'!AA11</f>
        <v>3.3798120360203389E-3</v>
      </c>
      <c r="M11" s="309">
        <f>M90/'Baseline Price'!AB11</f>
        <v>4.3997147941755412E-3</v>
      </c>
      <c r="N11" s="309">
        <f>N90/'Baseline Price'!AC11</f>
        <v>5.2261699732976041E-3</v>
      </c>
      <c r="O11" s="309">
        <f>O90/'Baseline Price'!AD11</f>
        <v>5.7434717246416774E-3</v>
      </c>
      <c r="P11" s="309">
        <f>P90/'Baseline Price'!AE11</f>
        <v>5.4888136117255126E-3</v>
      </c>
      <c r="Q11" s="309">
        <f>Q90/'Baseline Price'!AF11</f>
        <v>4.9109737685911099E-3</v>
      </c>
      <c r="R11" s="309">
        <f>R90/'Baseline Price'!AG11</f>
        <v>4.3223031152377208E-3</v>
      </c>
      <c r="S11" s="309">
        <f>S90/'Baseline Price'!AH11</f>
        <v>3.7669850421422593E-3</v>
      </c>
      <c r="T11" s="309">
        <f>T90/'Baseline Price'!AI11</f>
        <v>3.2420478843154343E-3</v>
      </c>
      <c r="U11" s="309">
        <f>U90/'Baseline Price'!AJ11</f>
        <v>2.7258498911273128E-3</v>
      </c>
      <c r="V11" s="309">
        <f>V90/'Baseline Price'!AK11</f>
        <v>2.2172776488376122E-3</v>
      </c>
      <c r="W11" s="309">
        <f>W90/'Baseline Price'!AL11</f>
        <v>1.7052196751537246E-3</v>
      </c>
      <c r="X11" s="309">
        <f>X90/'Baseline Price'!AM11</f>
        <v>1.2008914919243922E-3</v>
      </c>
      <c r="Y11" s="309">
        <f>Y90/'Baseline Price'!AN11</f>
        <v>7.0833502491098152E-4</v>
      </c>
      <c r="Z11" s="309">
        <f>Z90/'Baseline Price'!AO11</f>
        <v>2.2016224715387607E-4</v>
      </c>
      <c r="AA11" s="309">
        <f>AA90/'Baseline Price'!AP11</f>
        <v>-2.613739796096264E-4</v>
      </c>
      <c r="AB11" s="309">
        <f>AB90/'Baseline Price'!AQ11</f>
        <v>-2.5914272733458521E-4</v>
      </c>
      <c r="AC11" s="309">
        <f>AC90/'Baseline Price'!AR11</f>
        <v>-2.5746964272417279E-4</v>
      </c>
      <c r="AD11" s="309">
        <f>AD90/'Baseline Price'!AS11</f>
        <v>-2.5581517572577199E-4</v>
      </c>
      <c r="AE11" s="309">
        <f>AE90/'Baseline Price'!AT11</f>
        <v>-2.5453262506205054E-4</v>
      </c>
      <c r="AF11" s="309">
        <f>AF90/'Baseline Price'!AU11</f>
        <v>-2.5375294319782534E-4</v>
      </c>
    </row>
    <row r="12" spans="1:32">
      <c r="A12" s="40"/>
      <c r="B12" s="309"/>
      <c r="C12" s="309"/>
      <c r="D12" s="309"/>
      <c r="E12" s="309"/>
      <c r="F12" s="309"/>
      <c r="G12" s="309"/>
      <c r="H12" s="309"/>
      <c r="I12" s="309"/>
      <c r="J12" s="309"/>
      <c r="K12" s="309"/>
      <c r="L12" s="309"/>
      <c r="M12" s="309"/>
      <c r="N12" s="309"/>
      <c r="O12" s="309"/>
      <c r="P12" s="309"/>
      <c r="Q12" s="309"/>
      <c r="R12" s="283"/>
      <c r="S12" s="283"/>
      <c r="T12" s="283"/>
      <c r="U12" s="283"/>
      <c r="V12" s="283"/>
      <c r="W12" s="309"/>
      <c r="X12" s="309"/>
      <c r="Y12" s="309"/>
      <c r="Z12" s="309"/>
      <c r="AA12" s="309"/>
      <c r="AB12" s="309"/>
      <c r="AC12" s="309"/>
      <c r="AD12" s="309"/>
      <c r="AE12" s="309"/>
      <c r="AF12" s="309"/>
    </row>
    <row r="13" spans="1:32" ht="13">
      <c r="A13" s="250" t="s">
        <v>27</v>
      </c>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1"/>
    </row>
    <row r="14" spans="1:32" s="396" customFormat="1" ht="12.9" customHeight="1">
      <c r="A14" s="253" t="s">
        <v>6</v>
      </c>
      <c r="B14" s="253">
        <v>2020</v>
      </c>
      <c r="C14" s="253">
        <v>2021</v>
      </c>
      <c r="D14" s="253">
        <v>2022</v>
      </c>
      <c r="E14" s="253">
        <v>2023</v>
      </c>
      <c r="F14" s="253">
        <v>2024</v>
      </c>
      <c r="G14" s="253">
        <v>2025</v>
      </c>
      <c r="H14" s="253">
        <v>2026</v>
      </c>
      <c r="I14" s="253">
        <v>2027</v>
      </c>
      <c r="J14" s="253">
        <v>2028</v>
      </c>
      <c r="K14" s="253">
        <v>2029</v>
      </c>
      <c r="L14" s="253">
        <v>2030</v>
      </c>
      <c r="M14" s="253">
        <v>2031</v>
      </c>
      <c r="N14" s="253">
        <v>2032</v>
      </c>
      <c r="O14" s="253">
        <v>2033</v>
      </c>
      <c r="P14" s="253">
        <v>2034</v>
      </c>
      <c r="Q14" s="253">
        <v>2035</v>
      </c>
      <c r="R14" s="253">
        <v>2036</v>
      </c>
      <c r="S14" s="253">
        <v>2037</v>
      </c>
      <c r="T14" s="253">
        <v>2038</v>
      </c>
      <c r="U14" s="253">
        <v>2039</v>
      </c>
      <c r="V14" s="253">
        <v>2040</v>
      </c>
      <c r="W14" s="253">
        <v>2041</v>
      </c>
      <c r="X14" s="253">
        <v>2042</v>
      </c>
      <c r="Y14" s="253">
        <v>2043</v>
      </c>
      <c r="Z14" s="253">
        <v>2044</v>
      </c>
      <c r="AA14" s="253">
        <v>2045</v>
      </c>
      <c r="AB14" s="253">
        <v>2046</v>
      </c>
      <c r="AC14" s="253">
        <v>2047</v>
      </c>
      <c r="AD14" s="253">
        <v>2048</v>
      </c>
      <c r="AE14" s="253">
        <v>2049</v>
      </c>
      <c r="AF14" s="253">
        <v>2050</v>
      </c>
    </row>
    <row r="15" spans="1:32">
      <c r="A15" s="40" t="s">
        <v>22</v>
      </c>
      <c r="B15" s="309">
        <f>ramps!C21/'Baseline Price'!Q15</f>
        <v>3.0051642212713798E-2</v>
      </c>
      <c r="C15" s="309">
        <f>ramps!D21/'Baseline Price'!R15</f>
        <v>3.8448888157349238E-2</v>
      </c>
      <c r="D15" s="309">
        <f>ramps!E21/'Baseline Price'!S15</f>
        <v>4.6068881688160437E-2</v>
      </c>
      <c r="E15" s="309">
        <f>ramps!F21/'Baseline Price'!T15</f>
        <v>5.3691998716096402E-2</v>
      </c>
      <c r="F15" s="309">
        <f>ramps!G21/'Baseline Price'!U15</f>
        <v>6.0662124592891775E-2</v>
      </c>
      <c r="G15" s="309">
        <f>ramps!H21/'Baseline Price'!V15</f>
        <v>6.7216077153177664E-2</v>
      </c>
      <c r="H15" s="309">
        <f>ramps!I21/'Baseline Price'!W15</f>
        <v>7.3851116971463876E-2</v>
      </c>
      <c r="I15" s="309">
        <f>ramps!J21/'Baseline Price'!X15</f>
        <v>8.071412443247751E-2</v>
      </c>
      <c r="J15" s="309">
        <f>ramps!K21/'Baseline Price'!Y15</f>
        <v>8.7739456013052358E-2</v>
      </c>
      <c r="K15" s="309">
        <f>ramps!L21/'Baseline Price'!Z15</f>
        <v>8.7955051913427743E-2</v>
      </c>
      <c r="L15" s="309">
        <f>ramps!M21/'Baseline Price'!AA15</f>
        <v>9.4885524720341535E-2</v>
      </c>
      <c r="M15" s="309">
        <f>ramps!N21/'Baseline Price'!AB15</f>
        <v>0.10075556136619943</v>
      </c>
      <c r="N15" s="309">
        <f>ramps!O21/'Baseline Price'!AC15</f>
        <v>0.10710687029065201</v>
      </c>
      <c r="O15" s="309">
        <f>ramps!P21/'Baseline Price'!AD15</f>
        <v>0.1132213906851057</v>
      </c>
      <c r="P15" s="309">
        <f>ramps!Q21/'Baseline Price'!AE15</f>
        <v>0.11471209088645591</v>
      </c>
      <c r="Q15" s="309">
        <f>ramps!R21/'Baseline Price'!AF15</f>
        <v>0.1140293152012319</v>
      </c>
      <c r="R15" s="309">
        <f>ramps!S21/'Baseline Price'!AG15</f>
        <v>0.11329500925297148</v>
      </c>
      <c r="S15" s="309">
        <f>ramps!T21/'Baseline Price'!AH15</f>
        <v>0.1128191379516479</v>
      </c>
      <c r="T15" s="309">
        <f>ramps!U21/'Baseline Price'!AI15</f>
        <v>0.11247946680831711</v>
      </c>
      <c r="U15" s="309">
        <f>ramps!V21/'Baseline Price'!AJ15</f>
        <v>0.11211688267828726</v>
      </c>
      <c r="V15" s="309">
        <f>ramps!W21/'Baseline Price'!AK15</f>
        <v>0.1117801126523852</v>
      </c>
      <c r="W15" s="309">
        <f>ramps!X21/'Baseline Price'!AL15</f>
        <v>0.1116202085484161</v>
      </c>
      <c r="X15" s="309">
        <f>ramps!Y21/'Baseline Price'!AM15</f>
        <v>0.1113367083777691</v>
      </c>
      <c r="Y15" s="309">
        <f>ramps!Z21/'Baseline Price'!AN15</f>
        <v>0.11101612985222306</v>
      </c>
      <c r="Z15" s="309">
        <f>ramps!AA21/'Baseline Price'!AO15</f>
        <v>0.11072322032335019</v>
      </c>
      <c r="AA15" s="309">
        <f>ramps!AB21/'Baseline Price'!AP15</f>
        <v>0.11056339505888139</v>
      </c>
      <c r="AB15" s="309">
        <f>ramps!AC21/'Baseline Price'!AQ15</f>
        <v>0.11051397836800665</v>
      </c>
      <c r="AC15" s="309">
        <f>ramps!AD21/'Baseline Price'!AR15</f>
        <v>0.11050147228840244</v>
      </c>
      <c r="AD15" s="309">
        <f>ramps!AE21/'Baseline Price'!AS15</f>
        <v>0.11050634653846322</v>
      </c>
      <c r="AE15" s="309">
        <f>ramps!AF21/'Baseline Price'!AT15</f>
        <v>0.1106778696081058</v>
      </c>
      <c r="AF15" s="309">
        <f>ramps!AG21/'Baseline Price'!AU15</f>
        <v>0.11102741467958555</v>
      </c>
    </row>
    <row r="16" spans="1:32">
      <c r="A16" s="40" t="s">
        <v>23</v>
      </c>
      <c r="B16" s="309">
        <f>ramps!C19/'Baseline Price'!Q16</f>
        <v>3.0740212551655325E-2</v>
      </c>
      <c r="C16" s="309">
        <f>ramps!D19/'Baseline Price'!R16</f>
        <v>4.1048009487725419E-2</v>
      </c>
      <c r="D16" s="309">
        <f>ramps!E19/'Baseline Price'!S16</f>
        <v>5.2291083516911349E-2</v>
      </c>
      <c r="E16" s="309">
        <f>ramps!F19/'Baseline Price'!T16</f>
        <v>6.3147088986667904E-2</v>
      </c>
      <c r="F16" s="309">
        <f>ramps!G19/'Baseline Price'!U16</f>
        <v>7.2992773565739397E-2</v>
      </c>
      <c r="G16" s="309">
        <f>ramps!H19/'Baseline Price'!V16</f>
        <v>8.0983828077543785E-2</v>
      </c>
      <c r="H16" s="309">
        <f>ramps!I19/'Baseline Price'!W16</f>
        <v>8.8938518220541829E-2</v>
      </c>
      <c r="I16" s="309">
        <f>ramps!J19/'Baseline Price'!X16</f>
        <v>9.5722243778529045E-2</v>
      </c>
      <c r="J16" s="309">
        <f>ramps!K19/'Baseline Price'!Y16</f>
        <v>0.10385027255111738</v>
      </c>
      <c r="K16" s="309">
        <f>ramps!L19/'Baseline Price'!Z16</f>
        <v>0.10127386056383035</v>
      </c>
      <c r="L16" s="309">
        <f>ramps!M19/'Baseline Price'!AA16</f>
        <v>0.10882438570754224</v>
      </c>
      <c r="M16" s="309">
        <f>ramps!N19/'Baseline Price'!AB16</f>
        <v>0.11466071444584661</v>
      </c>
      <c r="N16" s="309">
        <f>ramps!O19/'Baseline Price'!AC16</f>
        <v>0.12124382493874752</v>
      </c>
      <c r="O16" s="309">
        <f>ramps!P19/'Baseline Price'!AD16</f>
        <v>0.12805280919500875</v>
      </c>
      <c r="P16" s="309">
        <f>ramps!Q19/'Baseline Price'!AE16</f>
        <v>0.13026355585067323</v>
      </c>
      <c r="Q16" s="309">
        <f>ramps!R19/'Baseline Price'!AF16</f>
        <v>0.12912045616465542</v>
      </c>
      <c r="R16" s="309">
        <f>ramps!S19/'Baseline Price'!AG16</f>
        <v>0.12760024529947911</v>
      </c>
      <c r="S16" s="309">
        <f>ramps!T19/'Baseline Price'!AH16</f>
        <v>0.12781562622999609</v>
      </c>
      <c r="T16" s="309">
        <f>ramps!U19/'Baseline Price'!AI16</f>
        <v>0.12700681621188273</v>
      </c>
      <c r="U16" s="309">
        <f>ramps!V19/'Baseline Price'!AJ16</f>
        <v>0.12630897714075157</v>
      </c>
      <c r="V16" s="309">
        <f>ramps!W19/'Baseline Price'!AK16</f>
        <v>0.12587207927735009</v>
      </c>
      <c r="W16" s="309">
        <f>ramps!X19/'Baseline Price'!AL16</f>
        <v>0.12566419496733713</v>
      </c>
      <c r="X16" s="309">
        <f>ramps!Y19/'Baseline Price'!AM16</f>
        <v>0.12469670063269557</v>
      </c>
      <c r="Y16" s="309">
        <f>ramps!Z19/'Baseline Price'!AN16</f>
        <v>0.12464613872844309</v>
      </c>
      <c r="Z16" s="309">
        <f>ramps!AA19/'Baseline Price'!AO16</f>
        <v>0.12511698823243511</v>
      </c>
      <c r="AA16" s="309">
        <f>ramps!AB19/'Baseline Price'!AP16</f>
        <v>0.1249784768781617</v>
      </c>
      <c r="AB16" s="309">
        <f>ramps!AC19/'Baseline Price'!AQ16</f>
        <v>0.12523763906214525</v>
      </c>
      <c r="AC16" s="309">
        <f>ramps!AD19/'Baseline Price'!AR16</f>
        <v>0.12567075368917108</v>
      </c>
      <c r="AD16" s="309">
        <f>ramps!AE19/'Baseline Price'!AS16</f>
        <v>0.12548305400673998</v>
      </c>
      <c r="AE16" s="309">
        <f>ramps!AF19/'Baseline Price'!AT16</f>
        <v>0.12571726295833913</v>
      </c>
      <c r="AF16" s="309">
        <f>ramps!AG19/'Baseline Price'!AU16</f>
        <v>0.1258032533426432</v>
      </c>
    </row>
    <row r="17" spans="1:32">
      <c r="A17" s="40" t="s">
        <v>43</v>
      </c>
      <c r="B17" s="309">
        <f>ramps!C24/'Baseline Price'!Q17</f>
        <v>0</v>
      </c>
      <c r="C17" s="309">
        <f>ramps!D24/'Baseline Price'!R17</f>
        <v>0</v>
      </c>
      <c r="D17" s="309">
        <f>ramps!E24/'Baseline Price'!S17</f>
        <v>0</v>
      </c>
      <c r="E17" s="309">
        <f>ramps!F24/'Baseline Price'!T17</f>
        <v>0</v>
      </c>
      <c r="F17" s="309">
        <f>ramps!G24/'Baseline Price'!U17</f>
        <v>0</v>
      </c>
      <c r="G17" s="309">
        <f>ramps!H24/'Baseline Price'!V17</f>
        <v>0</v>
      </c>
      <c r="H17" s="309">
        <f>ramps!I24/'Baseline Price'!W17</f>
        <v>0</v>
      </c>
      <c r="I17" s="309">
        <f>ramps!J24/'Baseline Price'!X17</f>
        <v>0</v>
      </c>
      <c r="J17" s="309">
        <f>ramps!K24/'Baseline Price'!Y17</f>
        <v>0</v>
      </c>
      <c r="K17" s="309">
        <f>ramps!L24/'Baseline Price'!Z17</f>
        <v>0</v>
      </c>
      <c r="L17" s="309">
        <f>ramps!M24/'Baseline Price'!AA17</f>
        <v>0</v>
      </c>
      <c r="M17" s="309">
        <f>ramps!N24/'Baseline Price'!AB17</f>
        <v>0</v>
      </c>
      <c r="N17" s="309">
        <f>ramps!O24/'Baseline Price'!AC17</f>
        <v>0</v>
      </c>
      <c r="O17" s="309">
        <f>ramps!P24/'Baseline Price'!AD17</f>
        <v>0</v>
      </c>
      <c r="P17" s="309">
        <f>ramps!Q24/'Baseline Price'!AE17</f>
        <v>0</v>
      </c>
      <c r="Q17" s="309">
        <f>ramps!R24/'Baseline Price'!AF17</f>
        <v>0</v>
      </c>
      <c r="R17" s="309">
        <f>ramps!S24/'Baseline Price'!AG17</f>
        <v>0</v>
      </c>
      <c r="S17" s="309">
        <f>ramps!T24/'Baseline Price'!AH17</f>
        <v>0</v>
      </c>
      <c r="T17" s="309">
        <f>ramps!U24/'Baseline Price'!AI17</f>
        <v>0</v>
      </c>
      <c r="U17" s="309">
        <f>ramps!V24/'Baseline Price'!AJ17</f>
        <v>0</v>
      </c>
      <c r="V17" s="309">
        <f>ramps!W24/'Baseline Price'!AK17</f>
        <v>0</v>
      </c>
      <c r="W17" s="309">
        <f>ramps!X24/'Baseline Price'!AL17</f>
        <v>0</v>
      </c>
      <c r="X17" s="309">
        <f>ramps!Y24/'Baseline Price'!AM17</f>
        <v>0</v>
      </c>
      <c r="Y17" s="309">
        <f>ramps!Z24/'Baseline Price'!AN17</f>
        <v>0</v>
      </c>
      <c r="Z17" s="309">
        <f>ramps!AA24/'Baseline Price'!AO17</f>
        <v>0</v>
      </c>
      <c r="AA17" s="309">
        <f>ramps!AB24/'Baseline Price'!AP17</f>
        <v>0</v>
      </c>
      <c r="AB17" s="309">
        <f>ramps!AC24/'Baseline Price'!AQ17</f>
        <v>0</v>
      </c>
      <c r="AC17" s="309">
        <f>ramps!AD24/'Baseline Price'!AR17</f>
        <v>0</v>
      </c>
      <c r="AD17" s="309">
        <f>ramps!AE24/'Baseline Price'!AS17</f>
        <v>0</v>
      </c>
      <c r="AE17" s="309">
        <f>ramps!AF24/'Baseline Price'!AT17</f>
        <v>0</v>
      </c>
      <c r="AF17" s="309">
        <f>ramps!AG24/'Baseline Price'!AU17</f>
        <v>0</v>
      </c>
    </row>
    <row r="18" spans="1:32">
      <c r="A18" s="40" t="s">
        <v>24</v>
      </c>
      <c r="B18" s="309">
        <f>ramps!C16/'Baseline Price'!Q18</f>
        <v>5.8962622357535875E-2</v>
      </c>
      <c r="C18" s="309">
        <f>ramps!D16/'Baseline Price'!R18</f>
        <v>7.6842808233816451E-2</v>
      </c>
      <c r="D18" s="309">
        <f>ramps!E16/'Baseline Price'!S18</f>
        <v>9.3967431963715417E-2</v>
      </c>
      <c r="E18" s="309">
        <f>ramps!F16/'Baseline Price'!T18</f>
        <v>0.10992147609244338</v>
      </c>
      <c r="F18" s="309">
        <f>ramps!G16/'Baseline Price'!U18</f>
        <v>0.12545488385157186</v>
      </c>
      <c r="G18" s="309">
        <f>ramps!H16/'Baseline Price'!V18</f>
        <v>0.13951513070824365</v>
      </c>
      <c r="H18" s="309">
        <f>ramps!I16/'Baseline Price'!W18</f>
        <v>0.15443793346828416</v>
      </c>
      <c r="I18" s="309">
        <f>ramps!J16/'Baseline Price'!X18</f>
        <v>0.17051247321720125</v>
      </c>
      <c r="J18" s="309">
        <f>ramps!K16/'Baseline Price'!Y18</f>
        <v>0.18570834519794369</v>
      </c>
      <c r="K18" s="309">
        <f>ramps!L16/'Baseline Price'!Z18</f>
        <v>0.16705255068656391</v>
      </c>
      <c r="L18" s="309">
        <f>ramps!M16/'Baseline Price'!AA18</f>
        <v>0.1801546067661938</v>
      </c>
      <c r="M18" s="309">
        <f>ramps!N16/'Baseline Price'!AB18</f>
        <v>0.18885783710728385</v>
      </c>
      <c r="N18" s="309">
        <f>ramps!O16/'Baseline Price'!AC18</f>
        <v>0.20039721883862288</v>
      </c>
      <c r="O18" s="309">
        <f>ramps!P16/'Baseline Price'!AD18</f>
        <v>0.21203545395973675</v>
      </c>
      <c r="P18" s="309">
        <f>ramps!Q16/'Baseline Price'!AE18</f>
        <v>0.21537307780509068</v>
      </c>
      <c r="Q18" s="309">
        <f>ramps!R16/'Baseline Price'!AF18</f>
        <v>0.21442696176084411</v>
      </c>
      <c r="R18" s="309">
        <f>ramps!S16/'Baseline Price'!AG18</f>
        <v>0.21342663658822042</v>
      </c>
      <c r="S18" s="309">
        <f>ramps!T16/'Baseline Price'!AH18</f>
        <v>0.21258319419331226</v>
      </c>
      <c r="T18" s="309">
        <f>ramps!U16/'Baseline Price'!AI18</f>
        <v>0.21215578966045703</v>
      </c>
      <c r="U18" s="309">
        <f>ramps!V16/'Baseline Price'!AJ18</f>
        <v>0.21162038273494649</v>
      </c>
      <c r="V18" s="309">
        <f>ramps!W16/'Baseline Price'!AK18</f>
        <v>0.21057794245465919</v>
      </c>
      <c r="W18" s="309">
        <f>ramps!X16/'Baseline Price'!AL18</f>
        <v>0.21021642584689221</v>
      </c>
      <c r="X18" s="309">
        <f>ramps!Y16/'Baseline Price'!AM18</f>
        <v>0.20945105480061779</v>
      </c>
      <c r="Y18" s="309">
        <f>ramps!Z16/'Baseline Price'!AN18</f>
        <v>0.20832325549789127</v>
      </c>
      <c r="Z18" s="309">
        <f>ramps!AA16/'Baseline Price'!AO18</f>
        <v>0.20701198507963439</v>
      </c>
      <c r="AA18" s="309">
        <f>ramps!AB16/'Baseline Price'!AP18</f>
        <v>0.20549493216214273</v>
      </c>
      <c r="AB18" s="309">
        <f>ramps!AC16/'Baseline Price'!AQ18</f>
        <v>0.20426000361988211</v>
      </c>
      <c r="AC18" s="309">
        <f>ramps!AD16/'Baseline Price'!AR18</f>
        <v>0.20271274146307083</v>
      </c>
      <c r="AD18" s="309">
        <f>ramps!AE16/'Baseline Price'!AS18</f>
        <v>0.20085881307571832</v>
      </c>
      <c r="AE18" s="309">
        <f>ramps!AF16/'Baseline Price'!AT18</f>
        <v>0.19908137148691496</v>
      </c>
      <c r="AF18" s="309">
        <f>ramps!AG16/'Baseline Price'!AU18</f>
        <v>0.19770589615200021</v>
      </c>
    </row>
    <row r="19" spans="1:32">
      <c r="A19" s="40" t="s">
        <v>25</v>
      </c>
      <c r="B19" s="309">
        <f>B90/'Baseline Price'!Q19</f>
        <v>1.6762409206696836E-2</v>
      </c>
      <c r="C19" s="309">
        <f>C90/'Baseline Price'!R19</f>
        <v>1.8070481964653051E-2</v>
      </c>
      <c r="D19" s="309">
        <f>D90/'Baseline Price'!S19</f>
        <v>1.2232649911843184E-2</v>
      </c>
      <c r="E19" s="309">
        <f>E90/'Baseline Price'!T19</f>
        <v>1.4094281976000036E-2</v>
      </c>
      <c r="F19" s="309">
        <f>F90/'Baseline Price'!U19</f>
        <v>8.975273476806692E-3</v>
      </c>
      <c r="G19" s="309">
        <f>G90/'Baseline Price'!V19</f>
        <v>-2.3883033281223696E-3</v>
      </c>
      <c r="H19" s="309">
        <f>H90/'Baseline Price'!W19</f>
        <v>-6.5835963951157072E-3</v>
      </c>
      <c r="I19" s="309">
        <f>I90/'Baseline Price'!X19</f>
        <v>-5.18542804695378E-3</v>
      </c>
      <c r="J19" s="309">
        <f>J90/'Baseline Price'!Y19</f>
        <v>-3.4654008330613755E-3</v>
      </c>
      <c r="K19" s="309">
        <f>K90/'Baseline Price'!Z19</f>
        <v>2.7021443288619291E-3</v>
      </c>
      <c r="L19" s="309">
        <f>L90/'Baseline Price'!AA19</f>
        <v>4.0184413258180984E-3</v>
      </c>
      <c r="M19" s="309">
        <f>M90/'Baseline Price'!AB19</f>
        <v>5.2823562792266368E-3</v>
      </c>
      <c r="N19" s="309">
        <f>N90/'Baseline Price'!AC19</f>
        <v>6.3251899607626259E-3</v>
      </c>
      <c r="O19" s="309">
        <f>O90/'Baseline Price'!AD19</f>
        <v>7.0202638456547308E-3</v>
      </c>
      <c r="P19" s="309">
        <f>P90/'Baseline Price'!AE19</f>
        <v>6.7734505827164674E-3</v>
      </c>
      <c r="Q19" s="309">
        <f>Q90/'Baseline Price'!AF19</f>
        <v>6.1115786039308284E-3</v>
      </c>
      <c r="R19" s="309">
        <f>R90/'Baseline Price'!AG19</f>
        <v>5.4088634036367576E-3</v>
      </c>
      <c r="S19" s="309">
        <f>S90/'Baseline Price'!AH19</f>
        <v>4.7514438009087752E-3</v>
      </c>
      <c r="T19" s="309">
        <f>T90/'Baseline Price'!AI19</f>
        <v>4.1238796854774955E-3</v>
      </c>
      <c r="U19" s="309">
        <f>U90/'Baseline Price'!AJ19</f>
        <v>3.4981182542540056E-3</v>
      </c>
      <c r="V19" s="309">
        <f>V90/'Baseline Price'!AK19</f>
        <v>2.8729848500782876E-3</v>
      </c>
      <c r="W19" s="309">
        <f>W90/'Baseline Price'!AL19</f>
        <v>2.227072193496063E-3</v>
      </c>
      <c r="X19" s="309">
        <f>X90/'Baseline Price'!AM19</f>
        <v>1.5831975703803393E-3</v>
      </c>
      <c r="Y19" s="309">
        <f>Y90/'Baseline Price'!AN19</f>
        <v>9.433875695996144E-4</v>
      </c>
      <c r="Z19" s="309">
        <f>Z90/'Baseline Price'!AO19</f>
        <v>2.9635455550305851E-4</v>
      </c>
      <c r="AA19" s="309">
        <f>AA90/'Baseline Price'!AP19</f>
        <v>-3.5543627715932293E-4</v>
      </c>
      <c r="AB19" s="309">
        <f>AB90/'Baseline Price'!AQ19</f>
        <v>-3.5613666385932814E-4</v>
      </c>
      <c r="AC19" s="309">
        <f>AC90/'Baseline Price'!AR19</f>
        <v>-3.5773409460872289E-4</v>
      </c>
      <c r="AD19" s="309">
        <f>AD90/'Baseline Price'!AS19</f>
        <v>-3.5910232515276428E-4</v>
      </c>
      <c r="AE19" s="309">
        <f>AE90/'Baseline Price'!AT19</f>
        <v>-3.6109432808932509E-4</v>
      </c>
      <c r="AF19" s="309">
        <f>AF90/'Baseline Price'!AU19</f>
        <v>-3.6381691674672762E-4</v>
      </c>
    </row>
    <row r="20" spans="1:32">
      <c r="A20" s="40"/>
      <c r="B20" s="309"/>
      <c r="C20" s="309"/>
      <c r="D20" s="309"/>
      <c r="E20" s="309"/>
      <c r="F20" s="309"/>
      <c r="G20" s="309"/>
      <c r="H20" s="309"/>
      <c r="I20" s="309"/>
      <c r="J20" s="309"/>
      <c r="K20" s="309"/>
      <c r="L20" s="309"/>
      <c r="M20" s="309"/>
      <c r="N20" s="309"/>
      <c r="O20" s="309"/>
      <c r="P20" s="309"/>
      <c r="Q20" s="309"/>
      <c r="R20" s="283"/>
      <c r="S20" s="283"/>
      <c r="T20" s="283"/>
      <c r="U20" s="283"/>
      <c r="V20" s="283"/>
      <c r="W20" s="309"/>
      <c r="X20" s="309"/>
      <c r="Y20" s="309"/>
      <c r="Z20" s="309"/>
      <c r="AA20" s="309"/>
      <c r="AB20" s="309"/>
      <c r="AC20" s="309"/>
      <c r="AD20" s="309"/>
      <c r="AE20" s="309"/>
      <c r="AF20" s="309"/>
    </row>
    <row r="21" spans="1:32" ht="13">
      <c r="A21" s="250" t="s">
        <v>44</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1"/>
    </row>
    <row r="22" spans="1:32" s="396" customFormat="1" ht="12.9" customHeight="1">
      <c r="A22" s="253" t="s">
        <v>6</v>
      </c>
      <c r="B22" s="253">
        <v>2020</v>
      </c>
      <c r="C22" s="253">
        <v>2021</v>
      </c>
      <c r="D22" s="253">
        <v>2022</v>
      </c>
      <c r="E22" s="253">
        <v>2023</v>
      </c>
      <c r="F22" s="253">
        <v>2024</v>
      </c>
      <c r="G22" s="253">
        <v>2025</v>
      </c>
      <c r="H22" s="253">
        <v>2026</v>
      </c>
      <c r="I22" s="253">
        <v>2027</v>
      </c>
      <c r="J22" s="253">
        <v>2028</v>
      </c>
      <c r="K22" s="253">
        <v>2029</v>
      </c>
      <c r="L22" s="253">
        <v>2030</v>
      </c>
      <c r="M22" s="253">
        <v>2031</v>
      </c>
      <c r="N22" s="253">
        <v>2032</v>
      </c>
      <c r="O22" s="253">
        <v>2033</v>
      </c>
      <c r="P22" s="253">
        <v>2034</v>
      </c>
      <c r="Q22" s="253">
        <v>2035</v>
      </c>
      <c r="R22" s="253">
        <v>2036</v>
      </c>
      <c r="S22" s="253">
        <v>2037</v>
      </c>
      <c r="T22" s="253">
        <v>2038</v>
      </c>
      <c r="U22" s="253">
        <v>2039</v>
      </c>
      <c r="V22" s="253">
        <v>2040</v>
      </c>
      <c r="W22" s="253">
        <v>2041</v>
      </c>
      <c r="X22" s="253">
        <v>2042</v>
      </c>
      <c r="Y22" s="253">
        <v>2043</v>
      </c>
      <c r="Z22" s="253">
        <v>2044</v>
      </c>
      <c r="AA22" s="253">
        <v>2045</v>
      </c>
      <c r="AB22" s="253">
        <v>2046</v>
      </c>
      <c r="AC22" s="253">
        <v>2047</v>
      </c>
      <c r="AD22" s="253">
        <v>2048</v>
      </c>
      <c r="AE22" s="253">
        <v>2049</v>
      </c>
      <c r="AF22" s="253">
        <v>2050</v>
      </c>
    </row>
    <row r="23" spans="1:32">
      <c r="A23" s="40" t="s">
        <v>22</v>
      </c>
      <c r="B23" s="309">
        <f>ramps!C21/'Baseline Price'!Q23</f>
        <v>4.4026094438658805E-2</v>
      </c>
      <c r="C23" s="309">
        <f>ramps!D21/'Baseline Price'!R23</f>
        <v>5.5999589983734228E-2</v>
      </c>
      <c r="D23" s="309">
        <f>ramps!E21/'Baseline Price'!S23</f>
        <v>6.6328028604228595E-2</v>
      </c>
      <c r="E23" s="309">
        <f>ramps!F21/'Baseline Price'!T23</f>
        <v>7.693761104335467E-2</v>
      </c>
      <c r="F23" s="309">
        <f>ramps!G21/'Baseline Price'!U23</f>
        <v>8.6112049992954715E-2</v>
      </c>
      <c r="G23" s="309">
        <f>ramps!H21/'Baseline Price'!V23</f>
        <v>9.4588849548081569E-2</v>
      </c>
      <c r="H23" s="309">
        <f>ramps!I21/'Baseline Price'!W23</f>
        <v>0.10340493774232198</v>
      </c>
      <c r="I23" s="309">
        <f>ramps!J21/'Baseline Price'!X23</f>
        <v>0.11271437378568228</v>
      </c>
      <c r="J23" s="309">
        <f>ramps!K21/'Baseline Price'!Y23</f>
        <v>0.12230335207363013</v>
      </c>
      <c r="K23" s="309">
        <f>ramps!L21/'Baseline Price'!Z23</f>
        <v>0.13267433355380853</v>
      </c>
      <c r="L23" s="309">
        <f>ramps!M21/'Baseline Price'!AA23</f>
        <v>0.14306694714189716</v>
      </c>
      <c r="M23" s="309">
        <f>ramps!N21/'Baseline Price'!AB23</f>
        <v>0.1534720146414012</v>
      </c>
      <c r="N23" s="309">
        <f>ramps!O21/'Baseline Price'!AC23</f>
        <v>0.16249997943849567</v>
      </c>
      <c r="O23" s="309">
        <f>ramps!P21/'Baseline Price'!AD23</f>
        <v>0.17110789970901141</v>
      </c>
      <c r="P23" s="309">
        <f>ramps!Q21/'Baseline Price'!AE23</f>
        <v>0.17282678915131724</v>
      </c>
      <c r="Q23" s="309">
        <f>ramps!R21/'Baseline Price'!AF23</f>
        <v>0.17139618872999057</v>
      </c>
      <c r="R23" s="309">
        <f>ramps!S21/'Baseline Price'!AG23</f>
        <v>0.16979221936151473</v>
      </c>
      <c r="S23" s="309">
        <f>ramps!T21/'Baseline Price'!AH23</f>
        <v>0.16886289655938325</v>
      </c>
      <c r="T23" s="309">
        <f>ramps!U21/'Baseline Price'!AI23</f>
        <v>0.16819782137909897</v>
      </c>
      <c r="U23" s="309">
        <f>ramps!V21/'Baseline Price'!AJ23</f>
        <v>0.16742242424982093</v>
      </c>
      <c r="V23" s="309">
        <f>ramps!W21/'Baseline Price'!AK23</f>
        <v>0.16671278839666145</v>
      </c>
      <c r="W23" s="309">
        <f>ramps!X21/'Baseline Price'!AL23</f>
        <v>0.16644337028903528</v>
      </c>
      <c r="X23" s="309">
        <f>ramps!Y21/'Baseline Price'!AM23</f>
        <v>0.16580425205377106</v>
      </c>
      <c r="Y23" s="309">
        <f>ramps!Z21/'Baseline Price'!AN23</f>
        <v>0.16510463227714969</v>
      </c>
      <c r="Z23" s="309">
        <f>ramps!AA21/'Baseline Price'!AO23</f>
        <v>0.16449295442974665</v>
      </c>
      <c r="AA23" s="309">
        <f>ramps!AB21/'Baseline Price'!AP23</f>
        <v>0.16420689414788037</v>
      </c>
      <c r="AB23" s="309">
        <f>ramps!AC21/'Baseline Price'!AQ23</f>
        <v>0.16415712039944266</v>
      </c>
      <c r="AC23" s="309">
        <f>ramps!AD21/'Baseline Price'!AR23</f>
        <v>0.16415961269718199</v>
      </c>
      <c r="AD23" s="309">
        <f>ramps!AE21/'Baseline Price'!AS23</f>
        <v>0.16418513714309635</v>
      </c>
      <c r="AE23" s="309">
        <f>ramps!AF21/'Baseline Price'!AT23</f>
        <v>0.16462743289370299</v>
      </c>
      <c r="AF23" s="309">
        <f>ramps!AG21/'Baseline Price'!AU23</f>
        <v>0.1654624236376834</v>
      </c>
    </row>
    <row r="24" spans="1:32">
      <c r="A24" s="40" t="s">
        <v>23</v>
      </c>
      <c r="B24" s="309">
        <f>ramps!C19/'Baseline Price'!Q24</f>
        <v>3.1280108173156587E-2</v>
      </c>
      <c r="C24" s="309">
        <f>ramps!D19/'Baseline Price'!R24</f>
        <v>4.1642939307063594E-2</v>
      </c>
      <c r="D24" s="309">
        <f>ramps!E19/'Baseline Price'!S24</f>
        <v>5.2843875514927544E-2</v>
      </c>
      <c r="E24" s="309">
        <f>ramps!F19/'Baseline Price'!T24</f>
        <v>6.3586668764490692E-2</v>
      </c>
      <c r="F24" s="309">
        <f>ramps!G19/'Baseline Price'!U24</f>
        <v>7.3169932154700149E-2</v>
      </c>
      <c r="G24" s="309">
        <f>ramps!H19/'Baseline Price'!V24</f>
        <v>8.1074256171684941E-2</v>
      </c>
      <c r="H24" s="309">
        <f>ramps!I19/'Baseline Price'!W24</f>
        <v>8.9056332456567772E-2</v>
      </c>
      <c r="I24" s="309">
        <f>ramps!J19/'Baseline Price'!X24</f>
        <v>9.5834826933539966E-2</v>
      </c>
      <c r="J24" s="309">
        <f>ramps!K19/'Baseline Price'!Y24</f>
        <v>0.10392410761424707</v>
      </c>
      <c r="K24" s="309">
        <f>ramps!L19/'Baseline Price'!Z24</f>
        <v>0.11056566662246572</v>
      </c>
      <c r="L24" s="309">
        <f>ramps!M19/'Baseline Price'!AA24</f>
        <v>0.1186925420194315</v>
      </c>
      <c r="M24" s="309">
        <f>ramps!N19/'Baseline Price'!AB24</f>
        <v>0.1264123504197214</v>
      </c>
      <c r="N24" s="309">
        <f>ramps!O19/'Baseline Price'!AC24</f>
        <v>0.13351662490097554</v>
      </c>
      <c r="O24" s="309">
        <f>ramps!P19/'Baseline Price'!AD24</f>
        <v>0.14091374188798036</v>
      </c>
      <c r="P24" s="309">
        <f>ramps!Q19/'Baseline Price'!AE24</f>
        <v>0.14327116167940049</v>
      </c>
      <c r="Q24" s="309">
        <f>ramps!R19/'Baseline Price'!AF24</f>
        <v>0.1418806063932507</v>
      </c>
      <c r="R24" s="309">
        <f>ramps!S19/'Baseline Price'!AG24</f>
        <v>0.14005318000174616</v>
      </c>
      <c r="S24" s="309">
        <f>ramps!T19/'Baseline Price'!AH24</f>
        <v>0.14032088230241191</v>
      </c>
      <c r="T24" s="309">
        <f>ramps!U19/'Baseline Price'!AI24</f>
        <v>0.13933992610240839</v>
      </c>
      <c r="U24" s="309">
        <f>ramps!V19/'Baseline Price'!AJ24</f>
        <v>0.13851660775308228</v>
      </c>
      <c r="V24" s="309">
        <f>ramps!W19/'Baseline Price'!AK24</f>
        <v>0.13799749133200312</v>
      </c>
      <c r="W24" s="309">
        <f>ramps!X19/'Baseline Price'!AL24</f>
        <v>0.13777950592853069</v>
      </c>
      <c r="X24" s="309">
        <f>ramps!Y19/'Baseline Price'!AM24</f>
        <v>0.13665838471395916</v>
      </c>
      <c r="Y24" s="309">
        <f>ramps!Z19/'Baseline Price'!AN24</f>
        <v>0.13662902081090661</v>
      </c>
      <c r="Z24" s="309">
        <f>ramps!AA19/'Baseline Price'!AO24</f>
        <v>0.1372608977084129</v>
      </c>
      <c r="AA24" s="309">
        <f>ramps!AB19/'Baseline Price'!AP24</f>
        <v>0.13712302509102048</v>
      </c>
      <c r="AB24" s="309">
        <f>ramps!AC19/'Baseline Price'!AQ24</f>
        <v>0.13750413029323702</v>
      </c>
      <c r="AC24" s="309">
        <f>ramps!AD19/'Baseline Price'!AR24</f>
        <v>0.13812332564412205</v>
      </c>
      <c r="AD24" s="309">
        <f>ramps!AE19/'Baseline Price'!AS24</f>
        <v>0.13791188473153113</v>
      </c>
      <c r="AE24" s="309">
        <f>ramps!AF19/'Baseline Price'!AT24</f>
        <v>0.13819501180806951</v>
      </c>
      <c r="AF24" s="309">
        <f>ramps!AG19/'Baseline Price'!AU24</f>
        <v>0.13829677137254187</v>
      </c>
    </row>
    <row r="25" spans="1:32">
      <c r="A25" s="40" t="s">
        <v>29</v>
      </c>
      <c r="B25" s="309">
        <f>ramps!C24/'Baseline Price'!Q25</f>
        <v>0</v>
      </c>
      <c r="C25" s="309">
        <f>ramps!D24/'Baseline Price'!R25</f>
        <v>0</v>
      </c>
      <c r="D25" s="309">
        <f>ramps!E24/'Baseline Price'!S25</f>
        <v>0</v>
      </c>
      <c r="E25" s="309">
        <f>ramps!F24/'Baseline Price'!T25</f>
        <v>0</v>
      </c>
      <c r="F25" s="309">
        <f>ramps!G24/'Baseline Price'!U25</f>
        <v>0</v>
      </c>
      <c r="G25" s="309">
        <f>ramps!H24/'Baseline Price'!V25</f>
        <v>0</v>
      </c>
      <c r="H25" s="309">
        <f>ramps!I24/'Baseline Price'!W25</f>
        <v>0</v>
      </c>
      <c r="I25" s="309">
        <f>ramps!J24/'Baseline Price'!X25</f>
        <v>0</v>
      </c>
      <c r="J25" s="309">
        <f>ramps!K24/'Baseline Price'!Y25</f>
        <v>0</v>
      </c>
      <c r="K25" s="309">
        <f>ramps!L24/'Baseline Price'!Z25</f>
        <v>0</v>
      </c>
      <c r="L25" s="309">
        <f>ramps!M24/'Baseline Price'!AA25</f>
        <v>0</v>
      </c>
      <c r="M25" s="309">
        <f>ramps!N24/'Baseline Price'!AB25</f>
        <v>0</v>
      </c>
      <c r="N25" s="309">
        <f>ramps!O24/'Baseline Price'!AC25</f>
        <v>0</v>
      </c>
      <c r="O25" s="309">
        <f>ramps!P24/'Baseline Price'!AD25</f>
        <v>0</v>
      </c>
      <c r="P25" s="309">
        <f>ramps!Q24/'Baseline Price'!AE25</f>
        <v>0</v>
      </c>
      <c r="Q25" s="309">
        <f>ramps!R24/'Baseline Price'!AF25</f>
        <v>0</v>
      </c>
      <c r="R25" s="309">
        <f>ramps!S24/'Baseline Price'!AG25</f>
        <v>0</v>
      </c>
      <c r="S25" s="309">
        <f>ramps!T24/'Baseline Price'!AH25</f>
        <v>0</v>
      </c>
      <c r="T25" s="309">
        <f>ramps!U24/'Baseline Price'!AI25</f>
        <v>0</v>
      </c>
      <c r="U25" s="309">
        <f>ramps!V24/'Baseline Price'!AJ25</f>
        <v>0</v>
      </c>
      <c r="V25" s="309">
        <f>ramps!W24/'Baseline Price'!AK25</f>
        <v>0</v>
      </c>
      <c r="W25" s="309">
        <f>ramps!X24/'Baseline Price'!AL25</f>
        <v>0</v>
      </c>
      <c r="X25" s="309">
        <f>ramps!Y24/'Baseline Price'!AM25</f>
        <v>0</v>
      </c>
      <c r="Y25" s="309">
        <f>ramps!Z24/'Baseline Price'!AN25</f>
        <v>0</v>
      </c>
      <c r="Z25" s="309">
        <f>ramps!AA24/'Baseline Price'!AO25</f>
        <v>0</v>
      </c>
      <c r="AA25" s="309">
        <f>ramps!AB24/'Baseline Price'!AP25</f>
        <v>0</v>
      </c>
      <c r="AB25" s="309">
        <f>ramps!AC24/'Baseline Price'!AQ25</f>
        <v>0</v>
      </c>
      <c r="AC25" s="309">
        <f>ramps!AD24/'Baseline Price'!AR25</f>
        <v>0</v>
      </c>
      <c r="AD25" s="309">
        <f>ramps!AE24/'Baseline Price'!AS25</f>
        <v>0</v>
      </c>
      <c r="AE25" s="309">
        <f>ramps!AF24/'Baseline Price'!AT25</f>
        <v>0</v>
      </c>
      <c r="AF25" s="309">
        <f>ramps!AG24/'Baseline Price'!AU25</f>
        <v>0</v>
      </c>
    </row>
    <row r="26" spans="1:32">
      <c r="A26" s="40" t="s">
        <v>45</v>
      </c>
      <c r="B26" s="309">
        <f>ramps!C16/'Baseline Price'!Q26</f>
        <v>0.11048551013458319</v>
      </c>
      <c r="C26" s="309">
        <f>ramps!D16/'Baseline Price'!R26</f>
        <v>0.14634101492647103</v>
      </c>
      <c r="D26" s="309">
        <f>ramps!E16/'Baseline Price'!S26</f>
        <v>0.17927358269954188</v>
      </c>
      <c r="E26" s="309">
        <f>ramps!F16/'Baseline Price'!T26</f>
        <v>0.20785840200936512</v>
      </c>
      <c r="F26" s="309">
        <f>ramps!G16/'Baseline Price'!U26</f>
        <v>0.23435770379323606</v>
      </c>
      <c r="G26" s="309">
        <f>ramps!H16/'Baseline Price'!V26</f>
        <v>0.25438814353391925</v>
      </c>
      <c r="H26" s="309">
        <f>ramps!I16/'Baseline Price'!W26</f>
        <v>0.27901259656017868</v>
      </c>
      <c r="I26" s="309">
        <f>ramps!J16/'Baseline Price'!X26</f>
        <v>0.30876090217076341</v>
      </c>
      <c r="J26" s="309">
        <f>ramps!K16/'Baseline Price'!Y26</f>
        <v>0.33358297597451569</v>
      </c>
      <c r="K26" s="309">
        <f>ramps!L16/'Baseline Price'!Z26</f>
        <v>0.36516342568307458</v>
      </c>
      <c r="L26" s="309">
        <f>ramps!M16/'Baseline Price'!AA26</f>
        <v>0.39318527438765538</v>
      </c>
      <c r="M26" s="309">
        <f>ramps!N16/'Baseline Price'!AB26</f>
        <v>0.42302206277822946</v>
      </c>
      <c r="N26" s="309">
        <f>ramps!O16/'Baseline Price'!AC26</f>
        <v>0.44197482975371433</v>
      </c>
      <c r="O26" s="309">
        <f>ramps!P16/'Baseline Price'!AD26</f>
        <v>0.4648262020484627</v>
      </c>
      <c r="P26" s="309">
        <f>ramps!Q16/'Baseline Price'!AE26</f>
        <v>0.46895929632476419</v>
      </c>
      <c r="Q26" s="309">
        <f>ramps!R16/'Baseline Price'!AF26</f>
        <v>0.46437233996804939</v>
      </c>
      <c r="R26" s="309">
        <f>ramps!S16/'Baseline Price'!AG26</f>
        <v>0.4596424566744321</v>
      </c>
      <c r="S26" s="309">
        <f>ramps!T16/'Baseline Price'!AH26</f>
        <v>0.45609862344008251</v>
      </c>
      <c r="T26" s="309">
        <f>ramps!U16/'Baseline Price'!AI26</f>
        <v>0.45435583577923921</v>
      </c>
      <c r="U26" s="309">
        <f>ramps!V16/'Baseline Price'!AJ26</f>
        <v>0.45249676611361284</v>
      </c>
      <c r="V26" s="309">
        <f>ramps!W16/'Baseline Price'!AK26</f>
        <v>0.44693283950301166</v>
      </c>
      <c r="W26" s="309">
        <f>ramps!X16/'Baseline Price'!AL26</f>
        <v>0.44666509518678194</v>
      </c>
      <c r="X26" s="309">
        <f>ramps!Y16/'Baseline Price'!AM26</f>
        <v>0.44387592333554227</v>
      </c>
      <c r="Y26" s="309">
        <f>ramps!Z16/'Baseline Price'!AN26</f>
        <v>0.43840274760666059</v>
      </c>
      <c r="Z26" s="309">
        <f>ramps!AA16/'Baseline Price'!AO26</f>
        <v>0.43108115435175326</v>
      </c>
      <c r="AA26" s="309">
        <f>ramps!AB16/'Baseline Price'!AP26</f>
        <v>0.42412658621131638</v>
      </c>
      <c r="AB26" s="309">
        <f>ramps!AC16/'Baseline Price'!AQ26</f>
        <v>0.41889053406345633</v>
      </c>
      <c r="AC26" s="309">
        <f>ramps!AD16/'Baseline Price'!AR26</f>
        <v>0.41184686551855682</v>
      </c>
      <c r="AD26" s="309">
        <f>ramps!AE16/'Baseline Price'!AS26</f>
        <v>0.40233483115030633</v>
      </c>
      <c r="AE26" s="309">
        <f>ramps!AF16/'Baseline Price'!AT26</f>
        <v>0.39520629684275954</v>
      </c>
      <c r="AF26" s="309">
        <f>ramps!AG16/'Baseline Price'!AU26</f>
        <v>0.38940672782874641</v>
      </c>
    </row>
    <row r="27" spans="1:32">
      <c r="A27" s="40" t="s">
        <v>34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09"/>
    </row>
    <row r="28" spans="1:32">
      <c r="A28" s="40" t="s">
        <v>35</v>
      </c>
      <c r="B28" s="309">
        <f>ramps!C17/'Baseline Price'!Q28</f>
        <v>0.21386794749553181</v>
      </c>
      <c r="C28" s="309">
        <f>ramps!D17/'Baseline Price'!R28</f>
        <v>0.27981370603037065</v>
      </c>
      <c r="D28" s="309">
        <f>ramps!E17/'Baseline Price'!S28</f>
        <v>0.34356243315304924</v>
      </c>
      <c r="E28" s="309">
        <f>ramps!F17/'Baseline Price'!T28</f>
        <v>0.40837522131767223</v>
      </c>
      <c r="F28" s="309">
        <f>ramps!G17/'Baseline Price'!U28</f>
        <v>0.47211905177356239</v>
      </c>
      <c r="G28" s="309">
        <f>ramps!H17/'Baseline Price'!V28</f>
        <v>0.53457026985468492</v>
      </c>
      <c r="H28" s="309">
        <f>ramps!I17/'Baseline Price'!W28</f>
        <v>0.59863354600973806</v>
      </c>
      <c r="I28" s="309">
        <f>ramps!J17/'Baseline Price'!X28</f>
        <v>0.66102188755445102</v>
      </c>
      <c r="J28" s="309">
        <f>ramps!K17/'Baseline Price'!Y28</f>
        <v>0.72557189095103825</v>
      </c>
      <c r="K28" s="309">
        <f>ramps!L17/'Baseline Price'!Z28</f>
        <v>0.7876932899160467</v>
      </c>
      <c r="L28" s="309">
        <f>ramps!M17/'Baseline Price'!AA28</f>
        <v>0.84779201432741647</v>
      </c>
      <c r="M28" s="309">
        <f>ramps!N17/'Baseline Price'!AB28</f>
        <v>0.90978940188401325</v>
      </c>
      <c r="N28" s="309">
        <f>ramps!O17/'Baseline Price'!AC28</f>
        <v>0.97646285621549678</v>
      </c>
      <c r="O28" s="309">
        <f>ramps!P17/'Baseline Price'!AD28</f>
        <v>1.0397604224201771</v>
      </c>
      <c r="P28" s="309">
        <f>ramps!Q17/'Baseline Price'!AE28</f>
        <v>1.0607435285683884</v>
      </c>
      <c r="Q28" s="309">
        <f>ramps!R17/'Baseline Price'!AF28</f>
        <v>1.0629576217765559</v>
      </c>
      <c r="R28" s="309">
        <f>ramps!S17/'Baseline Price'!AG28</f>
        <v>1.0623714104298621</v>
      </c>
      <c r="S28" s="309">
        <f>ramps!T17/'Baseline Price'!AH28</f>
        <v>1.0639096240792745</v>
      </c>
      <c r="T28" s="309">
        <f>ramps!U17/'Baseline Price'!AI28</f>
        <v>1.064740255096924</v>
      </c>
      <c r="U28" s="309">
        <f>ramps!V17/'Baseline Price'!AJ28</f>
        <v>1.0653475406671393</v>
      </c>
      <c r="V28" s="309">
        <f>ramps!W17/'Baseline Price'!AK28</f>
        <v>1.0658473035864018</v>
      </c>
      <c r="W28" s="309">
        <f>ramps!X17/'Baseline Price'!AL28</f>
        <v>1.0661780186291812</v>
      </c>
      <c r="X28" s="309">
        <f>ramps!Y17/'Baseline Price'!AM28</f>
        <v>1.0665387270685729</v>
      </c>
      <c r="Y28" s="309">
        <f>ramps!Z17/'Baseline Price'!AN28</f>
        <v>1.0666389137808847</v>
      </c>
      <c r="Z28" s="309">
        <f>ramps!AA17/'Baseline Price'!AO28</f>
        <v>1.0663962877247541</v>
      </c>
      <c r="AA28" s="309">
        <f>ramps!AB17/'Baseline Price'!AP28</f>
        <v>1.0648171156926607</v>
      </c>
      <c r="AB28" s="309">
        <f>ramps!AC17/'Baseline Price'!AQ28</f>
        <v>1.0625318507105723</v>
      </c>
      <c r="AC28" s="309">
        <f>ramps!AD17/'Baseline Price'!AR28</f>
        <v>1.0618691857896563</v>
      </c>
      <c r="AD28" s="309">
        <f>ramps!AE17/'Baseline Price'!AS28</f>
        <v>1.0597689547007525</v>
      </c>
      <c r="AE28" s="309">
        <f>ramps!AF17/'Baseline Price'!AT28</f>
        <v>1.0567717419905742</v>
      </c>
      <c r="AF28" s="309">
        <f>ramps!AG17/'Baseline Price'!AU28</f>
        <v>1.0551101760084214</v>
      </c>
    </row>
    <row r="29" spans="1:32">
      <c r="A29" s="40" t="s">
        <v>46</v>
      </c>
      <c r="B29" s="325"/>
      <c r="C29" s="325"/>
      <c r="D29" s="325"/>
      <c r="E29" s="325"/>
      <c r="F29" s="325"/>
      <c r="G29" s="325"/>
      <c r="H29" s="325"/>
      <c r="I29" s="325"/>
      <c r="J29" s="325"/>
      <c r="K29" s="325"/>
      <c r="L29" s="325"/>
      <c r="M29" s="325"/>
      <c r="N29" s="325"/>
      <c r="O29" s="309"/>
      <c r="P29" s="309"/>
      <c r="Q29" s="309"/>
      <c r="R29" s="309"/>
      <c r="S29" s="309"/>
      <c r="T29" s="309"/>
      <c r="U29" s="309"/>
      <c r="V29" s="309"/>
      <c r="W29" s="309"/>
      <c r="X29" s="309"/>
      <c r="Y29" s="309"/>
      <c r="Z29" s="309"/>
      <c r="AA29" s="309"/>
      <c r="AB29" s="309"/>
      <c r="AC29" s="309"/>
      <c r="AD29" s="309"/>
      <c r="AE29" s="309"/>
      <c r="AF29" s="309"/>
    </row>
    <row r="30" spans="1:32">
      <c r="A30" s="40" t="s">
        <v>25</v>
      </c>
      <c r="B30" s="309">
        <f>B90/'Baseline Price'!Q30</f>
        <v>3.0906188250166427E-2</v>
      </c>
      <c r="C30" s="309">
        <f>C90/'Baseline Price'!R30</f>
        <v>3.34615919742631E-2</v>
      </c>
      <c r="D30" s="309">
        <f>D90/'Baseline Price'!S30</f>
        <v>2.2164141936353167E-2</v>
      </c>
      <c r="E30" s="309">
        <f>E90/'Baseline Price'!T30</f>
        <v>2.5793960736143935E-2</v>
      </c>
      <c r="F30" s="309">
        <f>F90/'Baseline Price'!U30</f>
        <v>1.643249118260864E-2</v>
      </c>
      <c r="G30" s="309">
        <f>G90/'Baseline Price'!V30</f>
        <v>-4.2990004713869068E-3</v>
      </c>
      <c r="H30" s="309">
        <f>H90/'Baseline Price'!W30</f>
        <v>-1.1919927220478565E-2</v>
      </c>
      <c r="I30" s="309">
        <f>I90/'Baseline Price'!X30</f>
        <v>-9.4240270489502603E-3</v>
      </c>
      <c r="J30" s="309">
        <f>J90/'Baseline Price'!Y30</f>
        <v>-6.2870144255981518E-3</v>
      </c>
      <c r="K30" s="309">
        <f>K90/'Baseline Price'!Z30</f>
        <v>4.892121899474796E-3</v>
      </c>
      <c r="L30" s="309">
        <f>L90/'Baseline Price'!AA30</f>
        <v>7.2611581777016132E-3</v>
      </c>
      <c r="M30" s="309">
        <f>M90/'Baseline Price'!AB30</f>
        <v>9.5448029676753043E-3</v>
      </c>
      <c r="N30" s="309">
        <f>N90/'Baseline Price'!AC30</f>
        <v>1.144422445878901E-2</v>
      </c>
      <c r="O30" s="309">
        <f>O90/'Baseline Price'!AD30</f>
        <v>1.2717640661219288E-2</v>
      </c>
      <c r="P30" s="309">
        <f>P90/'Baseline Price'!AE30</f>
        <v>1.2272793496404191E-2</v>
      </c>
      <c r="Q30" s="309">
        <f>Q90/'Baseline Price'!AF30</f>
        <v>1.1076392325461693E-2</v>
      </c>
      <c r="R30" s="309">
        <f>R90/'Baseline Price'!AG30</f>
        <v>9.7661828351545237E-3</v>
      </c>
      <c r="S30" s="309">
        <f>S90/'Baseline Price'!AH30</f>
        <v>8.604866136281978E-3</v>
      </c>
      <c r="T30" s="309">
        <f>T90/'Baseline Price'!AI30</f>
        <v>7.4702022661879098E-3</v>
      </c>
      <c r="U30" s="309">
        <f>U90/'Baseline Price'!AJ30</f>
        <v>6.33973257034253E-3</v>
      </c>
      <c r="V30" s="309">
        <f>V90/'Baseline Price'!AK30</f>
        <v>5.2041250414566788E-3</v>
      </c>
      <c r="W30" s="309">
        <f>W90/'Baseline Price'!AL30</f>
        <v>4.0276625417011002E-3</v>
      </c>
      <c r="X30" s="309">
        <f>X90/'Baseline Price'!AM30</f>
        <v>2.8670207105710877E-3</v>
      </c>
      <c r="Y30" s="309">
        <f>Y90/'Baseline Price'!AN30</f>
        <v>1.7057857751166449E-3</v>
      </c>
      <c r="Z30" s="309">
        <f>Z90/'Baseline Price'!AO30</f>
        <v>5.3522508655438178E-4</v>
      </c>
      <c r="AA30" s="309">
        <f>AA90/'Baseline Price'!AP30</f>
        <v>-6.4166010751005376E-4</v>
      </c>
      <c r="AB30" s="309">
        <f>AB90/'Baseline Price'!AQ30</f>
        <v>-6.4254293545400621E-4</v>
      </c>
      <c r="AC30" s="309">
        <f>AC90/'Baseline Price'!AR30</f>
        <v>-6.4463398350797681E-4</v>
      </c>
      <c r="AD30" s="309">
        <f>AD90/'Baseline Price'!AS30</f>
        <v>-6.4593868135504626E-4</v>
      </c>
      <c r="AE30" s="309">
        <f>AE90/'Baseline Price'!AT30</f>
        <v>-6.4862936653124368E-4</v>
      </c>
      <c r="AF30" s="309">
        <f>AF90/'Baseline Price'!AU30</f>
        <v>-6.5207744180900955E-4</v>
      </c>
    </row>
    <row r="31" spans="1:32">
      <c r="A31" s="40"/>
      <c r="B31" s="309"/>
      <c r="C31" s="309"/>
      <c r="D31" s="309"/>
      <c r="E31" s="309"/>
      <c r="F31" s="309"/>
      <c r="G31" s="309"/>
      <c r="H31" s="309"/>
      <c r="I31" s="309"/>
      <c r="J31" s="309"/>
      <c r="K31" s="309"/>
      <c r="L31" s="309"/>
      <c r="M31" s="309"/>
      <c r="N31" s="309"/>
      <c r="O31" s="309"/>
      <c r="P31" s="309"/>
      <c r="Q31" s="309"/>
      <c r="R31" s="283"/>
      <c r="S31" s="283"/>
      <c r="T31" s="283"/>
      <c r="U31" s="283"/>
      <c r="V31" s="283"/>
      <c r="W31" s="309"/>
      <c r="X31" s="309"/>
      <c r="Y31" s="309"/>
      <c r="Z31" s="309"/>
      <c r="AA31" s="309"/>
      <c r="AB31" s="309"/>
      <c r="AC31" s="309"/>
      <c r="AD31" s="309"/>
      <c r="AE31" s="309"/>
      <c r="AF31" s="309"/>
    </row>
    <row r="32" spans="1:32" ht="13">
      <c r="A32" s="250" t="s">
        <v>36</v>
      </c>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1"/>
    </row>
    <row r="33" spans="1:32" s="396" customFormat="1" ht="12.9" customHeight="1">
      <c r="A33" s="253" t="s">
        <v>6</v>
      </c>
      <c r="B33" s="253">
        <v>2020</v>
      </c>
      <c r="C33" s="253">
        <v>2021</v>
      </c>
      <c r="D33" s="253">
        <v>2022</v>
      </c>
      <c r="E33" s="253">
        <v>2023</v>
      </c>
      <c r="F33" s="253">
        <v>2024</v>
      </c>
      <c r="G33" s="253">
        <v>2025</v>
      </c>
      <c r="H33" s="253">
        <v>2026</v>
      </c>
      <c r="I33" s="253">
        <v>2027</v>
      </c>
      <c r="J33" s="253">
        <v>2028</v>
      </c>
      <c r="K33" s="253">
        <v>2029</v>
      </c>
      <c r="L33" s="253">
        <v>2030</v>
      </c>
      <c r="M33" s="253">
        <v>2031</v>
      </c>
      <c r="N33" s="253">
        <v>2032</v>
      </c>
      <c r="O33" s="253">
        <v>2033</v>
      </c>
      <c r="P33" s="253">
        <v>2034</v>
      </c>
      <c r="Q33" s="253">
        <v>2035</v>
      </c>
      <c r="R33" s="253">
        <v>2036</v>
      </c>
      <c r="S33" s="253">
        <v>2037</v>
      </c>
      <c r="T33" s="253">
        <v>2038</v>
      </c>
      <c r="U33" s="253">
        <v>2039</v>
      </c>
      <c r="V33" s="253">
        <v>2040</v>
      </c>
      <c r="W33" s="253">
        <v>2041</v>
      </c>
      <c r="X33" s="253">
        <v>2042</v>
      </c>
      <c r="Y33" s="253">
        <v>2043</v>
      </c>
      <c r="Z33" s="253">
        <v>2044</v>
      </c>
      <c r="AA33" s="253">
        <v>2045</v>
      </c>
      <c r="AB33" s="253">
        <v>2046</v>
      </c>
      <c r="AC33" s="253">
        <v>2047</v>
      </c>
      <c r="AD33" s="253">
        <v>2048</v>
      </c>
      <c r="AE33" s="253">
        <v>2049</v>
      </c>
      <c r="AF33" s="253">
        <v>2050</v>
      </c>
    </row>
    <row r="34" spans="1:32">
      <c r="A34" s="40" t="s">
        <v>47</v>
      </c>
      <c r="B34" s="309">
        <f>ramps!C21/'Baseline Price'!Q34</f>
        <v>3.2903827785549664E-2</v>
      </c>
      <c r="C34" s="309">
        <f>ramps!D21/'Baseline Price'!R34</f>
        <v>4.2091391721891129E-2</v>
      </c>
      <c r="D34" s="309">
        <f>ramps!E21/'Baseline Price'!S34</f>
        <v>5.1067273630349776E-2</v>
      </c>
      <c r="E34" s="309">
        <f>ramps!F21/'Baseline Price'!T34</f>
        <v>5.993327173811857E-2</v>
      </c>
      <c r="F34" s="309">
        <f>ramps!G21/'Baseline Price'!U34</f>
        <v>6.2181377508844726E-2</v>
      </c>
      <c r="G34" s="309">
        <f>ramps!H21/'Baseline Price'!V34</f>
        <v>7.0450920278154888E-2</v>
      </c>
      <c r="H34" s="309">
        <f>ramps!I21/'Baseline Price'!W34</f>
        <v>7.8699359322119716E-2</v>
      </c>
      <c r="I34" s="309">
        <f>ramps!J21/'Baseline Price'!X34</f>
        <v>8.6968198282879439E-2</v>
      </c>
      <c r="J34" s="309">
        <f>ramps!K21/'Baseline Price'!Y34</f>
        <v>9.500934851751594E-2</v>
      </c>
      <c r="K34" s="309">
        <f>ramps!L21/'Baseline Price'!Z34</f>
        <v>0.10093777746434331</v>
      </c>
      <c r="L34" s="309">
        <f>ramps!M21/'Baseline Price'!AA34</f>
        <v>0.10866831800750322</v>
      </c>
      <c r="M34" s="309">
        <f>ramps!N21/'Baseline Price'!AB34</f>
        <v>0.11582660402204685</v>
      </c>
      <c r="N34" s="309">
        <f>ramps!O21/'Baseline Price'!AC34</f>
        <v>0.12255451262691608</v>
      </c>
      <c r="O34" s="309">
        <f>ramps!P21/'Baseline Price'!AD34</f>
        <v>0.12929665360828596</v>
      </c>
      <c r="P34" s="309">
        <f>ramps!Q21/'Baseline Price'!AE34</f>
        <v>0.13097043710395007</v>
      </c>
      <c r="Q34" s="309">
        <f>ramps!R21/'Baseline Price'!AF34</f>
        <v>0.12977815645252699</v>
      </c>
      <c r="R34" s="309">
        <f>ramps!S21/'Baseline Price'!AG34</f>
        <v>0.12854595290776394</v>
      </c>
      <c r="S34" s="309">
        <f>ramps!T21/'Baseline Price'!AH34</f>
        <v>0.12805285679796388</v>
      </c>
      <c r="T34" s="309">
        <f>ramps!U21/'Baseline Price'!AI34</f>
        <v>0.12627235414002203</v>
      </c>
      <c r="U34" s="309">
        <f>ramps!V21/'Baseline Price'!AJ34</f>
        <v>0.12552465698896015</v>
      </c>
      <c r="V34" s="309">
        <f>ramps!W21/'Baseline Price'!AK34</f>
        <v>0.12493298994012604</v>
      </c>
      <c r="W34" s="309">
        <f>ramps!X21/'Baseline Price'!AL34</f>
        <v>0.12404477753561029</v>
      </c>
      <c r="X34" s="309">
        <f>ramps!Y21/'Baseline Price'!AM34</f>
        <v>0.12334668308331533</v>
      </c>
      <c r="Y34" s="309">
        <f>ramps!Z21/'Baseline Price'!AN34</f>
        <v>0.12245027482694067</v>
      </c>
      <c r="Z34" s="309">
        <f>ramps!AA21/'Baseline Price'!AO34</f>
        <v>0.12178699298488929</v>
      </c>
      <c r="AA34" s="309">
        <f>ramps!AB21/'Baseline Price'!AP34</f>
        <v>0.12083697415834953</v>
      </c>
      <c r="AB34" s="309">
        <f>ramps!AC21/'Baseline Price'!AQ34</f>
        <v>0.12023308538830943</v>
      </c>
      <c r="AC34" s="309">
        <f>ramps!AD21/'Baseline Price'!AR34</f>
        <v>0.11948982220305848</v>
      </c>
      <c r="AD34" s="309">
        <f>ramps!AE21/'Baseline Price'!AS34</f>
        <v>0.11852654377968587</v>
      </c>
      <c r="AE34" s="309">
        <f>ramps!AF21/'Baseline Price'!AT34</f>
        <v>0.11764483206540235</v>
      </c>
      <c r="AF34" s="309">
        <f>ramps!AG21/'Baseline Price'!AU34</f>
        <v>0.11708435589448105</v>
      </c>
    </row>
    <row r="35" spans="1:32">
      <c r="A35" s="40" t="s">
        <v>48</v>
      </c>
      <c r="B35" s="309">
        <f>ramps!C22/'Baseline Price'!Q35</f>
        <v>4.3773961915587641E-3</v>
      </c>
      <c r="C35" s="309">
        <f>ramps!D22/'Baseline Price'!R35</f>
        <v>5.5494257656140984E-3</v>
      </c>
      <c r="D35" s="309">
        <f>ramps!E22/'Baseline Price'!S35</f>
        <v>7.0287736560232699E-3</v>
      </c>
      <c r="E35" s="309">
        <f>ramps!F22/'Baseline Price'!T35</f>
        <v>8.9761110105460434E-3</v>
      </c>
      <c r="F35" s="309">
        <f>ramps!G22/'Baseline Price'!U35</f>
        <v>1.0461446300577562E-2</v>
      </c>
      <c r="G35" s="309">
        <f>ramps!H22/'Baseline Price'!V35</f>
        <v>1.2777835854486455E-2</v>
      </c>
      <c r="H35" s="309">
        <f>ramps!I22/'Baseline Price'!W35</f>
        <v>1.4602005952859695E-2</v>
      </c>
      <c r="I35" s="309">
        <f>ramps!J22/'Baseline Price'!X35</f>
        <v>1.6648075003011062E-2</v>
      </c>
      <c r="J35" s="309">
        <f>ramps!K22/'Baseline Price'!Y35</f>
        <v>1.8406496527670763E-2</v>
      </c>
      <c r="K35" s="309">
        <f>ramps!L22/'Baseline Price'!Z35</f>
        <v>1.9904961927299947E-2</v>
      </c>
      <c r="L35" s="309">
        <f>ramps!M22/'Baseline Price'!AA35</f>
        <v>2.1697624964621239E-2</v>
      </c>
      <c r="M35" s="309">
        <f>ramps!N22/'Baseline Price'!AB35</f>
        <v>2.268995384160466E-2</v>
      </c>
      <c r="N35" s="309">
        <f>ramps!O22/'Baseline Price'!AC35</f>
        <v>2.418310313638148E-2</v>
      </c>
      <c r="O35" s="309">
        <f>ramps!P22/'Baseline Price'!AD35</f>
        <v>2.607963878381386E-2</v>
      </c>
      <c r="P35" s="309">
        <f>ramps!Q22/'Baseline Price'!AE35</f>
        <v>2.6790060586836008E-2</v>
      </c>
      <c r="Q35" s="309">
        <f>ramps!R22/'Baseline Price'!AF35</f>
        <v>2.7038236014513557E-2</v>
      </c>
      <c r="R35" s="309">
        <f>ramps!S22/'Baseline Price'!AG35</f>
        <v>2.711150306796262E-2</v>
      </c>
      <c r="S35" s="309">
        <f>ramps!T22/'Baseline Price'!AH35</f>
        <v>2.6750046265462034E-2</v>
      </c>
      <c r="T35" s="309">
        <f>ramps!U22/'Baseline Price'!AI35</f>
        <v>2.6625562606779039E-2</v>
      </c>
      <c r="U35" s="309">
        <f>ramps!V22/'Baseline Price'!AJ35</f>
        <v>2.6259904591499041E-2</v>
      </c>
      <c r="V35" s="309">
        <f>ramps!W22/'Baseline Price'!AK35</f>
        <v>2.5781509187839582E-2</v>
      </c>
      <c r="W35" s="309">
        <f>ramps!X22/'Baseline Price'!AL35</f>
        <v>2.5275117690791424E-2</v>
      </c>
      <c r="X35" s="309">
        <f>ramps!Y22/'Baseline Price'!AM35</f>
        <v>2.4783042808709996E-2</v>
      </c>
      <c r="Y35" s="309">
        <f>ramps!Z22/'Baseline Price'!AN35</f>
        <v>2.4338306608753676E-2</v>
      </c>
      <c r="Z35" s="309">
        <f>ramps!AA22/'Baseline Price'!AO35</f>
        <v>2.3680483890113974E-2</v>
      </c>
      <c r="AA35" s="309">
        <f>ramps!AB22/'Baseline Price'!AP35</f>
        <v>2.3644807226236776E-2</v>
      </c>
      <c r="AB35" s="309">
        <f>ramps!AC22/'Baseline Price'!AQ35</f>
        <v>2.3695874553046781E-2</v>
      </c>
      <c r="AC35" s="309">
        <f>ramps!AD22/'Baseline Price'!AR35</f>
        <v>2.326064990979303E-2</v>
      </c>
      <c r="AD35" s="309">
        <f>ramps!AE22/'Baseline Price'!AS35</f>
        <v>2.2092614210525139E-2</v>
      </c>
      <c r="AE35" s="309">
        <f>ramps!AF22/'Baseline Price'!AT35</f>
        <v>2.0836493793176203E-2</v>
      </c>
      <c r="AF35" s="309">
        <f>ramps!AG22/'Baseline Price'!AU35</f>
        <v>2.0537033854113075E-2</v>
      </c>
    </row>
    <row r="36" spans="1:32">
      <c r="A36" s="40" t="s">
        <v>49</v>
      </c>
      <c r="B36" s="309">
        <f>ramps!C15/'Baseline Price'!Q36</f>
        <v>2.8437273227809187E-2</v>
      </c>
      <c r="C36" s="309">
        <f>ramps!D15/'Baseline Price'!R36</f>
        <v>3.5027160223236833E-2</v>
      </c>
      <c r="D36" s="309">
        <f>ramps!E15/'Baseline Price'!S36</f>
        <v>4.2163972369649499E-2</v>
      </c>
      <c r="E36" s="309">
        <f>ramps!F15/'Baseline Price'!T36</f>
        <v>4.9219237521089337E-2</v>
      </c>
      <c r="F36" s="309">
        <f>ramps!G15/'Baseline Price'!U36</f>
        <v>5.1458062063822085E-2</v>
      </c>
      <c r="G36" s="309">
        <f>ramps!H15/'Baseline Price'!V36</f>
        <v>5.8358400361836184E-2</v>
      </c>
      <c r="H36" s="309">
        <f>ramps!I15/'Baseline Price'!W36</f>
        <v>6.5161435877547136E-2</v>
      </c>
      <c r="I36" s="309">
        <f>ramps!J15/'Baseline Price'!X36</f>
        <v>7.1768724367457556E-2</v>
      </c>
      <c r="J36" s="309">
        <f>ramps!K15/'Baseline Price'!Y36</f>
        <v>7.801004102022259E-2</v>
      </c>
      <c r="K36" s="309">
        <f>ramps!L15/'Baseline Price'!Z36</f>
        <v>8.3225630120222244E-2</v>
      </c>
      <c r="L36" s="309">
        <f>ramps!M15/'Baseline Price'!AA36</f>
        <v>8.9587870904192207E-2</v>
      </c>
      <c r="M36" s="309">
        <f>ramps!N15/'Baseline Price'!AB36</f>
        <v>9.5249870844206136E-2</v>
      </c>
      <c r="N36" s="309">
        <f>ramps!O15/'Baseline Price'!AC36</f>
        <v>0.10147112147402804</v>
      </c>
      <c r="O36" s="309">
        <f>ramps!P15/'Baseline Price'!AD36</f>
        <v>0.10789343407261949</v>
      </c>
      <c r="P36" s="309">
        <f>ramps!Q15/'Baseline Price'!AE36</f>
        <v>0.10949137964269107</v>
      </c>
      <c r="Q36" s="309">
        <f>ramps!R15/'Baseline Price'!AF36</f>
        <v>0.10903210068848666</v>
      </c>
      <c r="R36" s="309">
        <f>ramps!S15/'Baseline Price'!AG36</f>
        <v>0.10891848399240453</v>
      </c>
      <c r="S36" s="309">
        <f>ramps!T15/'Baseline Price'!AH36</f>
        <v>0.10762875414017545</v>
      </c>
      <c r="T36" s="309">
        <f>ramps!U15/'Baseline Price'!AI36</f>
        <v>0.10729385867977802</v>
      </c>
      <c r="U36" s="309">
        <f>ramps!V15/'Baseline Price'!AJ36</f>
        <v>0.10666259130477494</v>
      </c>
      <c r="V36" s="309">
        <f>ramps!W15/'Baseline Price'!AK36</f>
        <v>0.10593655056188238</v>
      </c>
      <c r="W36" s="309">
        <f>ramps!X15/'Baseline Price'!AL36</f>
        <v>0.10538639575202179</v>
      </c>
      <c r="X36" s="309">
        <f>ramps!Y15/'Baseline Price'!AM36</f>
        <v>0.1049837274662043</v>
      </c>
      <c r="Y36" s="309">
        <f>ramps!Z15/'Baseline Price'!AN36</f>
        <v>0.10473615985390285</v>
      </c>
      <c r="Z36" s="309">
        <f>ramps!AA15/'Baseline Price'!AO36</f>
        <v>0.104499242647508</v>
      </c>
      <c r="AA36" s="309">
        <f>ramps!AB15/'Baseline Price'!AP36</f>
        <v>0.1041224010870886</v>
      </c>
      <c r="AB36" s="309">
        <f>ramps!AC15/'Baseline Price'!AQ36</f>
        <v>0.1044019152496734</v>
      </c>
      <c r="AC36" s="309">
        <f>ramps!AD15/'Baseline Price'!AR36</f>
        <v>0.10399402932008735</v>
      </c>
      <c r="AD36" s="309">
        <f>ramps!AE15/'Baseline Price'!AS36</f>
        <v>0.10343758423159517</v>
      </c>
      <c r="AE36" s="309">
        <f>ramps!AF15/'Baseline Price'!AT36</f>
        <v>0.10331165017669881</v>
      </c>
      <c r="AF36" s="309">
        <f>ramps!AG15/'Baseline Price'!AU36</f>
        <v>0.10300319533814722</v>
      </c>
    </row>
    <row r="37" spans="1:32">
      <c r="A37" s="40" t="s">
        <v>50</v>
      </c>
      <c r="B37" s="326">
        <f>ramps!C20/'Baseline Price'!Q37</f>
        <v>0</v>
      </c>
      <c r="C37" s="326">
        <f>ramps!D20/'Baseline Price'!R37</f>
        <v>0</v>
      </c>
      <c r="D37" s="326">
        <f>ramps!E20/'Baseline Price'!S37</f>
        <v>0</v>
      </c>
      <c r="E37" s="326">
        <f>ramps!F20/'Baseline Price'!T37</f>
        <v>0</v>
      </c>
      <c r="F37" s="326">
        <f>ramps!G20/'Baseline Price'!U37</f>
        <v>0</v>
      </c>
      <c r="G37" s="326">
        <f>ramps!H20/'Baseline Price'!V37</f>
        <v>0</v>
      </c>
      <c r="H37" s="326">
        <f>ramps!I20/'Baseline Price'!W37</f>
        <v>0</v>
      </c>
      <c r="I37" s="326">
        <f>ramps!J20/'Baseline Price'!X37</f>
        <v>0</v>
      </c>
      <c r="J37" s="326">
        <f>ramps!K20/'Baseline Price'!Y37</f>
        <v>0</v>
      </c>
      <c r="K37" s="326">
        <f>ramps!L20/'Baseline Price'!Z37</f>
        <v>0</v>
      </c>
      <c r="L37" s="326">
        <f>ramps!M20/'Baseline Price'!AA37</f>
        <v>0</v>
      </c>
      <c r="M37" s="326">
        <f>ramps!N20/'Baseline Price'!AB37</f>
        <v>0</v>
      </c>
      <c r="N37" s="326">
        <f>ramps!O20/'Baseline Price'!AC37</f>
        <v>0</v>
      </c>
      <c r="O37" s="326">
        <f>ramps!P20/'Baseline Price'!AD37</f>
        <v>0</v>
      </c>
      <c r="P37" s="326">
        <f>ramps!Q20/'Baseline Price'!AE37</f>
        <v>0</v>
      </c>
      <c r="Q37" s="326">
        <f>ramps!R20/'Baseline Price'!AF37</f>
        <v>0</v>
      </c>
      <c r="R37" s="326">
        <f>ramps!S20/'Baseline Price'!AG37</f>
        <v>0</v>
      </c>
      <c r="S37" s="326">
        <f>ramps!T20/'Baseline Price'!AH37</f>
        <v>0</v>
      </c>
      <c r="T37" s="326">
        <f>ramps!U20/'Baseline Price'!AI37</f>
        <v>0</v>
      </c>
      <c r="U37" s="326">
        <f>ramps!V20/'Baseline Price'!AJ37</f>
        <v>0</v>
      </c>
      <c r="V37" s="326">
        <f>ramps!W20/'Baseline Price'!AK37</f>
        <v>0</v>
      </c>
      <c r="W37" s="326">
        <f>ramps!X20/'Baseline Price'!AL37</f>
        <v>0</v>
      </c>
      <c r="X37" s="326">
        <f>ramps!Y20/'Baseline Price'!AM37</f>
        <v>0</v>
      </c>
      <c r="Y37" s="326">
        <f>ramps!Z20/'Baseline Price'!AN37</f>
        <v>0</v>
      </c>
      <c r="Z37" s="326">
        <f>ramps!AA20/'Baseline Price'!AO37</f>
        <v>0</v>
      </c>
      <c r="AA37" s="326">
        <f>ramps!AB20/'Baseline Price'!AP37</f>
        <v>0</v>
      </c>
      <c r="AB37" s="326">
        <f>ramps!AC20/'Baseline Price'!AQ37</f>
        <v>0</v>
      </c>
      <c r="AC37" s="326">
        <f>ramps!AD20/'Baseline Price'!AR37</f>
        <v>0</v>
      </c>
      <c r="AD37" s="326">
        <f>ramps!AE20/'Baseline Price'!AS37</f>
        <v>0</v>
      </c>
      <c r="AE37" s="326">
        <f>ramps!AF20/'Baseline Price'!AT37</f>
        <v>0</v>
      </c>
      <c r="AF37" s="326">
        <f>ramps!AG20/'Baseline Price'!AU37</f>
        <v>0</v>
      </c>
    </row>
    <row r="38" spans="1:32">
      <c r="A38" s="40" t="s">
        <v>51</v>
      </c>
      <c r="B38" s="309">
        <f>ramps!C18/'Baseline Price'!Q38</f>
        <v>3.1722970749994625E-2</v>
      </c>
      <c r="C38" s="309">
        <f>ramps!D18/'Baseline Price'!R38</f>
        <v>3.9321851564018594E-2</v>
      </c>
      <c r="D38" s="309">
        <f>ramps!E18/'Baseline Price'!S38</f>
        <v>4.764287344712051E-2</v>
      </c>
      <c r="E38" s="309">
        <f>ramps!F18/'Baseline Price'!T38</f>
        <v>5.5649955740466717E-2</v>
      </c>
      <c r="F38" s="309">
        <f>ramps!G18/'Baseline Price'!U38</f>
        <v>5.7723178246953159E-2</v>
      </c>
      <c r="G38" s="309">
        <f>ramps!H18/'Baseline Price'!V38</f>
        <v>6.4864550091741732E-2</v>
      </c>
      <c r="H38" s="309">
        <f>ramps!I18/'Baseline Price'!W38</f>
        <v>7.2288911708364892E-2</v>
      </c>
      <c r="I38" s="309">
        <f>ramps!J18/'Baseline Price'!X38</f>
        <v>7.9214304230612473E-2</v>
      </c>
      <c r="J38" s="309">
        <f>ramps!K18/'Baseline Price'!Y38</f>
        <v>8.5934904940465517E-2</v>
      </c>
      <c r="K38" s="309">
        <f>ramps!L18/'Baseline Price'!Z38</f>
        <v>9.1313640611299915E-2</v>
      </c>
      <c r="L38" s="309">
        <f>ramps!M18/'Baseline Price'!AA38</f>
        <v>9.8030516872914739E-2</v>
      </c>
      <c r="M38" s="309">
        <f>ramps!N18/'Baseline Price'!AB38</f>
        <v>0.10427253700390487</v>
      </c>
      <c r="N38" s="309">
        <f>ramps!O18/'Baseline Price'!AC38</f>
        <v>0.11113927691893964</v>
      </c>
      <c r="O38" s="309">
        <f>ramps!P18/'Baseline Price'!AD38</f>
        <v>0.11726525026878772</v>
      </c>
      <c r="P38" s="309">
        <f>ramps!Q18/'Baseline Price'!AE38</f>
        <v>0.11864135748778823</v>
      </c>
      <c r="Q38" s="309">
        <f>ramps!R18/'Baseline Price'!AF38</f>
        <v>0.1181466243565583</v>
      </c>
      <c r="R38" s="309">
        <f>ramps!S18/'Baseline Price'!AG38</f>
        <v>0.11762474795221371</v>
      </c>
      <c r="S38" s="309">
        <f>ramps!T18/'Baseline Price'!AH38</f>
        <v>0.11613364785670659</v>
      </c>
      <c r="T38" s="309">
        <f>ramps!U18/'Baseline Price'!AI38</f>
        <v>0.11553860496023245</v>
      </c>
      <c r="U38" s="309">
        <f>ramps!V18/'Baseline Price'!AJ38</f>
        <v>0.11499826562971388</v>
      </c>
      <c r="V38" s="309">
        <f>ramps!W18/'Baseline Price'!AK38</f>
        <v>0.11448914053169307</v>
      </c>
      <c r="W38" s="309">
        <f>ramps!X18/'Baseline Price'!AL38</f>
        <v>0.11392351386373463</v>
      </c>
      <c r="X38" s="309">
        <f>ramps!Y18/'Baseline Price'!AM38</f>
        <v>0.11383425753196186</v>
      </c>
      <c r="Y38" s="309">
        <f>ramps!Z18/'Baseline Price'!AN38</f>
        <v>0.11355703484346394</v>
      </c>
      <c r="Z38" s="309">
        <f>ramps!AA18/'Baseline Price'!AO38</f>
        <v>0.11336267516224555</v>
      </c>
      <c r="AA38" s="309">
        <f>ramps!AB18/'Baseline Price'!AP38</f>
        <v>0.11308922485644543</v>
      </c>
      <c r="AB38" s="309">
        <f>ramps!AC18/'Baseline Price'!AQ38</f>
        <v>0.11324859750428798</v>
      </c>
      <c r="AC38" s="309">
        <f>ramps!AD18/'Baseline Price'!AR38</f>
        <v>0.11298398483973665</v>
      </c>
      <c r="AD38" s="309">
        <f>ramps!AE18/'Baseline Price'!AS38</f>
        <v>0.11279851450684938</v>
      </c>
      <c r="AE38" s="309">
        <f>ramps!AF18/'Baseline Price'!AT38</f>
        <v>0.11334654854368605</v>
      </c>
      <c r="AF38" s="309">
        <f>ramps!AG18/'Baseline Price'!AU38</f>
        <v>0.1130909965539726</v>
      </c>
    </row>
    <row r="39" spans="1:32">
      <c r="A39" s="40" t="s">
        <v>29</v>
      </c>
      <c r="B39" s="309">
        <f>ramps!C24/'Baseline Price'!Q39</f>
        <v>0</v>
      </c>
      <c r="C39" s="309">
        <f>ramps!D24/'Baseline Price'!R39</f>
        <v>0</v>
      </c>
      <c r="D39" s="309">
        <f>ramps!E24/'Baseline Price'!S39</f>
        <v>0</v>
      </c>
      <c r="E39" s="309">
        <f>ramps!F24/'Baseline Price'!T39</f>
        <v>0</v>
      </c>
      <c r="F39" s="309">
        <f>ramps!G24/'Baseline Price'!U39</f>
        <v>0</v>
      </c>
      <c r="G39" s="309">
        <f>ramps!H24/'Baseline Price'!V39</f>
        <v>0</v>
      </c>
      <c r="H39" s="309">
        <f>ramps!I24/'Baseline Price'!W39</f>
        <v>0</v>
      </c>
      <c r="I39" s="309">
        <f>ramps!J24/'Baseline Price'!X39</f>
        <v>0</v>
      </c>
      <c r="J39" s="309">
        <f>ramps!K24/'Baseline Price'!Y39</f>
        <v>0</v>
      </c>
      <c r="K39" s="309">
        <f>ramps!L24/'Baseline Price'!Z39</f>
        <v>0</v>
      </c>
      <c r="L39" s="309">
        <f>ramps!M24/'Baseline Price'!AA39</f>
        <v>0</v>
      </c>
      <c r="M39" s="309">
        <f>ramps!N24/'Baseline Price'!AB39</f>
        <v>0</v>
      </c>
      <c r="N39" s="309">
        <f>ramps!O24/'Baseline Price'!AC39</f>
        <v>0</v>
      </c>
      <c r="O39" s="309">
        <f>ramps!P24/'Baseline Price'!AD39</f>
        <v>0</v>
      </c>
      <c r="P39" s="309">
        <f>ramps!Q24/'Baseline Price'!AE39</f>
        <v>0</v>
      </c>
      <c r="Q39" s="309">
        <f>ramps!R24/'Baseline Price'!AF39</f>
        <v>0</v>
      </c>
      <c r="R39" s="309">
        <f>ramps!S24/'Baseline Price'!AG39</f>
        <v>0</v>
      </c>
      <c r="S39" s="309">
        <f>ramps!T24/'Baseline Price'!AH39</f>
        <v>0</v>
      </c>
      <c r="T39" s="309">
        <f>ramps!U24/'Baseline Price'!AI39</f>
        <v>0</v>
      </c>
      <c r="U39" s="309">
        <f>ramps!V24/'Baseline Price'!AJ39</f>
        <v>0</v>
      </c>
      <c r="V39" s="309">
        <f>ramps!W24/'Baseline Price'!AK39</f>
        <v>0</v>
      </c>
      <c r="W39" s="309">
        <f>ramps!X24/'Baseline Price'!AL39</f>
        <v>0</v>
      </c>
      <c r="X39" s="309">
        <f>ramps!Y24/'Baseline Price'!AM39</f>
        <v>0</v>
      </c>
      <c r="Y39" s="309">
        <f>ramps!Z24/'Baseline Price'!AN39</f>
        <v>0</v>
      </c>
      <c r="Z39" s="309">
        <f>ramps!AA24/'Baseline Price'!AO39</f>
        <v>0</v>
      </c>
      <c r="AA39" s="309">
        <f>ramps!AB24/'Baseline Price'!AP39</f>
        <v>0</v>
      </c>
      <c r="AB39" s="309">
        <f>ramps!AC24/'Baseline Price'!AQ39</f>
        <v>0</v>
      </c>
      <c r="AC39" s="309">
        <f>ramps!AD24/'Baseline Price'!AR39</f>
        <v>0</v>
      </c>
      <c r="AD39" s="309">
        <f>ramps!AE24/'Baseline Price'!AS39</f>
        <v>0</v>
      </c>
      <c r="AE39" s="309">
        <f>ramps!AF24/'Baseline Price'!AT39</f>
        <v>0</v>
      </c>
      <c r="AF39" s="309">
        <f>ramps!AG24/'Baseline Price'!AU39</f>
        <v>0</v>
      </c>
    </row>
    <row r="40" spans="1:32">
      <c r="A40" s="40" t="s">
        <v>52</v>
      </c>
      <c r="B40" s="309">
        <f>ramps!C16/'Baseline Price'!Q40</f>
        <v>3.4172723807187971E-2</v>
      </c>
      <c r="C40" s="309">
        <f>ramps!D16/'Baseline Price'!R40</f>
        <v>4.7067777180600116E-2</v>
      </c>
      <c r="D40" s="309">
        <f>ramps!E16/'Baseline Price'!S40</f>
        <v>5.8528189052264951E-2</v>
      </c>
      <c r="E40" s="309">
        <f>ramps!F16/'Baseline Price'!T40</f>
        <v>6.931484234662591E-2</v>
      </c>
      <c r="F40" s="309">
        <f>ramps!G16/'Baseline Price'!U40</f>
        <v>6.7333580113267691E-2</v>
      </c>
      <c r="G40" s="309">
        <f>ramps!H16/'Baseline Price'!V40</f>
        <v>7.6162336203606018E-2</v>
      </c>
      <c r="H40" s="309">
        <f>ramps!I16/'Baseline Price'!W40</f>
        <v>8.5594034421755574E-2</v>
      </c>
      <c r="I40" s="309">
        <f>ramps!J16/'Baseline Price'!X40</f>
        <v>9.4980678630035537E-2</v>
      </c>
      <c r="J40" s="309">
        <f>ramps!K16/'Baseline Price'!Y40</f>
        <v>0.10472662347040333</v>
      </c>
      <c r="K40" s="309">
        <f>ramps!L16/'Baseline Price'!Z40</f>
        <v>0.11169078473316592</v>
      </c>
      <c r="L40" s="309">
        <f>ramps!M16/'Baseline Price'!AA40</f>
        <v>0.12139240682754315</v>
      </c>
      <c r="M40" s="309">
        <f>ramps!N16/'Baseline Price'!AB40</f>
        <v>0.13118930193949163</v>
      </c>
      <c r="N40" s="309">
        <f>ramps!O16/'Baseline Price'!AC40</f>
        <v>0.14079886416636975</v>
      </c>
      <c r="O40" s="309">
        <f>ramps!P16/'Baseline Price'!AD40</f>
        <v>0.15058396942666588</v>
      </c>
      <c r="P40" s="309">
        <f>ramps!Q16/'Baseline Price'!AE40</f>
        <v>0.15402927897536833</v>
      </c>
      <c r="Q40" s="309">
        <f>ramps!R16/'Baseline Price'!AF40</f>
        <v>0.15455512612463454</v>
      </c>
      <c r="R40" s="309">
        <f>ramps!S16/'Baseline Price'!AG40</f>
        <v>0.1540655882869191</v>
      </c>
      <c r="S40" s="309">
        <f>ramps!T16/'Baseline Price'!AH40</f>
        <v>0.15447474026950839</v>
      </c>
      <c r="T40" s="309">
        <f>ramps!U16/'Baseline Price'!AI40</f>
        <v>0.15436450334469687</v>
      </c>
      <c r="U40" s="309">
        <f>ramps!V16/'Baseline Price'!AJ40</f>
        <v>0.15430579078213258</v>
      </c>
      <c r="V40" s="309">
        <f>ramps!W16/'Baseline Price'!AK40</f>
        <v>0.15438048441350702</v>
      </c>
      <c r="W40" s="309">
        <f>ramps!X16/'Baseline Price'!AL40</f>
        <v>0.15423776919297036</v>
      </c>
      <c r="X40" s="309">
        <f>ramps!Y16/'Baseline Price'!AM40</f>
        <v>0.15385103137316089</v>
      </c>
      <c r="Y40" s="309">
        <f>ramps!Z16/'Baseline Price'!AN40</f>
        <v>0.15370322806521106</v>
      </c>
      <c r="Z40" s="309">
        <f>ramps!AA16/'Baseline Price'!AO40</f>
        <v>0.15342060871460297</v>
      </c>
      <c r="AA40" s="309">
        <f>ramps!AB16/'Baseline Price'!AP40</f>
        <v>0.15310945320292346</v>
      </c>
      <c r="AB40" s="309">
        <f>ramps!AC16/'Baseline Price'!AQ40</f>
        <v>0.15272050319146233</v>
      </c>
      <c r="AC40" s="309">
        <f>ramps!AD16/'Baseline Price'!AR40</f>
        <v>0.15241542686575041</v>
      </c>
      <c r="AD40" s="309">
        <f>ramps!AE16/'Baseline Price'!AS40</f>
        <v>0.15172782889135036</v>
      </c>
      <c r="AE40" s="309">
        <f>ramps!AF16/'Baseline Price'!AT40</f>
        <v>0.15118803093077068</v>
      </c>
      <c r="AF40" s="309">
        <f>ramps!AG16/'Baseline Price'!AU40</f>
        <v>0.15045253915717097</v>
      </c>
    </row>
    <row r="41" spans="1:32">
      <c r="A41" s="40" t="s">
        <v>25</v>
      </c>
      <c r="B41" s="309">
        <f>B90/'Baseline Price'!Q41</f>
        <v>1.1803312838934658E-2</v>
      </c>
      <c r="C41" s="309">
        <f>C90/'Baseline Price'!R41</f>
        <v>1.1730646893549346E-2</v>
      </c>
      <c r="D41" s="309">
        <f>D90/'Baseline Price'!S41</f>
        <v>7.893340959258751E-3</v>
      </c>
      <c r="E41" s="309">
        <f>E90/'Baseline Price'!T41</f>
        <v>8.8325826805561152E-3</v>
      </c>
      <c r="F41" s="309">
        <f>F90/'Baseline Price'!U41</f>
        <v>5.5508080837491022E-3</v>
      </c>
      <c r="G41" s="309">
        <f>G90/'Baseline Price'!V41</f>
        <v>-1.4958362719926866E-3</v>
      </c>
      <c r="H41" s="309">
        <f>H90/'Baseline Price'!W41</f>
        <v>-4.0959506299507878E-3</v>
      </c>
      <c r="I41" s="309">
        <f>I90/'Baseline Price'!X41</f>
        <v>-3.2215632508120918E-3</v>
      </c>
      <c r="J41" s="309">
        <f>J90/'Baseline Price'!Y41</f>
        <v>-2.1451623241759443E-3</v>
      </c>
      <c r="K41" s="309">
        <f>K90/'Baseline Price'!Z41</f>
        <v>1.6812512642265375E-3</v>
      </c>
      <c r="L41" s="309">
        <f>L90/'Baseline Price'!AA41</f>
        <v>2.5182438273874635E-3</v>
      </c>
      <c r="M41" s="309">
        <f>M90/'Baseline Price'!AB41</f>
        <v>3.3151791826055484E-3</v>
      </c>
      <c r="N41" s="309">
        <f>N90/'Baseline Price'!AC41</f>
        <v>3.997316157986497E-3</v>
      </c>
      <c r="O41" s="309">
        <f>O90/'Baseline Price'!AD41</f>
        <v>4.442274506061483E-3</v>
      </c>
      <c r="P41" s="309">
        <f>P90/'Baseline Price'!AE41</f>
        <v>4.2927219507544112E-3</v>
      </c>
      <c r="Q41" s="309">
        <f>Q90/'Baseline Price'!AF41</f>
        <v>3.8919163905778726E-3</v>
      </c>
      <c r="R41" s="309">
        <f>R90/'Baseline Price'!AG41</f>
        <v>3.4943213255032818E-3</v>
      </c>
      <c r="S41" s="309">
        <f>S90/'Baseline Price'!AH41</f>
        <v>3.0935487498995537E-3</v>
      </c>
      <c r="T41" s="309">
        <f>T90/'Baseline Price'!AI41</f>
        <v>2.6936658941970537E-3</v>
      </c>
      <c r="U41" s="309">
        <f>U90/'Baseline Price'!AJ41</f>
        <v>2.2926856012571162E-3</v>
      </c>
      <c r="V41" s="309">
        <f>V90/'Baseline Price'!AK41</f>
        <v>1.8870200342011902E-3</v>
      </c>
      <c r="W41" s="309">
        <f>W90/'Baseline Price'!AL41</f>
        <v>1.4732635311996262E-3</v>
      </c>
      <c r="X41" s="309">
        <f>X90/'Baseline Price'!AM41</f>
        <v>1.0528465196120989E-3</v>
      </c>
      <c r="Y41" s="309">
        <f>Y90/'Baseline Price'!AN41</f>
        <v>6.2878370891080663E-4</v>
      </c>
      <c r="Z41" s="309">
        <f>Z90/'Baseline Price'!AO41</f>
        <v>1.9830435106068218E-4</v>
      </c>
      <c r="AA41" s="309">
        <f>AA90/'Baseline Price'!AP41</f>
        <v>-2.3842567827481669E-4</v>
      </c>
      <c r="AB41" s="309">
        <f>AB90/'Baseline Price'!AQ41</f>
        <v>-2.3994405383647609E-4</v>
      </c>
      <c r="AC41" s="309">
        <f>AC90/'Baseline Price'!AR41</f>
        <v>-2.4174859828971374E-4</v>
      </c>
      <c r="AD41" s="309">
        <f>AD90/'Baseline Price'!AS41</f>
        <v>-2.4395639422362708E-4</v>
      </c>
      <c r="AE41" s="309">
        <f>AE90/'Baseline Price'!AT41</f>
        <v>-2.4625037926548539E-4</v>
      </c>
      <c r="AF41" s="309">
        <f>AF90/'Baseline Price'!AU41</f>
        <v>-2.4854853012707323E-4</v>
      </c>
    </row>
    <row r="42" spans="1:32">
      <c r="A42" s="396"/>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row>
    <row r="43" spans="1:32" ht="13">
      <c r="A43" s="250" t="s">
        <v>416</v>
      </c>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1"/>
    </row>
    <row r="44" spans="1:32" s="396" customFormat="1" ht="12.9" customHeight="1">
      <c r="A44" s="253" t="s">
        <v>6</v>
      </c>
      <c r="B44" s="253">
        <v>2020</v>
      </c>
      <c r="C44" s="253">
        <v>2021</v>
      </c>
      <c r="D44" s="253">
        <v>2022</v>
      </c>
      <c r="E44" s="253">
        <v>2023</v>
      </c>
      <c r="F44" s="253">
        <v>2024</v>
      </c>
      <c r="G44" s="253">
        <v>2025</v>
      </c>
      <c r="H44" s="253">
        <v>2026</v>
      </c>
      <c r="I44" s="253">
        <v>2027</v>
      </c>
      <c r="J44" s="253">
        <v>2028</v>
      </c>
      <c r="K44" s="253">
        <v>2029</v>
      </c>
      <c r="L44" s="253">
        <v>2030</v>
      </c>
      <c r="M44" s="253">
        <v>2031</v>
      </c>
      <c r="N44" s="253">
        <v>2032</v>
      </c>
      <c r="O44" s="253">
        <v>2033</v>
      </c>
      <c r="P44" s="253">
        <v>2034</v>
      </c>
      <c r="Q44" s="253">
        <v>2035</v>
      </c>
      <c r="R44" s="253">
        <v>2036</v>
      </c>
      <c r="S44" s="253">
        <v>2037</v>
      </c>
      <c r="T44" s="253">
        <v>2038</v>
      </c>
      <c r="U44" s="253">
        <v>2039</v>
      </c>
      <c r="V44" s="253">
        <v>2040</v>
      </c>
      <c r="W44" s="253">
        <v>2041</v>
      </c>
      <c r="X44" s="253">
        <v>2042</v>
      </c>
      <c r="Y44" s="253">
        <v>2043</v>
      </c>
      <c r="Z44" s="253">
        <v>2044</v>
      </c>
      <c r="AA44" s="253">
        <v>2045</v>
      </c>
      <c r="AB44" s="253">
        <v>2046</v>
      </c>
      <c r="AC44" s="253">
        <v>2047</v>
      </c>
      <c r="AD44" s="253">
        <v>2048</v>
      </c>
      <c r="AE44" s="253">
        <v>2049</v>
      </c>
      <c r="AF44" s="253">
        <v>2050</v>
      </c>
    </row>
    <row r="45" spans="1:32" s="396" customFormat="1">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row>
    <row r="46" spans="1:32" ht="13">
      <c r="A46" s="84" t="s">
        <v>1311</v>
      </c>
      <c r="B46" s="309"/>
      <c r="C46" s="309"/>
      <c r="D46" s="309"/>
      <c r="E46" s="309"/>
      <c r="F46" s="309"/>
      <c r="G46" s="309"/>
      <c r="H46" s="309"/>
      <c r="I46" s="309"/>
      <c r="J46" s="309"/>
      <c r="K46" s="309"/>
      <c r="L46" s="309"/>
      <c r="M46" s="309"/>
      <c r="N46" s="309"/>
      <c r="O46" s="309"/>
      <c r="P46" s="309"/>
      <c r="Q46" s="309"/>
      <c r="R46" s="283"/>
      <c r="S46" s="283"/>
      <c r="T46" s="283"/>
      <c r="U46" s="283"/>
      <c r="V46" s="283"/>
      <c r="W46" s="309"/>
      <c r="X46" s="309"/>
      <c r="Y46" s="309"/>
      <c r="Z46" s="309"/>
      <c r="AA46" s="309"/>
      <c r="AB46" s="309"/>
      <c r="AC46" s="309"/>
      <c r="AD46" s="309"/>
      <c r="AE46" s="309"/>
      <c r="AF46" s="309"/>
    </row>
    <row r="47" spans="1:32">
      <c r="A47" s="46" t="s">
        <v>2</v>
      </c>
      <c r="B47" s="309">
        <f>ramps!C17/'Baseline Price'!Q49</f>
        <v>0.44887388113326671</v>
      </c>
      <c r="C47" s="309">
        <f>ramps!D17/'Baseline Price'!R49</f>
        <v>0.56503113155848717</v>
      </c>
      <c r="D47" s="309">
        <f>ramps!E17/'Baseline Price'!S49</f>
        <v>0.69705967055281726</v>
      </c>
      <c r="E47" s="309">
        <f>ramps!F17/'Baseline Price'!T49</f>
        <v>0.82908339584596646</v>
      </c>
      <c r="F47" s="309">
        <f>ramps!G17/'Baseline Price'!U49</f>
        <v>0.9580555252819698</v>
      </c>
      <c r="G47" s="309">
        <f>ramps!H17/'Baseline Price'!V49</f>
        <v>1.0848302922191435</v>
      </c>
      <c r="H47" s="309">
        <f>ramps!I17/'Baseline Price'!W49</f>
        <v>1.2137352202469855</v>
      </c>
      <c r="I47" s="309">
        <f>ramps!J17/'Baseline Price'!X49</f>
        <v>1.340010945758245</v>
      </c>
      <c r="J47" s="309">
        <f>ramps!K17/'Baseline Price'!Y49</f>
        <v>1.4718587805486809</v>
      </c>
      <c r="K47" s="309">
        <f>ramps!L17/'Baseline Price'!Z49</f>
        <v>1.5936285784327326</v>
      </c>
      <c r="L47" s="309">
        <f>ramps!M17/'Baseline Price'!AA49</f>
        <v>1.7155820410987874</v>
      </c>
      <c r="M47" s="309">
        <f>ramps!N17/'Baseline Price'!AB49</f>
        <v>1.8390159880268186</v>
      </c>
      <c r="N47" s="309">
        <f>ramps!O17/'Baseline Price'!AC49</f>
        <v>1.966788268438922</v>
      </c>
      <c r="O47" s="309">
        <f>ramps!P17/'Baseline Price'!AD49</f>
        <v>2.0897140924539626</v>
      </c>
      <c r="P47" s="309">
        <f>ramps!Q17/'Baseline Price'!AE49</f>
        <v>2.1326667342273868</v>
      </c>
      <c r="Q47" s="309">
        <f>ramps!R17/'Baseline Price'!AF49</f>
        <v>2.1214328789389882</v>
      </c>
      <c r="R47" s="309">
        <f>ramps!S17/'Baseline Price'!AG49</f>
        <v>2.0987898382225314</v>
      </c>
      <c r="S47" s="309">
        <f>ramps!T17/'Baseline Price'!AH49</f>
        <v>2.0870753396731647</v>
      </c>
      <c r="T47" s="309">
        <f>ramps!U17/'Baseline Price'!AI49</f>
        <v>2.0730320205735842</v>
      </c>
      <c r="U47" s="309">
        <f>ramps!V17/'Baseline Price'!AJ49</f>
        <v>2.0570071176356106</v>
      </c>
      <c r="V47" s="309">
        <f>ramps!W17/'Baseline Price'!AK49</f>
        <v>2.0467409055110282</v>
      </c>
      <c r="W47" s="309">
        <f>ramps!X17/'Baseline Price'!AL49</f>
        <v>2.0401805699837947</v>
      </c>
      <c r="X47" s="309">
        <f>ramps!Y17/'Baseline Price'!AM49</f>
        <v>2.0319568667268029</v>
      </c>
      <c r="Y47" s="309">
        <f>ramps!Z17/'Baseline Price'!AN49</f>
        <v>2.0294425612036591</v>
      </c>
      <c r="Z47" s="309">
        <f>ramps!AA17/'Baseline Price'!AO49</f>
        <v>2.028286348626227</v>
      </c>
      <c r="AA47" s="309">
        <f>ramps!AB17/'Baseline Price'!AP49</f>
        <v>2.0242456318403792</v>
      </c>
      <c r="AB47" s="309">
        <f>ramps!AC17/'Baseline Price'!AQ49</f>
        <v>2.0225336302278865</v>
      </c>
      <c r="AC47" s="309">
        <f>ramps!AD17/'Baseline Price'!AR49</f>
        <v>2.0233434436408047</v>
      </c>
      <c r="AD47" s="309">
        <f>ramps!AE17/'Baseline Price'!AS49</f>
        <v>2.0199417523026697</v>
      </c>
      <c r="AE47" s="309">
        <f>ramps!AF17/'Baseline Price'!AT49</f>
        <v>2.0181974491859651</v>
      </c>
      <c r="AF47" s="309">
        <f>ramps!AG17/'Baseline Price'!AU49</f>
        <v>2.0154733872382011</v>
      </c>
    </row>
    <row r="48" spans="1:32">
      <c r="A48" s="40" t="s">
        <v>24</v>
      </c>
      <c r="B48" s="309">
        <f>ramps!C16/'Baseline Price'!Q48</f>
        <v>0.15056188044098362</v>
      </c>
      <c r="C48" s="309">
        <f>ramps!D16/'Baseline Price'!R48</f>
        <v>0.19595637841937125</v>
      </c>
      <c r="D48" s="309">
        <f>ramps!E16/'Baseline Price'!S48</f>
        <v>0.23628641247358317</v>
      </c>
      <c r="E48" s="309">
        <f>ramps!F16/'Baseline Price'!T48</f>
        <v>0.26889193384658994</v>
      </c>
      <c r="F48" s="309">
        <f>ramps!G16/'Baseline Price'!U48</f>
        <v>0.30234169894287399</v>
      </c>
      <c r="G48" s="309">
        <f>ramps!H16/'Baseline Price'!V48</f>
        <v>0.32133260914891715</v>
      </c>
      <c r="H48" s="309">
        <f>ramps!I16/'Baseline Price'!W48</f>
        <v>0.35026426059806876</v>
      </c>
      <c r="I48" s="309">
        <f>ramps!J16/'Baseline Price'!X48</f>
        <v>0.39156761555909675</v>
      </c>
      <c r="J48" s="309">
        <f>ramps!K16/'Baseline Price'!Y48</f>
        <v>0.42282550488370835</v>
      </c>
      <c r="K48" s="309">
        <f>ramps!L16/'Baseline Price'!Z48</f>
        <v>0.46168989623111395</v>
      </c>
      <c r="L48" s="309">
        <f>ramps!M16/'Baseline Price'!AA48</f>
        <v>0.49927216269114538</v>
      </c>
      <c r="M48" s="309">
        <f>ramps!N16/'Baseline Price'!AB48</f>
        <v>0.53741736325962353</v>
      </c>
      <c r="N48" s="309">
        <f>ramps!O16/'Baseline Price'!AC48</f>
        <v>0.55571013410384829</v>
      </c>
      <c r="O48" s="309">
        <f>ramps!P16/'Baseline Price'!AD48</f>
        <v>0.58238450640502559</v>
      </c>
      <c r="P48" s="309">
        <f>ramps!Q16/'Baseline Price'!AE48</f>
        <v>0.58671220883342312</v>
      </c>
      <c r="Q48" s="309">
        <f>ramps!R16/'Baseline Price'!AF48</f>
        <v>0.57898169498282581</v>
      </c>
      <c r="R48" s="309">
        <f>ramps!S16/'Baseline Price'!AG48</f>
        <v>0.57366025444465096</v>
      </c>
      <c r="S48" s="309">
        <f>ramps!T16/'Baseline Price'!AH48</f>
        <v>0.57241439479252176</v>
      </c>
      <c r="T48" s="309">
        <f>ramps!U16/'Baseline Price'!AI48</f>
        <v>0.56749188836357511</v>
      </c>
      <c r="U48" s="309">
        <f>ramps!V16/'Baseline Price'!AJ48</f>
        <v>0.56409884562630819</v>
      </c>
      <c r="V48" s="309">
        <f>ramps!W16/'Baseline Price'!AK48</f>
        <v>0.55304000011118504</v>
      </c>
      <c r="W48" s="309">
        <f>ramps!X16/'Baseline Price'!AL48</f>
        <v>0.55454485340080584</v>
      </c>
      <c r="X48" s="309">
        <f>ramps!Y16/'Baseline Price'!AM48</f>
        <v>0.54768420797644601</v>
      </c>
      <c r="Y48" s="309">
        <f>ramps!Z16/'Baseline Price'!AN48</f>
        <v>0.54004246782409571</v>
      </c>
      <c r="Z48" s="309">
        <f>ramps!AA16/'Baseline Price'!AO48</f>
        <v>0.52607931532282637</v>
      </c>
      <c r="AA48" s="309">
        <f>ramps!AB16/'Baseline Price'!AP48</f>
        <v>0.51500486758385899</v>
      </c>
      <c r="AB48" s="309">
        <f>ramps!AC16/'Baseline Price'!AQ48</f>
        <v>0.50521401687199641</v>
      </c>
      <c r="AC48" s="309">
        <f>ramps!AD16/'Baseline Price'!AR48</f>
        <v>0.49462651083740794</v>
      </c>
      <c r="AD48" s="309">
        <f>ramps!AE16/'Baseline Price'!AS48</f>
        <v>0.47758105450929017</v>
      </c>
      <c r="AE48" s="309">
        <f>ramps!AF16/'Baseline Price'!AT48</f>
        <v>0.46770406054218555</v>
      </c>
      <c r="AF48" s="309">
        <f>ramps!AG16/'Baseline Price'!AU48</f>
        <v>0.45922059385529002</v>
      </c>
    </row>
    <row r="49" spans="1:32">
      <c r="A49" s="46" t="s">
        <v>406</v>
      </c>
      <c r="B49" s="309">
        <f>ramps!C16/'Baseline Price'!Q48</f>
        <v>0.15056188044098362</v>
      </c>
      <c r="C49" s="309">
        <f>ramps!D16/'Baseline Price'!R48</f>
        <v>0.19595637841937125</v>
      </c>
      <c r="D49" s="309">
        <f>ramps!E16/'Baseline Price'!S48</f>
        <v>0.23628641247358317</v>
      </c>
      <c r="E49" s="309">
        <f>ramps!F16/'Baseline Price'!T48</f>
        <v>0.26889193384658994</v>
      </c>
      <c r="F49" s="309">
        <f>ramps!G16/'Baseline Price'!U48</f>
        <v>0.30234169894287399</v>
      </c>
      <c r="G49" s="309">
        <f>ramps!H16/'Baseline Price'!V48</f>
        <v>0.32133260914891715</v>
      </c>
      <c r="H49" s="309">
        <f>ramps!I16/'Baseline Price'!W48</f>
        <v>0.35026426059806876</v>
      </c>
      <c r="I49" s="309">
        <f>ramps!J16/'Baseline Price'!X48</f>
        <v>0.39156761555909675</v>
      </c>
      <c r="J49" s="309">
        <f>ramps!K16/'Baseline Price'!Y48</f>
        <v>0.42282550488370835</v>
      </c>
      <c r="K49" s="309">
        <f>ramps!L16/'Baseline Price'!Z48</f>
        <v>0.46168989623111395</v>
      </c>
      <c r="L49" s="309">
        <f>ramps!M16/'Baseline Price'!AA48</f>
        <v>0.49927216269114538</v>
      </c>
      <c r="M49" s="309">
        <f>ramps!N16/'Baseline Price'!AB48</f>
        <v>0.53741736325962353</v>
      </c>
      <c r="N49" s="309">
        <f>ramps!O16/'Baseline Price'!AC48</f>
        <v>0.55571013410384829</v>
      </c>
      <c r="O49" s="309">
        <f>ramps!P16/'Baseline Price'!AD48</f>
        <v>0.58238450640502559</v>
      </c>
      <c r="P49" s="309">
        <f>ramps!Q16/'Baseline Price'!AE48</f>
        <v>0.58671220883342312</v>
      </c>
      <c r="Q49" s="309">
        <f>ramps!R16/'Baseline Price'!AF48</f>
        <v>0.57898169498282581</v>
      </c>
      <c r="R49" s="309">
        <f>ramps!S16/'Baseline Price'!AG48</f>
        <v>0.57366025444465096</v>
      </c>
      <c r="S49" s="309">
        <f>ramps!T16/'Baseline Price'!AH48</f>
        <v>0.57241439479252176</v>
      </c>
      <c r="T49" s="309">
        <f>ramps!U16/'Baseline Price'!AI48</f>
        <v>0.56749188836357511</v>
      </c>
      <c r="U49" s="309">
        <f>ramps!V16/'Baseline Price'!AJ48</f>
        <v>0.56409884562630819</v>
      </c>
      <c r="V49" s="309">
        <f>ramps!W16/'Baseline Price'!AK48</f>
        <v>0.55304000011118504</v>
      </c>
      <c r="W49" s="309">
        <f>ramps!X16/'Baseline Price'!AL48</f>
        <v>0.55454485340080584</v>
      </c>
      <c r="X49" s="309">
        <f>ramps!Y16/'Baseline Price'!AM48</f>
        <v>0.54768420797644601</v>
      </c>
      <c r="Y49" s="309">
        <f>ramps!Z16/'Baseline Price'!AN48</f>
        <v>0.54004246782409571</v>
      </c>
      <c r="Z49" s="309">
        <f>ramps!AA16/'Baseline Price'!AO48</f>
        <v>0.52607931532282637</v>
      </c>
      <c r="AA49" s="309">
        <f>ramps!AB16/'Baseline Price'!AP48</f>
        <v>0.51500486758385899</v>
      </c>
      <c r="AB49" s="309">
        <f>ramps!AC16/'Baseline Price'!AQ48</f>
        <v>0.50521401687199641</v>
      </c>
      <c r="AC49" s="309">
        <f>ramps!AD16/'Baseline Price'!AR48</f>
        <v>0.49462651083740794</v>
      </c>
      <c r="AD49" s="309">
        <f>ramps!AE16/'Baseline Price'!AS48</f>
        <v>0.47758105450929017</v>
      </c>
      <c r="AE49" s="309">
        <f>ramps!AF16/'Baseline Price'!AT48</f>
        <v>0.46770406054218555</v>
      </c>
      <c r="AF49" s="309">
        <f>ramps!AG16/'Baseline Price'!AU48</f>
        <v>0.45922059385529002</v>
      </c>
    </row>
    <row r="50" spans="1:32">
      <c r="A50" s="46" t="s">
        <v>247</v>
      </c>
      <c r="B50" s="309">
        <f>ramps!C19/'Baseline Price'!Q46</f>
        <v>3.1685207313734191E-2</v>
      </c>
      <c r="C50" s="309">
        <f>ramps!D19/'Baseline Price'!R46</f>
        <v>4.2546103431033752E-2</v>
      </c>
      <c r="D50" s="309">
        <f>ramps!E19/'Baseline Price'!S46</f>
        <v>5.4804462930076792E-2</v>
      </c>
      <c r="E50" s="309">
        <f>ramps!F19/'Baseline Price'!T46</f>
        <v>6.6616100069139636E-2</v>
      </c>
      <c r="F50" s="309">
        <f>ramps!G19/'Baseline Price'!U46</f>
        <v>7.7824425040807901E-2</v>
      </c>
      <c r="G50" s="309">
        <f>ramps!H19/'Baseline Price'!V46</f>
        <v>8.6917552588030439E-2</v>
      </c>
      <c r="H50" s="309">
        <f>ramps!I19/'Baseline Price'!W46</f>
        <v>9.5175960751184716E-2</v>
      </c>
      <c r="I50" s="309">
        <f>ramps!J19/'Baseline Price'!X46</f>
        <v>0.10231011100826386</v>
      </c>
      <c r="J50" s="309">
        <f>ramps!K19/'Baseline Price'!Y46</f>
        <v>0.11124390464271434</v>
      </c>
      <c r="K50" s="309">
        <f>ramps!L19/'Baseline Price'!Z46</f>
        <v>0.11801858715894284</v>
      </c>
      <c r="L50" s="309">
        <f>ramps!M19/'Baseline Price'!AA46</f>
        <v>0.12704552080956569</v>
      </c>
      <c r="M50" s="309">
        <f>ramps!N19/'Baseline Price'!AB46</f>
        <v>0.13528880630021017</v>
      </c>
      <c r="N50" s="309">
        <f>ramps!O19/'Baseline Price'!AC46</f>
        <v>0.14272836538461539</v>
      </c>
      <c r="O50" s="309">
        <f>ramps!P19/'Baseline Price'!AD46</f>
        <v>0.1503762647531813</v>
      </c>
      <c r="P50" s="309">
        <f>ramps!Q19/'Baseline Price'!AE46</f>
        <v>0.15310691287235018</v>
      </c>
      <c r="Q50" s="309">
        <f>ramps!R19/'Baseline Price'!AF46</f>
        <v>0.15159297168976907</v>
      </c>
      <c r="R50" s="309">
        <f>ramps!S19/'Baseline Price'!AG46</f>
        <v>0.14946030832752386</v>
      </c>
      <c r="S50" s="309">
        <f>ramps!T19/'Baseline Price'!AH46</f>
        <v>0.14969869326445109</v>
      </c>
      <c r="T50" s="309">
        <f>ramps!U19/'Baseline Price'!AI46</f>
        <v>0.14863758766823737</v>
      </c>
      <c r="U50" s="309">
        <f>ramps!V19/'Baseline Price'!AJ46</f>
        <v>0.14756992181638626</v>
      </c>
      <c r="V50" s="309">
        <f>ramps!W19/'Baseline Price'!AK46</f>
        <v>0.14693132275309972</v>
      </c>
      <c r="W50" s="309">
        <f>ramps!X19/'Baseline Price'!AL46</f>
        <v>0.14642727458707111</v>
      </c>
      <c r="X50" s="309">
        <f>ramps!Y19/'Baseline Price'!AM46</f>
        <v>0.14483195434437457</v>
      </c>
      <c r="Y50" s="309">
        <f>ramps!Z19/'Baseline Price'!AN46</f>
        <v>0.14454819155688384</v>
      </c>
      <c r="Z50" s="309">
        <f>ramps!AA19/'Baseline Price'!AO46</f>
        <v>0.14473076536042553</v>
      </c>
      <c r="AA50" s="309">
        <f>ramps!AB19/'Baseline Price'!AP46</f>
        <v>0.14434937228841729</v>
      </c>
      <c r="AB50" s="309">
        <f>ramps!AC19/'Baseline Price'!AQ46</f>
        <v>0.14422781551426772</v>
      </c>
      <c r="AC50" s="309">
        <f>ramps!AD19/'Baseline Price'!AR46</f>
        <v>0.14415213889652731</v>
      </c>
      <c r="AD50" s="309">
        <f>ramps!AE19/'Baseline Price'!AS46</f>
        <v>0.14380345129069447</v>
      </c>
      <c r="AE50" s="309">
        <f>ramps!AF19/'Baseline Price'!AT46</f>
        <v>0.14411000634872057</v>
      </c>
      <c r="AF50" s="309">
        <f>ramps!AG19/'Baseline Price'!AU46</f>
        <v>0.1442373368491357</v>
      </c>
    </row>
    <row r="51" spans="1:32">
      <c r="A51" s="46"/>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row>
    <row r="52" spans="1:32" s="40" customFormat="1">
      <c r="A52" s="40" t="s">
        <v>296</v>
      </c>
      <c r="B52" s="283"/>
      <c r="C52" s="283"/>
      <c r="D52" s="283"/>
      <c r="E52" s="283"/>
      <c r="F52" s="283"/>
      <c r="G52" s="283"/>
      <c r="H52" s="283"/>
      <c r="I52" s="283"/>
      <c r="J52" s="283"/>
      <c r="K52" s="283"/>
      <c r="L52" s="283"/>
      <c r="M52" s="283"/>
      <c r="N52" s="283"/>
      <c r="O52" s="283"/>
      <c r="P52" s="283"/>
      <c r="Q52" s="283"/>
      <c r="R52" s="283"/>
      <c r="S52" s="283"/>
      <c r="T52" s="283"/>
      <c r="U52" s="283"/>
      <c r="V52" s="283"/>
      <c r="W52" s="309"/>
      <c r="X52" s="309"/>
      <c r="Y52" s="309"/>
      <c r="Z52" s="309"/>
      <c r="AA52" s="309"/>
      <c r="AB52" s="309"/>
      <c r="AC52" s="309"/>
      <c r="AD52" s="309"/>
      <c r="AE52" s="309"/>
      <c r="AF52" s="309"/>
    </row>
    <row r="53" spans="1:32" s="40" customFormat="1">
      <c r="A53" s="51" t="s">
        <v>352</v>
      </c>
      <c r="B53" s="312">
        <f>'Baseline Consumption'!Q72*parameters!$B142</f>
        <v>11.354041238907861</v>
      </c>
      <c r="C53" s="312">
        <f>'Baseline Consumption'!R72*parameters!$B142</f>
        <v>9.8312759666370706</v>
      </c>
      <c r="D53" s="312">
        <f>'Baseline Consumption'!S72*parameters!$B142</f>
        <v>9.8312759666370706</v>
      </c>
      <c r="E53" s="312">
        <f>'Baseline Consumption'!T72*parameters!$B142</f>
        <v>7.7093298141747804</v>
      </c>
      <c r="F53" s="312">
        <f>'Baseline Consumption'!U72*parameters!$B142</f>
        <v>6.7596396544014796</v>
      </c>
      <c r="G53" s="312">
        <f>'Baseline Consumption'!V72*parameters!$B142</f>
        <v>6.7596396544014796</v>
      </c>
      <c r="H53" s="312">
        <f>'Baseline Consumption'!W72*parameters!$B142</f>
        <v>5.2051501056250498</v>
      </c>
      <c r="I53" s="312">
        <f>'Baseline Consumption'!X72*parameters!$B142</f>
        <v>5.2051501056250498</v>
      </c>
      <c r="J53" s="312">
        <f>'Baseline Consumption'!Y72*parameters!$B142</f>
        <v>5.2051501056250498</v>
      </c>
      <c r="K53" s="312">
        <f>'Baseline Consumption'!Z72*parameters!$B142</f>
        <v>4.2382677553314716</v>
      </c>
      <c r="L53" s="312">
        <f>'Baseline Consumption'!AA72*parameters!$B142</f>
        <v>4.2382677553314716</v>
      </c>
      <c r="M53" s="312">
        <f>'Baseline Consumption'!AB72*parameters!$B142</f>
        <v>4.2382677553314716</v>
      </c>
      <c r="N53" s="312">
        <f>'Baseline Consumption'!AC72*parameters!$B142</f>
        <v>4.2382677553314716</v>
      </c>
      <c r="O53" s="312">
        <f>'Baseline Consumption'!AD72*parameters!$B142</f>
        <v>4.2382677553314716</v>
      </c>
      <c r="P53" s="312">
        <f>'Baseline Consumption'!AE72*parameters!$B142</f>
        <v>4.2382677553314716</v>
      </c>
      <c r="Q53" s="312">
        <f>'Baseline Consumption'!AF72*parameters!$B142</f>
        <v>4.2382677553314716</v>
      </c>
      <c r="R53" s="312">
        <f>'Baseline Consumption'!AG72*parameters!$B142</f>
        <v>4.2382677553314716</v>
      </c>
      <c r="S53" s="312">
        <f>'Baseline Consumption'!AH72*parameters!$B142</f>
        <v>4.2382677553314716</v>
      </c>
      <c r="T53" s="312">
        <f>'Baseline Consumption'!AI72*parameters!$B142</f>
        <v>4.2382677553314716</v>
      </c>
      <c r="U53" s="312">
        <f>'Baseline Consumption'!AJ72*parameters!$B142</f>
        <v>4.2382677553314716</v>
      </c>
      <c r="V53" s="312">
        <f>'Baseline Consumption'!AK72*parameters!$B142</f>
        <v>4.2382677553314716</v>
      </c>
      <c r="W53" s="274">
        <f>'Baseline Consumption'!AL72*parameters!$B142</f>
        <v>4.2382677553314716</v>
      </c>
      <c r="X53" s="274">
        <f>'Baseline Consumption'!AM72*parameters!$B142</f>
        <v>4.2382677553314716</v>
      </c>
      <c r="Y53" s="274">
        <f>'Baseline Consumption'!AN72*parameters!$B142</f>
        <v>4.2382677553314716</v>
      </c>
      <c r="Z53" s="274">
        <f>'Baseline Consumption'!AO72*parameters!$B142</f>
        <v>4.2382677553314716</v>
      </c>
      <c r="AA53" s="274">
        <f>'Baseline Consumption'!AP72*parameters!$B142</f>
        <v>4.2382677553314716</v>
      </c>
      <c r="AB53" s="274">
        <f>'Baseline Consumption'!AQ72*parameters!$B142</f>
        <v>4.2382677553314716</v>
      </c>
      <c r="AC53" s="274">
        <f>'Baseline Consumption'!AR72*parameters!$B142</f>
        <v>4.2382677553314716</v>
      </c>
      <c r="AD53" s="274">
        <f>'Baseline Consumption'!AS72*parameters!$B142</f>
        <v>4.2382677553314716</v>
      </c>
      <c r="AE53" s="274">
        <f>'Baseline Consumption'!AT72*parameters!$B142</f>
        <v>4.2382677553314716</v>
      </c>
      <c r="AF53" s="274">
        <f>'Baseline Consumption'!AU72*parameters!$B142</f>
        <v>4.2382677553314716</v>
      </c>
    </row>
    <row r="54" spans="1:32" s="40" customFormat="1">
      <c r="A54" s="51" t="s">
        <v>393</v>
      </c>
      <c r="B54" s="312">
        <f>'Baseline Consumption'!Q73*parameters!$B143</f>
        <v>3.313762711527922</v>
      </c>
      <c r="C54" s="312">
        <f>'Baseline Consumption'!R73*parameters!$B143</f>
        <v>3.840076157266485</v>
      </c>
      <c r="D54" s="312">
        <f>'Baseline Consumption'!S73*parameters!$B143</f>
        <v>3.840076157266485</v>
      </c>
      <c r="E54" s="312">
        <f>'Baseline Consumption'!T73*parameters!$B143</f>
        <v>4.5734845239471218</v>
      </c>
      <c r="F54" s="312">
        <f>'Baseline Consumption'!U73*parameters!$B143</f>
        <v>4.8990787759427281</v>
      </c>
      <c r="G54" s="312">
        <f>'Baseline Consumption'!V73*parameters!$B143</f>
        <v>4.8990787759427281</v>
      </c>
      <c r="H54" s="312">
        <f>'Baseline Consumption'!W73*parameters!$B143</f>
        <v>5.4032950922800538</v>
      </c>
      <c r="I54" s="312">
        <f>'Baseline Consumption'!X73*parameters!$B143</f>
        <v>5.4032950922800538</v>
      </c>
      <c r="J54" s="312">
        <f>'Baseline Consumption'!Y73*parameters!$B143</f>
        <v>5.4032950922800538</v>
      </c>
      <c r="K54" s="312">
        <f>'Baseline Consumption'!Z73*parameters!$B143</f>
        <v>5.7169143490838943</v>
      </c>
      <c r="L54" s="312">
        <f>'Baseline Consumption'!AA73*parameters!$B143</f>
        <v>5.7169143490838943</v>
      </c>
      <c r="M54" s="312">
        <f>'Baseline Consumption'!AB73*parameters!$B143</f>
        <v>5.7169143490838943</v>
      </c>
      <c r="N54" s="312">
        <f>'Baseline Consumption'!AC73*parameters!$B143</f>
        <v>5.7169143490838943</v>
      </c>
      <c r="O54" s="312">
        <f>'Baseline Consumption'!AD73*parameters!$B143</f>
        <v>5.7169143490838943</v>
      </c>
      <c r="P54" s="312">
        <f>'Baseline Consumption'!AE73*parameters!$B143</f>
        <v>5.7169143490838943</v>
      </c>
      <c r="Q54" s="312">
        <f>'Baseline Consumption'!AF73*parameters!$B143</f>
        <v>5.7169143490838943</v>
      </c>
      <c r="R54" s="312">
        <f>'Baseline Consumption'!AG73*parameters!$B143</f>
        <v>5.7169143490838943</v>
      </c>
      <c r="S54" s="312">
        <f>'Baseline Consumption'!AH73*parameters!$B143</f>
        <v>5.7169143490838943</v>
      </c>
      <c r="T54" s="312">
        <f>'Baseline Consumption'!AI73*parameters!$B143</f>
        <v>5.7169143490838943</v>
      </c>
      <c r="U54" s="312">
        <f>'Baseline Consumption'!AJ73*parameters!$B143</f>
        <v>5.7169143490838943</v>
      </c>
      <c r="V54" s="312">
        <f>'Baseline Consumption'!AK73*parameters!$B143</f>
        <v>5.7169143490838943</v>
      </c>
      <c r="W54" s="274">
        <f>'Baseline Consumption'!AL73*parameters!$B143</f>
        <v>5.7169143490838943</v>
      </c>
      <c r="X54" s="274">
        <f>'Baseline Consumption'!AM73*parameters!$B143</f>
        <v>5.7169143490838943</v>
      </c>
      <c r="Y54" s="274">
        <f>'Baseline Consumption'!AN73*parameters!$B143</f>
        <v>5.7169143490838943</v>
      </c>
      <c r="Z54" s="274">
        <f>'Baseline Consumption'!AO73*parameters!$B143</f>
        <v>5.7169143490838943</v>
      </c>
      <c r="AA54" s="274">
        <f>'Baseline Consumption'!AP73*parameters!$B143</f>
        <v>5.7169143490838943</v>
      </c>
      <c r="AB54" s="274">
        <f>'Baseline Consumption'!AQ73*parameters!$B143</f>
        <v>5.7169143490838943</v>
      </c>
      <c r="AC54" s="274">
        <f>'Baseline Consumption'!AR73*parameters!$B143</f>
        <v>5.7169143490838943</v>
      </c>
      <c r="AD54" s="274">
        <f>'Baseline Consumption'!AS73*parameters!$B143</f>
        <v>5.7169143490838943</v>
      </c>
      <c r="AE54" s="274">
        <f>'Baseline Consumption'!AT73*parameters!$B143</f>
        <v>5.7169143490838943</v>
      </c>
      <c r="AF54" s="274">
        <f>'Baseline Consumption'!AU73*parameters!$B143</f>
        <v>5.7169143490838943</v>
      </c>
    </row>
    <row r="55" spans="1:32" s="40" customFormat="1">
      <c r="A55" s="51" t="s">
        <v>394</v>
      </c>
      <c r="B55" s="312">
        <f>'Baseline Consumption'!Q74*parameters!$B144</f>
        <v>0.46998849488361716</v>
      </c>
      <c r="C55" s="312">
        <f>'Baseline Consumption'!R74*parameters!$B144</f>
        <v>0.46998849488361716</v>
      </c>
      <c r="D55" s="312">
        <f>'Baseline Consumption'!S74*parameters!$B144</f>
        <v>0.46998849488361716</v>
      </c>
      <c r="E55" s="312">
        <f>'Baseline Consumption'!T74*parameters!$B144</f>
        <v>0.46998849488361716</v>
      </c>
      <c r="F55" s="312">
        <f>'Baseline Consumption'!U74*parameters!$B144</f>
        <v>0.46998849488361716</v>
      </c>
      <c r="G55" s="312">
        <f>'Baseline Consumption'!V74*parameters!$B144</f>
        <v>0.46998849488361716</v>
      </c>
      <c r="H55" s="312">
        <f>'Baseline Consumption'!W74*parameters!$B144</f>
        <v>0.46998849488361716</v>
      </c>
      <c r="I55" s="312">
        <f>'Baseline Consumption'!X74*parameters!$B144</f>
        <v>0.46998849488361716</v>
      </c>
      <c r="J55" s="312">
        <f>'Baseline Consumption'!Y74*parameters!$B144</f>
        <v>0.46998849488361716</v>
      </c>
      <c r="K55" s="312">
        <f>'Baseline Consumption'!Z74*parameters!$B144</f>
        <v>0.46998849488361716</v>
      </c>
      <c r="L55" s="312">
        <f>'Baseline Consumption'!AA74*parameters!$B144</f>
        <v>0.46998849488361716</v>
      </c>
      <c r="M55" s="312">
        <f>'Baseline Consumption'!AB74*parameters!$B144</f>
        <v>0.46998849488361716</v>
      </c>
      <c r="N55" s="312">
        <f>'Baseline Consumption'!AC74*parameters!$B144</f>
        <v>0.46998849488361716</v>
      </c>
      <c r="O55" s="312">
        <f>'Baseline Consumption'!AD74*parameters!$B144</f>
        <v>0.46998849488361716</v>
      </c>
      <c r="P55" s="312">
        <f>'Baseline Consumption'!AE74*parameters!$B144</f>
        <v>0.46998849488361716</v>
      </c>
      <c r="Q55" s="312">
        <f>'Baseline Consumption'!AF74*parameters!$B144</f>
        <v>0.46998849488361716</v>
      </c>
      <c r="R55" s="312">
        <f>'Baseline Consumption'!AG74*parameters!$B144</f>
        <v>0.46998849488361716</v>
      </c>
      <c r="S55" s="312">
        <f>'Baseline Consumption'!AH74*parameters!$B144</f>
        <v>0.46998849488361716</v>
      </c>
      <c r="T55" s="312">
        <f>'Baseline Consumption'!AI74*parameters!$B144</f>
        <v>0.46998849488361716</v>
      </c>
      <c r="U55" s="312">
        <f>'Baseline Consumption'!AJ74*parameters!$B144</f>
        <v>0.46998849488361716</v>
      </c>
      <c r="V55" s="312">
        <f>'Baseline Consumption'!AK74*parameters!$B144</f>
        <v>0.46998849488361716</v>
      </c>
      <c r="W55" s="274">
        <f>'Baseline Consumption'!AL74*parameters!$B144</f>
        <v>0.46998849488361716</v>
      </c>
      <c r="X55" s="274">
        <f>'Baseline Consumption'!AM74*parameters!$B144</f>
        <v>0.46998849488361716</v>
      </c>
      <c r="Y55" s="274">
        <f>'Baseline Consumption'!AN74*parameters!$B144</f>
        <v>0.46998849488361716</v>
      </c>
      <c r="Z55" s="274">
        <f>'Baseline Consumption'!AO74*parameters!$B144</f>
        <v>0.46998849488361716</v>
      </c>
      <c r="AA55" s="274">
        <f>'Baseline Consumption'!AP74*parameters!$B144</f>
        <v>0.46998849488361716</v>
      </c>
      <c r="AB55" s="274">
        <f>'Baseline Consumption'!AQ74*parameters!$B144</f>
        <v>0.46998849488361716</v>
      </c>
      <c r="AC55" s="274">
        <f>'Baseline Consumption'!AR74*parameters!$B144</f>
        <v>0.46998849488361716</v>
      </c>
      <c r="AD55" s="274">
        <f>'Baseline Consumption'!AS74*parameters!$B144</f>
        <v>0.46998849488361716</v>
      </c>
      <c r="AE55" s="274">
        <f>'Baseline Consumption'!AT74*parameters!$B144</f>
        <v>0.46998849488361716</v>
      </c>
      <c r="AF55" s="274">
        <f>'Baseline Consumption'!AU74*parameters!$B144</f>
        <v>0.46998849488361716</v>
      </c>
    </row>
    <row r="56" spans="1:32" s="40" customFormat="1">
      <c r="A56" s="51" t="s">
        <v>395</v>
      </c>
      <c r="B56" s="312">
        <f>'Baseline Consumption'!Q75*parameters!$B145</f>
        <v>7.3182272573979648E-2</v>
      </c>
      <c r="C56" s="312">
        <f>'Baseline Consumption'!R75*parameters!$B145</f>
        <v>7.3182272573979648E-2</v>
      </c>
      <c r="D56" s="312">
        <f>'Baseline Consumption'!S75*parameters!$B145</f>
        <v>7.3182272573979648E-2</v>
      </c>
      <c r="E56" s="312">
        <f>'Baseline Consumption'!T75*parameters!$B145</f>
        <v>7.3182272573979648E-2</v>
      </c>
      <c r="F56" s="312">
        <f>'Baseline Consumption'!U75*parameters!$B145</f>
        <v>7.3182272573979648E-2</v>
      </c>
      <c r="G56" s="312">
        <f>'Baseline Consumption'!V75*parameters!$B145</f>
        <v>7.3182272573979648E-2</v>
      </c>
      <c r="H56" s="312">
        <f>'Baseline Consumption'!W75*parameters!$B145</f>
        <v>7.3182272573979648E-2</v>
      </c>
      <c r="I56" s="312">
        <f>'Baseline Consumption'!X75*parameters!$B145</f>
        <v>7.3182272573979648E-2</v>
      </c>
      <c r="J56" s="312">
        <f>'Baseline Consumption'!Y75*parameters!$B145</f>
        <v>7.3182272573979648E-2</v>
      </c>
      <c r="K56" s="312">
        <f>'Baseline Consumption'!Z75*parameters!$B145</f>
        <v>7.3182272573979648E-2</v>
      </c>
      <c r="L56" s="312">
        <f>'Baseline Consumption'!AA75*parameters!$B145</f>
        <v>7.3182272573979648E-2</v>
      </c>
      <c r="M56" s="312">
        <f>'Baseline Consumption'!AB75*parameters!$B145</f>
        <v>7.3182272573979648E-2</v>
      </c>
      <c r="N56" s="312">
        <f>'Baseline Consumption'!AC75*parameters!$B145</f>
        <v>7.3182272573979648E-2</v>
      </c>
      <c r="O56" s="312">
        <f>'Baseline Consumption'!AD75*parameters!$B145</f>
        <v>7.3182272573979648E-2</v>
      </c>
      <c r="P56" s="312">
        <f>'Baseline Consumption'!AE75*parameters!$B145</f>
        <v>7.3182272573979648E-2</v>
      </c>
      <c r="Q56" s="312">
        <f>'Baseline Consumption'!AF75*parameters!$B145</f>
        <v>7.3182272573979648E-2</v>
      </c>
      <c r="R56" s="312">
        <f>'Baseline Consumption'!AG75*parameters!$B145</f>
        <v>7.3182272573979648E-2</v>
      </c>
      <c r="S56" s="312">
        <f>'Baseline Consumption'!AH75*parameters!$B145</f>
        <v>7.3182272573979648E-2</v>
      </c>
      <c r="T56" s="312">
        <f>'Baseline Consumption'!AI75*parameters!$B145</f>
        <v>7.3182272573979648E-2</v>
      </c>
      <c r="U56" s="312">
        <f>'Baseline Consumption'!AJ75*parameters!$B145</f>
        <v>7.3182272573979648E-2</v>
      </c>
      <c r="V56" s="312">
        <f>'Baseline Consumption'!AK75*parameters!$B145</f>
        <v>7.3182272573979648E-2</v>
      </c>
      <c r="W56" s="274">
        <f>'Baseline Consumption'!AL75*parameters!$B145</f>
        <v>7.3182272573979648E-2</v>
      </c>
      <c r="X56" s="274">
        <f>'Baseline Consumption'!AM75*parameters!$B145</f>
        <v>7.3182272573979648E-2</v>
      </c>
      <c r="Y56" s="274">
        <f>'Baseline Consumption'!AN75*parameters!$B145</f>
        <v>7.3182272573979648E-2</v>
      </c>
      <c r="Z56" s="274">
        <f>'Baseline Consumption'!AO75*parameters!$B145</f>
        <v>7.3182272573979648E-2</v>
      </c>
      <c r="AA56" s="274">
        <f>'Baseline Consumption'!AP75*parameters!$B145</f>
        <v>7.3182272573979648E-2</v>
      </c>
      <c r="AB56" s="274">
        <f>'Baseline Consumption'!AQ75*parameters!$B145</f>
        <v>7.3182272573979648E-2</v>
      </c>
      <c r="AC56" s="274">
        <f>'Baseline Consumption'!AR75*parameters!$B145</f>
        <v>7.3182272573979648E-2</v>
      </c>
      <c r="AD56" s="274">
        <f>'Baseline Consumption'!AS75*parameters!$B145</f>
        <v>7.3182272573979648E-2</v>
      </c>
      <c r="AE56" s="274">
        <f>'Baseline Consumption'!AT75*parameters!$B145</f>
        <v>7.3182272573979648E-2</v>
      </c>
      <c r="AF56" s="274">
        <f>'Baseline Consumption'!AU75*parameters!$B145</f>
        <v>7.3182272573979648E-2</v>
      </c>
    </row>
    <row r="57" spans="1:32" s="40" customFormat="1">
      <c r="A57" s="51" t="s">
        <v>396</v>
      </c>
      <c r="B57" s="312">
        <f>'Baseline Consumption'!Q76*parameters!$B146</f>
        <v>3.8406321295787733</v>
      </c>
      <c r="C57" s="312">
        <f>'Baseline Consumption'!R76*parameters!$B146</f>
        <v>3.8478575019578383</v>
      </c>
      <c r="D57" s="312">
        <f>'Baseline Consumption'!S76*parameters!$B146</f>
        <v>3.8478575019578383</v>
      </c>
      <c r="E57" s="312">
        <f>'Baseline Consumption'!T76*parameters!$B146</f>
        <v>3.8579259290483785</v>
      </c>
      <c r="F57" s="312">
        <f>'Baseline Consumption'!U76*parameters!$B146</f>
        <v>3.8621308025984864</v>
      </c>
      <c r="G57" s="312">
        <f>'Baseline Consumption'!V76*parameters!$B146</f>
        <v>3.8621308025984864</v>
      </c>
      <c r="H57" s="312">
        <f>'Baseline Consumption'!W76*parameters!$B146</f>
        <v>3.8657434887880195</v>
      </c>
      <c r="I57" s="312">
        <f>'Baseline Consumption'!X76*parameters!$B146</f>
        <v>3.8657434887880195</v>
      </c>
      <c r="J57" s="312">
        <f>'Baseline Consumption'!Y76*parameters!$B146</f>
        <v>3.8657434887880195</v>
      </c>
      <c r="K57" s="312">
        <f>'Baseline Consumption'!Z76*parameters!$B146</f>
        <v>3.8679905560111845</v>
      </c>
      <c r="L57" s="312">
        <f>'Baseline Consumption'!AA76*parameters!$B146</f>
        <v>3.8679905560111845</v>
      </c>
      <c r="M57" s="312">
        <f>'Baseline Consumption'!AB76*parameters!$B146</f>
        <v>3.8679905560111845</v>
      </c>
      <c r="N57" s="312">
        <f>'Baseline Consumption'!AC76*parameters!$B146</f>
        <v>3.8679905560111845</v>
      </c>
      <c r="O57" s="312">
        <f>'Baseline Consumption'!AD76*parameters!$B146</f>
        <v>3.8679905560111845</v>
      </c>
      <c r="P57" s="312">
        <f>'Baseline Consumption'!AE76*parameters!$B146</f>
        <v>3.8679905560111845</v>
      </c>
      <c r="Q57" s="312">
        <f>'Baseline Consumption'!AF76*parameters!$B146</f>
        <v>3.8679905560111845</v>
      </c>
      <c r="R57" s="312">
        <f>'Baseline Consumption'!AG76*parameters!$B146</f>
        <v>3.8679905560111845</v>
      </c>
      <c r="S57" s="312">
        <f>'Baseline Consumption'!AH76*parameters!$B146</f>
        <v>3.8679905560111845</v>
      </c>
      <c r="T57" s="312">
        <f>'Baseline Consumption'!AI76*parameters!$B146</f>
        <v>3.8679905560111845</v>
      </c>
      <c r="U57" s="312">
        <f>'Baseline Consumption'!AJ76*parameters!$B146</f>
        <v>3.8679905560111845</v>
      </c>
      <c r="V57" s="312">
        <f>'Baseline Consumption'!AK76*parameters!$B146</f>
        <v>3.8679905560111845</v>
      </c>
      <c r="W57" s="274">
        <f>'Baseline Consumption'!AL76*parameters!$B146</f>
        <v>3.8679905560111845</v>
      </c>
      <c r="X57" s="274">
        <f>'Baseline Consumption'!AM76*parameters!$B146</f>
        <v>3.8679905560111845</v>
      </c>
      <c r="Y57" s="274">
        <f>'Baseline Consumption'!AN76*parameters!$B146</f>
        <v>3.8679905560111845</v>
      </c>
      <c r="Z57" s="274">
        <f>'Baseline Consumption'!AO76*parameters!$B146</f>
        <v>3.8679905560111845</v>
      </c>
      <c r="AA57" s="274">
        <f>'Baseline Consumption'!AP76*parameters!$B146</f>
        <v>3.8679905560111845</v>
      </c>
      <c r="AB57" s="274">
        <f>'Baseline Consumption'!AQ76*parameters!$B146</f>
        <v>3.8679905560111845</v>
      </c>
      <c r="AC57" s="274">
        <f>'Baseline Consumption'!AR76*parameters!$B146</f>
        <v>3.8679905560111845</v>
      </c>
      <c r="AD57" s="274">
        <f>'Baseline Consumption'!AS76*parameters!$B146</f>
        <v>3.8679905560111845</v>
      </c>
      <c r="AE57" s="274">
        <f>'Baseline Consumption'!AT76*parameters!$B146</f>
        <v>3.8679905560111845</v>
      </c>
      <c r="AF57" s="274">
        <f>'Baseline Consumption'!AU76*parameters!$B146</f>
        <v>3.8679905560111845</v>
      </c>
    </row>
    <row r="58" spans="1:32" s="40" customFormat="1">
      <c r="A58" s="51" t="s">
        <v>243</v>
      </c>
      <c r="B58" s="312">
        <f>'Baseline Consumption'!Q77*parameters!$B147</f>
        <v>48.096920301091941</v>
      </c>
      <c r="C58" s="312">
        <f>'Baseline Consumption'!R77*parameters!$B147</f>
        <v>48.452495230379128</v>
      </c>
      <c r="D58" s="312">
        <f>'Baseline Consumption'!S77*parameters!$B147</f>
        <v>48.452495230379128</v>
      </c>
      <c r="E58" s="312">
        <f>'Baseline Consumption'!T77*parameters!$B147</f>
        <v>48.947982530262102</v>
      </c>
      <c r="F58" s="312">
        <f>'Baseline Consumption'!U77*parameters!$B147</f>
        <v>49.169147814779635</v>
      </c>
      <c r="G58" s="312">
        <f>'Baseline Consumption'!V77*parameters!$B147</f>
        <v>49.169147814779635</v>
      </c>
      <c r="H58" s="312">
        <f>'Baseline Consumption'!W77*parameters!$B147</f>
        <v>49.524722744066835</v>
      </c>
      <c r="I58" s="312">
        <f>'Baseline Consumption'!X77*parameters!$B147</f>
        <v>49.524722744066835</v>
      </c>
      <c r="J58" s="312">
        <f>'Baseline Consumption'!Y77*parameters!$B147</f>
        <v>49.524722744066835</v>
      </c>
      <c r="K58" s="312">
        <f>'Baseline Consumption'!Z77*parameters!$B147</f>
        <v>49.745888028584375</v>
      </c>
      <c r="L58" s="312">
        <f>'Baseline Consumption'!AA77*parameters!$B147</f>
        <v>49.745888028584375</v>
      </c>
      <c r="M58" s="312">
        <f>'Baseline Consumption'!AB77*parameters!$B147</f>
        <v>49.745888028584375</v>
      </c>
      <c r="N58" s="312">
        <f>'Baseline Consumption'!AC77*parameters!$B147</f>
        <v>49.745888028584375</v>
      </c>
      <c r="O58" s="312">
        <f>'Baseline Consumption'!AD77*parameters!$B147</f>
        <v>49.745888028584375</v>
      </c>
      <c r="P58" s="312">
        <f>'Baseline Consumption'!AE77*parameters!$B147</f>
        <v>49.745888028584375</v>
      </c>
      <c r="Q58" s="312">
        <f>'Baseline Consumption'!AF77*parameters!$B147</f>
        <v>49.745888028584375</v>
      </c>
      <c r="R58" s="312">
        <f>'Baseline Consumption'!AG77*parameters!$B147</f>
        <v>49.745888028584375</v>
      </c>
      <c r="S58" s="312">
        <f>'Baseline Consumption'!AH77*parameters!$B147</f>
        <v>49.745888028584375</v>
      </c>
      <c r="T58" s="312">
        <f>'Baseline Consumption'!AI77*parameters!$B147</f>
        <v>49.745888028584375</v>
      </c>
      <c r="U58" s="312">
        <f>'Baseline Consumption'!AJ77*parameters!$B147</f>
        <v>49.745888028584375</v>
      </c>
      <c r="V58" s="312">
        <f>'Baseline Consumption'!AK77*parameters!$B147</f>
        <v>49.745888028584375</v>
      </c>
      <c r="W58" s="274">
        <f>'Baseline Consumption'!AL77*parameters!$B147</f>
        <v>49.745888028584375</v>
      </c>
      <c r="X58" s="274">
        <f>'Baseline Consumption'!AM77*parameters!$B147</f>
        <v>49.745888028584375</v>
      </c>
      <c r="Y58" s="274">
        <f>'Baseline Consumption'!AN77*parameters!$B147</f>
        <v>49.745888028584375</v>
      </c>
      <c r="Z58" s="274">
        <f>'Baseline Consumption'!AO77*parameters!$B147</f>
        <v>49.745888028584375</v>
      </c>
      <c r="AA58" s="274">
        <f>'Baseline Consumption'!AP77*parameters!$B147</f>
        <v>49.745888028584375</v>
      </c>
      <c r="AB58" s="274">
        <f>'Baseline Consumption'!AQ77*parameters!$B147</f>
        <v>49.745888028584375</v>
      </c>
      <c r="AC58" s="274">
        <f>'Baseline Consumption'!AR77*parameters!$B147</f>
        <v>49.745888028584375</v>
      </c>
      <c r="AD58" s="274">
        <f>'Baseline Consumption'!AS77*parameters!$B147</f>
        <v>49.745888028584375</v>
      </c>
      <c r="AE58" s="274">
        <f>'Baseline Consumption'!AT77*parameters!$B147</f>
        <v>49.745888028584375</v>
      </c>
      <c r="AF58" s="274">
        <f>'Baseline Consumption'!AU77*parameters!$B147</f>
        <v>49.745888028584375</v>
      </c>
    </row>
    <row r="59" spans="1:32" s="40" customFormat="1">
      <c r="A59" s="51" t="s">
        <v>397</v>
      </c>
      <c r="B59" s="312">
        <f>'Baseline Consumption'!Q78*parameters!$B148</f>
        <v>0.73584000000000005</v>
      </c>
      <c r="C59" s="312">
        <f>'Baseline Consumption'!R78*parameters!$B148</f>
        <v>0.73584000000000005</v>
      </c>
      <c r="D59" s="312">
        <f>'Baseline Consumption'!S78*parameters!$B148</f>
        <v>0.73584000000000005</v>
      </c>
      <c r="E59" s="312">
        <f>'Baseline Consumption'!T78*parameters!$B148</f>
        <v>0.73584000000000005</v>
      </c>
      <c r="F59" s="312">
        <f>'Baseline Consumption'!U78*parameters!$B148</f>
        <v>0.73584000000000005</v>
      </c>
      <c r="G59" s="312">
        <f>'Baseline Consumption'!V78*parameters!$B148</f>
        <v>0.73584000000000005</v>
      </c>
      <c r="H59" s="312">
        <f>'Baseline Consumption'!W78*parameters!$B148</f>
        <v>0.73584000000000005</v>
      </c>
      <c r="I59" s="312">
        <f>'Baseline Consumption'!X78*parameters!$B148</f>
        <v>0.73584000000000005</v>
      </c>
      <c r="J59" s="312">
        <f>'Baseline Consumption'!Y78*parameters!$B148</f>
        <v>0.73584000000000005</v>
      </c>
      <c r="K59" s="312">
        <f>'Baseline Consumption'!Z78*parameters!$B148</f>
        <v>0.73584000000000005</v>
      </c>
      <c r="L59" s="312">
        <f>'Baseline Consumption'!AA78*parameters!$B148</f>
        <v>0.73584000000000005</v>
      </c>
      <c r="M59" s="312">
        <f>'Baseline Consumption'!AB78*parameters!$B148</f>
        <v>0.73584000000000005</v>
      </c>
      <c r="N59" s="312">
        <f>'Baseline Consumption'!AC78*parameters!$B148</f>
        <v>0.73584000000000005</v>
      </c>
      <c r="O59" s="312">
        <f>'Baseline Consumption'!AD78*parameters!$B148</f>
        <v>0.73584000000000005</v>
      </c>
      <c r="P59" s="312">
        <f>'Baseline Consumption'!AE78*parameters!$B148</f>
        <v>0.73584000000000005</v>
      </c>
      <c r="Q59" s="312">
        <f>'Baseline Consumption'!AF78*parameters!$B148</f>
        <v>0.73584000000000005</v>
      </c>
      <c r="R59" s="312">
        <f>'Baseline Consumption'!AG78*parameters!$B148</f>
        <v>0.73584000000000005</v>
      </c>
      <c r="S59" s="312">
        <f>'Baseline Consumption'!AH78*parameters!$B148</f>
        <v>0.73584000000000005</v>
      </c>
      <c r="T59" s="312">
        <f>'Baseline Consumption'!AI78*parameters!$B148</f>
        <v>0.73584000000000005</v>
      </c>
      <c r="U59" s="312">
        <f>'Baseline Consumption'!AJ78*parameters!$B148</f>
        <v>0.73584000000000005</v>
      </c>
      <c r="V59" s="312">
        <f>'Baseline Consumption'!AK78*parameters!$B148</f>
        <v>0.73584000000000005</v>
      </c>
      <c r="W59" s="274">
        <f>'Baseline Consumption'!AL78*parameters!$B148</f>
        <v>0.73584000000000005</v>
      </c>
      <c r="X59" s="274">
        <f>'Baseline Consumption'!AM78*parameters!$B148</f>
        <v>0.73584000000000005</v>
      </c>
      <c r="Y59" s="274">
        <f>'Baseline Consumption'!AN78*parameters!$B148</f>
        <v>0.73584000000000005</v>
      </c>
      <c r="Z59" s="274">
        <f>'Baseline Consumption'!AO78*parameters!$B148</f>
        <v>0.73584000000000005</v>
      </c>
      <c r="AA59" s="274">
        <f>'Baseline Consumption'!AP78*parameters!$B148</f>
        <v>0.73584000000000005</v>
      </c>
      <c r="AB59" s="274">
        <f>'Baseline Consumption'!AQ78*parameters!$B148</f>
        <v>0.73584000000000005</v>
      </c>
      <c r="AC59" s="274">
        <f>'Baseline Consumption'!AR78*parameters!$B148</f>
        <v>0.73584000000000005</v>
      </c>
      <c r="AD59" s="274">
        <f>'Baseline Consumption'!AS78*parameters!$B148</f>
        <v>0.73584000000000005</v>
      </c>
      <c r="AE59" s="274">
        <f>'Baseline Consumption'!AT78*parameters!$B148</f>
        <v>0.73584000000000005</v>
      </c>
      <c r="AF59" s="274">
        <f>'Baseline Consumption'!AU78*parameters!$B148</f>
        <v>0.73584000000000005</v>
      </c>
    </row>
    <row r="60" spans="1:32" s="40" customFormat="1">
      <c r="A60" s="51" t="s">
        <v>398</v>
      </c>
      <c r="B60" s="312">
        <f>'Baseline Consumption'!Q79*parameters!$B149</f>
        <v>5.2985398621639155E-3</v>
      </c>
      <c r="C60" s="312">
        <f>'Baseline Consumption'!R79*parameters!$B149</f>
        <v>5.2985398621639155E-3</v>
      </c>
      <c r="D60" s="312">
        <f>'Baseline Consumption'!S79*parameters!$B149</f>
        <v>5.2985398621639155E-3</v>
      </c>
      <c r="E60" s="312">
        <f>'Baseline Consumption'!T79*parameters!$B149</f>
        <v>5.2985398621639155E-3</v>
      </c>
      <c r="F60" s="312">
        <f>'Baseline Consumption'!U79*parameters!$B149</f>
        <v>5.2985398621639155E-3</v>
      </c>
      <c r="G60" s="312">
        <f>'Baseline Consumption'!V79*parameters!$B149</f>
        <v>5.2985398621639155E-3</v>
      </c>
      <c r="H60" s="312">
        <f>'Baseline Consumption'!W79*parameters!$B149</f>
        <v>5.2985398621639155E-3</v>
      </c>
      <c r="I60" s="312">
        <f>'Baseline Consumption'!X79*parameters!$B149</f>
        <v>5.2985398621639155E-3</v>
      </c>
      <c r="J60" s="312">
        <f>'Baseline Consumption'!Y79*parameters!$B149</f>
        <v>5.2985398621639155E-3</v>
      </c>
      <c r="K60" s="312">
        <f>'Baseline Consumption'!Z79*parameters!$B149</f>
        <v>5.2985398621639155E-3</v>
      </c>
      <c r="L60" s="312">
        <f>'Baseline Consumption'!AA79*parameters!$B149</f>
        <v>5.2985398621639155E-3</v>
      </c>
      <c r="M60" s="312">
        <f>'Baseline Consumption'!AB79*parameters!$B149</f>
        <v>5.2985398621639155E-3</v>
      </c>
      <c r="N60" s="312">
        <f>'Baseline Consumption'!AC79*parameters!$B149</f>
        <v>5.2985398621639155E-3</v>
      </c>
      <c r="O60" s="312">
        <f>'Baseline Consumption'!AD79*parameters!$B149</f>
        <v>5.2985398621639155E-3</v>
      </c>
      <c r="P60" s="312">
        <f>'Baseline Consumption'!AE79*parameters!$B149</f>
        <v>5.2985398621639155E-3</v>
      </c>
      <c r="Q60" s="312">
        <f>'Baseline Consumption'!AF79*parameters!$B149</f>
        <v>5.2985398621639155E-3</v>
      </c>
      <c r="R60" s="312">
        <f>'Baseline Consumption'!AG79*parameters!$B149</f>
        <v>5.2985398621639155E-3</v>
      </c>
      <c r="S60" s="312">
        <f>'Baseline Consumption'!AH79*parameters!$B149</f>
        <v>5.2985398621639155E-3</v>
      </c>
      <c r="T60" s="312">
        <f>'Baseline Consumption'!AI79*parameters!$B149</f>
        <v>5.2985398621639155E-3</v>
      </c>
      <c r="U60" s="312">
        <f>'Baseline Consumption'!AJ79*parameters!$B149</f>
        <v>5.2985398621639155E-3</v>
      </c>
      <c r="V60" s="312">
        <f>'Baseline Consumption'!AK79*parameters!$B149</f>
        <v>5.2985398621639155E-3</v>
      </c>
      <c r="W60" s="274">
        <f>'Baseline Consumption'!AL79*parameters!$B149</f>
        <v>5.2985398621639155E-3</v>
      </c>
      <c r="X60" s="274">
        <f>'Baseline Consumption'!AM79*parameters!$B149</f>
        <v>5.2985398621639155E-3</v>
      </c>
      <c r="Y60" s="274">
        <f>'Baseline Consumption'!AN79*parameters!$B149</f>
        <v>5.2985398621639155E-3</v>
      </c>
      <c r="Z60" s="274">
        <f>'Baseline Consumption'!AO79*parameters!$B149</f>
        <v>5.2985398621639155E-3</v>
      </c>
      <c r="AA60" s="274">
        <f>'Baseline Consumption'!AP79*parameters!$B149</f>
        <v>5.2985398621639155E-3</v>
      </c>
      <c r="AB60" s="274">
        <f>'Baseline Consumption'!AQ79*parameters!$B149</f>
        <v>5.2985398621639155E-3</v>
      </c>
      <c r="AC60" s="274">
        <f>'Baseline Consumption'!AR79*parameters!$B149</f>
        <v>5.2985398621639155E-3</v>
      </c>
      <c r="AD60" s="274">
        <f>'Baseline Consumption'!AS79*parameters!$B149</f>
        <v>5.2985398621639155E-3</v>
      </c>
      <c r="AE60" s="274">
        <f>'Baseline Consumption'!AT79*parameters!$B149</f>
        <v>5.2985398621639155E-3</v>
      </c>
      <c r="AF60" s="274">
        <f>'Baseline Consumption'!AU79*parameters!$B149</f>
        <v>5.2985398621639155E-3</v>
      </c>
    </row>
    <row r="61" spans="1:32" s="40" customFormat="1">
      <c r="A61" s="51" t="s">
        <v>399</v>
      </c>
      <c r="B61" s="312">
        <f>'Baseline Consumption'!Q80*parameters!$B150</f>
        <v>4.8959999999999999</v>
      </c>
      <c r="C61" s="312">
        <f>'Baseline Consumption'!R80*parameters!$B150</f>
        <v>4.8959999999999999</v>
      </c>
      <c r="D61" s="312">
        <f>'Baseline Consumption'!S80*parameters!$B150</f>
        <v>4.8959999999999999</v>
      </c>
      <c r="E61" s="312">
        <f>'Baseline Consumption'!T80*parameters!$B150</f>
        <v>4.895999999999999</v>
      </c>
      <c r="F61" s="312">
        <f>'Baseline Consumption'!U80*parameters!$B150</f>
        <v>4.895999999999999</v>
      </c>
      <c r="G61" s="312">
        <f>'Baseline Consumption'!V80*parameters!$B150</f>
        <v>4.895999999999999</v>
      </c>
      <c r="H61" s="312">
        <f>'Baseline Consumption'!W80*parameters!$B150</f>
        <v>4.8959999999999999</v>
      </c>
      <c r="I61" s="312">
        <f>'Baseline Consumption'!X80*parameters!$B150</f>
        <v>4.8959999999999999</v>
      </c>
      <c r="J61" s="312">
        <f>'Baseline Consumption'!Y80*parameters!$B150</f>
        <v>4.8959999999999999</v>
      </c>
      <c r="K61" s="312">
        <f>'Baseline Consumption'!Z80*parameters!$B150</f>
        <v>4.8959999999999999</v>
      </c>
      <c r="L61" s="312">
        <f>'Baseline Consumption'!AA80*parameters!$B150</f>
        <v>4.8959999999999999</v>
      </c>
      <c r="M61" s="312">
        <f>'Baseline Consumption'!AB80*parameters!$B150</f>
        <v>4.8959999999999999</v>
      </c>
      <c r="N61" s="312">
        <f>'Baseline Consumption'!AC80*parameters!$B150</f>
        <v>4.8959999999999999</v>
      </c>
      <c r="O61" s="312">
        <f>'Baseline Consumption'!AD80*parameters!$B150</f>
        <v>4.8959999999999999</v>
      </c>
      <c r="P61" s="312">
        <f>'Baseline Consumption'!AE80*parameters!$B150</f>
        <v>4.8959999999999999</v>
      </c>
      <c r="Q61" s="312">
        <f>'Baseline Consumption'!AF80*parameters!$B150</f>
        <v>4.8959999999999999</v>
      </c>
      <c r="R61" s="312">
        <f>'Baseline Consumption'!AG80*parameters!$B150</f>
        <v>4.8959999999999999</v>
      </c>
      <c r="S61" s="312">
        <f>'Baseline Consumption'!AH80*parameters!$B150</f>
        <v>4.8959999999999999</v>
      </c>
      <c r="T61" s="312">
        <f>'Baseline Consumption'!AI80*parameters!$B150</f>
        <v>4.8959999999999999</v>
      </c>
      <c r="U61" s="312">
        <f>'Baseline Consumption'!AJ80*parameters!$B150</f>
        <v>4.8959999999999999</v>
      </c>
      <c r="V61" s="312">
        <f>'Baseline Consumption'!AK80*parameters!$B150</f>
        <v>4.8959999999999999</v>
      </c>
      <c r="W61" s="274">
        <f>'Baseline Consumption'!AL80*parameters!$B150</f>
        <v>4.8959999999999999</v>
      </c>
      <c r="X61" s="274">
        <f>'Baseline Consumption'!AM80*parameters!$B150</f>
        <v>4.8959999999999999</v>
      </c>
      <c r="Y61" s="274">
        <f>'Baseline Consumption'!AN80*parameters!$B150</f>
        <v>4.8959999999999999</v>
      </c>
      <c r="Z61" s="274">
        <f>'Baseline Consumption'!AO80*parameters!$B150</f>
        <v>4.8959999999999999</v>
      </c>
      <c r="AA61" s="274">
        <f>'Baseline Consumption'!AP80*parameters!$B150</f>
        <v>4.8959999999999999</v>
      </c>
      <c r="AB61" s="274">
        <f>'Baseline Consumption'!AQ80*parameters!$B150</f>
        <v>4.8959999999999999</v>
      </c>
      <c r="AC61" s="274">
        <f>'Baseline Consumption'!AR80*parameters!$B150</f>
        <v>4.8959999999999999</v>
      </c>
      <c r="AD61" s="274">
        <f>'Baseline Consumption'!AS80*parameters!$B150</f>
        <v>4.8959999999999999</v>
      </c>
      <c r="AE61" s="274">
        <f>'Baseline Consumption'!AT80*parameters!$B150</f>
        <v>4.8959999999999999</v>
      </c>
      <c r="AF61" s="274">
        <f>'Baseline Consumption'!AU80*parameters!$B150</f>
        <v>4.8959999999999999</v>
      </c>
    </row>
    <row r="62" spans="1:32" s="40" customFormat="1">
      <c r="A62" s="51" t="s">
        <v>249</v>
      </c>
      <c r="B62" s="312">
        <f>'Baseline Consumption'!Q81*parameters!$B151</f>
        <v>0.14183999999999999</v>
      </c>
      <c r="C62" s="312">
        <f>'Baseline Consumption'!R81*parameters!$B151</f>
        <v>0.14183999999999999</v>
      </c>
      <c r="D62" s="312">
        <f>'Baseline Consumption'!S81*parameters!$B151</f>
        <v>0.14183999999999999</v>
      </c>
      <c r="E62" s="312">
        <f>'Baseline Consumption'!T81*parameters!$B151</f>
        <v>0.14183999999999999</v>
      </c>
      <c r="F62" s="312">
        <f>'Baseline Consumption'!U81*parameters!$B151</f>
        <v>0.14563474338884788</v>
      </c>
      <c r="G62" s="312">
        <f>'Baseline Consumption'!V81*parameters!$B151</f>
        <v>0.14563474338884788</v>
      </c>
      <c r="H62" s="312">
        <f>'Baseline Consumption'!W81*parameters!$B151</f>
        <v>0.19302869539803419</v>
      </c>
      <c r="I62" s="312">
        <f>'Baseline Consumption'!X81*parameters!$B151</f>
        <v>0.19302869539803419</v>
      </c>
      <c r="J62" s="312">
        <f>'Baseline Consumption'!Y81*parameters!$B151</f>
        <v>0.19302869539803419</v>
      </c>
      <c r="K62" s="312">
        <f>'Baseline Consumption'!Z81*parameters!$B151</f>
        <v>0.22250742411924837</v>
      </c>
      <c r="L62" s="312">
        <f>'Baseline Consumption'!AA81*parameters!$B151</f>
        <v>0.22250742411924837</v>
      </c>
      <c r="M62" s="312">
        <f>'Baseline Consumption'!AB81*parameters!$B151</f>
        <v>0.22250742411924837</v>
      </c>
      <c r="N62" s="312">
        <f>'Baseline Consumption'!AC81*parameters!$B151</f>
        <v>0.22250742411924837</v>
      </c>
      <c r="O62" s="312">
        <f>'Baseline Consumption'!AD81*parameters!$B151</f>
        <v>0.22250742411924837</v>
      </c>
      <c r="P62" s="312">
        <f>'Baseline Consumption'!AE81*parameters!$B151</f>
        <v>0.22250742411924837</v>
      </c>
      <c r="Q62" s="312">
        <f>'Baseline Consumption'!AF81*parameters!$B151</f>
        <v>0.22250742411924837</v>
      </c>
      <c r="R62" s="312">
        <f>'Baseline Consumption'!AG81*parameters!$B151</f>
        <v>0.22250742411924837</v>
      </c>
      <c r="S62" s="312">
        <f>'Baseline Consumption'!AH81*parameters!$B151</f>
        <v>0.22250742411924837</v>
      </c>
      <c r="T62" s="312">
        <f>'Baseline Consumption'!AI81*parameters!$B151</f>
        <v>0.22250742411924837</v>
      </c>
      <c r="U62" s="312">
        <f>'Baseline Consumption'!AJ81*parameters!$B151</f>
        <v>0.22250742411924837</v>
      </c>
      <c r="V62" s="312">
        <f>'Baseline Consumption'!AK81*parameters!$B151</f>
        <v>0.22250742411924837</v>
      </c>
      <c r="W62" s="274">
        <f>'Baseline Consumption'!AL81*parameters!$B151</f>
        <v>0.22250742411924837</v>
      </c>
      <c r="X62" s="274">
        <f>'Baseline Consumption'!AM81*parameters!$B151</f>
        <v>0.22250742411924837</v>
      </c>
      <c r="Y62" s="274">
        <f>'Baseline Consumption'!AN81*parameters!$B151</f>
        <v>0.22250742411924837</v>
      </c>
      <c r="Z62" s="274">
        <f>'Baseline Consumption'!AO81*parameters!$B151</f>
        <v>0.22250742411924837</v>
      </c>
      <c r="AA62" s="274">
        <f>'Baseline Consumption'!AP81*parameters!$B151</f>
        <v>0.22250742411924837</v>
      </c>
      <c r="AB62" s="274">
        <f>'Baseline Consumption'!AQ81*parameters!$B151</f>
        <v>0.22250742411924837</v>
      </c>
      <c r="AC62" s="274">
        <f>'Baseline Consumption'!AR81*parameters!$B151</f>
        <v>0.22250742411924837</v>
      </c>
      <c r="AD62" s="274">
        <f>'Baseline Consumption'!AS81*parameters!$B151</f>
        <v>0.22250742411924837</v>
      </c>
      <c r="AE62" s="274">
        <f>'Baseline Consumption'!AT81*parameters!$B151</f>
        <v>0.22250742411924837</v>
      </c>
      <c r="AF62" s="274">
        <f>'Baseline Consumption'!AU81*parameters!$B151</f>
        <v>0.22250742411924837</v>
      </c>
    </row>
    <row r="63" spans="1:32" s="40" customFormat="1">
      <c r="A63" s="51" t="s">
        <v>354</v>
      </c>
      <c r="B63" s="312">
        <f>'Baseline Consumption'!Q82*parameters!$B152</f>
        <v>5.9787330794253135E-2</v>
      </c>
      <c r="C63" s="312">
        <f>'Baseline Consumption'!R82*parameters!$B152</f>
        <v>5.9787330794253135E-2</v>
      </c>
      <c r="D63" s="312">
        <f>'Baseline Consumption'!S82*parameters!$B152</f>
        <v>5.9787330794253135E-2</v>
      </c>
      <c r="E63" s="312">
        <f>'Baseline Consumption'!T82*parameters!$B152</f>
        <v>5.9787330794253135E-2</v>
      </c>
      <c r="F63" s="312">
        <f>'Baseline Consumption'!U82*parameters!$B152</f>
        <v>5.9787330794253135E-2</v>
      </c>
      <c r="G63" s="312">
        <f>'Baseline Consumption'!V82*parameters!$B152</f>
        <v>5.9787330794253135E-2</v>
      </c>
      <c r="H63" s="312">
        <f>'Baseline Consumption'!W82*parameters!$B152</f>
        <v>5.9787330794253135E-2</v>
      </c>
      <c r="I63" s="312">
        <f>'Baseline Consumption'!X82*parameters!$B152</f>
        <v>5.9787330794253135E-2</v>
      </c>
      <c r="J63" s="312">
        <f>'Baseline Consumption'!Y82*parameters!$B152</f>
        <v>5.9787330794253135E-2</v>
      </c>
      <c r="K63" s="312">
        <f>'Baseline Consumption'!Z82*parameters!$B152</f>
        <v>5.9787330794253135E-2</v>
      </c>
      <c r="L63" s="312">
        <f>'Baseline Consumption'!AA82*parameters!$B152</f>
        <v>5.9787330794253135E-2</v>
      </c>
      <c r="M63" s="312">
        <f>'Baseline Consumption'!AB82*parameters!$B152</f>
        <v>5.9787330794253135E-2</v>
      </c>
      <c r="N63" s="312">
        <f>'Baseline Consumption'!AC82*parameters!$B152</f>
        <v>5.9787330794253135E-2</v>
      </c>
      <c r="O63" s="312">
        <f>'Baseline Consumption'!AD82*parameters!$B152</f>
        <v>5.9787330794253135E-2</v>
      </c>
      <c r="P63" s="312">
        <f>'Baseline Consumption'!AE82*parameters!$B152</f>
        <v>5.9787330794253135E-2</v>
      </c>
      <c r="Q63" s="312">
        <f>'Baseline Consumption'!AF82*parameters!$B152</f>
        <v>5.9787330794253135E-2</v>
      </c>
      <c r="R63" s="312">
        <f>'Baseline Consumption'!AG82*parameters!$B152</f>
        <v>5.9787330794253135E-2</v>
      </c>
      <c r="S63" s="312">
        <f>'Baseline Consumption'!AH82*parameters!$B152</f>
        <v>5.9787330794253135E-2</v>
      </c>
      <c r="T63" s="312">
        <f>'Baseline Consumption'!AI82*parameters!$B152</f>
        <v>5.9787330794253135E-2</v>
      </c>
      <c r="U63" s="312">
        <f>'Baseline Consumption'!AJ82*parameters!$B152</f>
        <v>5.9787330794253135E-2</v>
      </c>
      <c r="V63" s="312">
        <f>'Baseline Consumption'!AK82*parameters!$B152</f>
        <v>5.9787330794253135E-2</v>
      </c>
      <c r="W63" s="274">
        <f>'Baseline Consumption'!AL82*parameters!$B152</f>
        <v>5.9787330794253135E-2</v>
      </c>
      <c r="X63" s="274">
        <f>'Baseline Consumption'!AM82*parameters!$B152</f>
        <v>5.9787330794253135E-2</v>
      </c>
      <c r="Y63" s="274">
        <f>'Baseline Consumption'!AN82*parameters!$B152</f>
        <v>5.9787330794253135E-2</v>
      </c>
      <c r="Z63" s="274">
        <f>'Baseline Consumption'!AO82*parameters!$B152</f>
        <v>5.9787330794253135E-2</v>
      </c>
      <c r="AA63" s="274">
        <f>'Baseline Consumption'!AP82*parameters!$B152</f>
        <v>5.9787330794253135E-2</v>
      </c>
      <c r="AB63" s="274">
        <f>'Baseline Consumption'!AQ82*parameters!$B152</f>
        <v>5.9787330794253135E-2</v>
      </c>
      <c r="AC63" s="274">
        <f>'Baseline Consumption'!AR82*parameters!$B152</f>
        <v>5.9787330794253135E-2</v>
      </c>
      <c r="AD63" s="274">
        <f>'Baseline Consumption'!AS82*parameters!$B152</f>
        <v>5.9787330794253135E-2</v>
      </c>
      <c r="AE63" s="274">
        <f>'Baseline Consumption'!AT82*parameters!$B152</f>
        <v>5.9787330794253135E-2</v>
      </c>
      <c r="AF63" s="274">
        <f>'Baseline Consumption'!AU82*parameters!$B152</f>
        <v>5.9787330794253135E-2</v>
      </c>
    </row>
    <row r="64" spans="1:32" s="40" customFormat="1">
      <c r="A64" s="51" t="s">
        <v>353</v>
      </c>
      <c r="B64" s="312">
        <f>'Baseline Consumption'!Q83*parameters!$B153</f>
        <v>0.20365361623646105</v>
      </c>
      <c r="C64" s="312">
        <f>'Baseline Consumption'!R83*parameters!$B153</f>
        <v>0.20365361623646105</v>
      </c>
      <c r="D64" s="312">
        <f>'Baseline Consumption'!S83*parameters!$B153</f>
        <v>0.20365361623646105</v>
      </c>
      <c r="E64" s="312">
        <f>'Baseline Consumption'!T83*parameters!$B153</f>
        <v>0.20365361623646105</v>
      </c>
      <c r="F64" s="312">
        <f>'Baseline Consumption'!U83*parameters!$B153</f>
        <v>0.20365361623646105</v>
      </c>
      <c r="G64" s="312">
        <f>'Baseline Consumption'!V83*parameters!$B153</f>
        <v>0.20365361623646105</v>
      </c>
      <c r="H64" s="312">
        <f>'Baseline Consumption'!W83*parameters!$B153</f>
        <v>0.20365361623646105</v>
      </c>
      <c r="I64" s="312">
        <f>'Baseline Consumption'!X83*parameters!$B153</f>
        <v>0.20365361623646105</v>
      </c>
      <c r="J64" s="312">
        <f>'Baseline Consumption'!Y83*parameters!$B153</f>
        <v>0.20365361623646105</v>
      </c>
      <c r="K64" s="312">
        <f>'Baseline Consumption'!Z83*parameters!$B153</f>
        <v>0.20365361623646105</v>
      </c>
      <c r="L64" s="312">
        <f>'Baseline Consumption'!AA83*parameters!$B153</f>
        <v>0.20365361623646105</v>
      </c>
      <c r="M64" s="312">
        <f>'Baseline Consumption'!AB83*parameters!$B153</f>
        <v>0.20365361623646105</v>
      </c>
      <c r="N64" s="312">
        <f>'Baseline Consumption'!AC83*parameters!$B153</f>
        <v>0.20365361623646105</v>
      </c>
      <c r="O64" s="312">
        <f>'Baseline Consumption'!AD83*parameters!$B153</f>
        <v>0.20365361623646105</v>
      </c>
      <c r="P64" s="312">
        <f>'Baseline Consumption'!AE83*parameters!$B153</f>
        <v>0.20365361623646105</v>
      </c>
      <c r="Q64" s="312">
        <f>'Baseline Consumption'!AF83*parameters!$B153</f>
        <v>0.20365361623646105</v>
      </c>
      <c r="R64" s="312">
        <f>'Baseline Consumption'!AG83*parameters!$B153</f>
        <v>0.20365361623646105</v>
      </c>
      <c r="S64" s="312">
        <f>'Baseline Consumption'!AH83*parameters!$B153</f>
        <v>0.20365361623646105</v>
      </c>
      <c r="T64" s="312">
        <f>'Baseline Consumption'!AI83*parameters!$B153</f>
        <v>0.20365361623646105</v>
      </c>
      <c r="U64" s="312">
        <f>'Baseline Consumption'!AJ83*parameters!$B153</f>
        <v>0.20365361623646105</v>
      </c>
      <c r="V64" s="312">
        <f>'Baseline Consumption'!AK83*parameters!$B153</f>
        <v>0.20365361623646105</v>
      </c>
      <c r="W64" s="274">
        <f>'Baseline Consumption'!AL83*parameters!$B153</f>
        <v>0.20365361623646105</v>
      </c>
      <c r="X64" s="274">
        <f>'Baseline Consumption'!AM83*parameters!$B153</f>
        <v>0.20365361623646105</v>
      </c>
      <c r="Y64" s="274">
        <f>'Baseline Consumption'!AN83*parameters!$B153</f>
        <v>0.20365361623646105</v>
      </c>
      <c r="Z64" s="274">
        <f>'Baseline Consumption'!AO83*parameters!$B153</f>
        <v>0.20365361623646105</v>
      </c>
      <c r="AA64" s="274">
        <f>'Baseline Consumption'!AP83*parameters!$B153</f>
        <v>0.20365361623646105</v>
      </c>
      <c r="AB64" s="274">
        <f>'Baseline Consumption'!AQ83*parameters!$B153</f>
        <v>0.20365361623646105</v>
      </c>
      <c r="AC64" s="274">
        <f>'Baseline Consumption'!AR83*parameters!$B153</f>
        <v>0.20365361623646105</v>
      </c>
      <c r="AD64" s="274">
        <f>'Baseline Consumption'!AS83*parameters!$B153</f>
        <v>0.20365361623646105</v>
      </c>
      <c r="AE64" s="274">
        <f>'Baseline Consumption'!AT83*parameters!$B153</f>
        <v>0.20365361623646105</v>
      </c>
      <c r="AF64" s="274">
        <f>'Baseline Consumption'!AU83*parameters!$B153</f>
        <v>0.20365361623646105</v>
      </c>
    </row>
    <row r="65" spans="1:32" s="40" customFormat="1">
      <c r="A65" s="51" t="s">
        <v>355</v>
      </c>
      <c r="B65" s="312">
        <f>'Baseline Consumption'!Q84*parameters!$B154</f>
        <v>4.8768525709777168E-2</v>
      </c>
      <c r="C65" s="312">
        <f>'Baseline Consumption'!R84*parameters!$B154</f>
        <v>4.8768525709777168E-2</v>
      </c>
      <c r="D65" s="312">
        <f>'Baseline Consumption'!S84*parameters!$B154</f>
        <v>4.8768525709777168E-2</v>
      </c>
      <c r="E65" s="312">
        <f>'Baseline Consumption'!T84*parameters!$B154</f>
        <v>4.8768525709788152E-2</v>
      </c>
      <c r="F65" s="312">
        <f>'Baseline Consumption'!U84*parameters!$B154</f>
        <v>4.8768525709777168E-2</v>
      </c>
      <c r="G65" s="312">
        <f>'Baseline Consumption'!V84*parameters!$B154</f>
        <v>4.8768525709777168E-2</v>
      </c>
      <c r="H65" s="312">
        <f>'Baseline Consumption'!W84*parameters!$B154</f>
        <v>4.8768525709777168E-2</v>
      </c>
      <c r="I65" s="312">
        <f>'Baseline Consumption'!X84*parameters!$B154</f>
        <v>4.8768525709777168E-2</v>
      </c>
      <c r="J65" s="312">
        <f>'Baseline Consumption'!Y84*parameters!$B154</f>
        <v>4.8768525709777168E-2</v>
      </c>
      <c r="K65" s="312">
        <f>'Baseline Consumption'!Z84*parameters!$B154</f>
        <v>4.8768525709777168E-2</v>
      </c>
      <c r="L65" s="312">
        <f>'Baseline Consumption'!AA84*parameters!$B154</f>
        <v>4.8768525709777168E-2</v>
      </c>
      <c r="M65" s="312">
        <f>'Baseline Consumption'!AB84*parameters!$B154</f>
        <v>4.8768525709777168E-2</v>
      </c>
      <c r="N65" s="312">
        <f>'Baseline Consumption'!AC84*parameters!$B154</f>
        <v>4.8768525709777168E-2</v>
      </c>
      <c r="O65" s="312">
        <f>'Baseline Consumption'!AD84*parameters!$B154</f>
        <v>4.8768525709777168E-2</v>
      </c>
      <c r="P65" s="312">
        <f>'Baseline Consumption'!AE84*parameters!$B154</f>
        <v>4.8768525709777168E-2</v>
      </c>
      <c r="Q65" s="312">
        <f>'Baseline Consumption'!AF84*parameters!$B154</f>
        <v>4.8768525709777168E-2</v>
      </c>
      <c r="R65" s="312">
        <f>'Baseline Consumption'!AG84*parameters!$B154</f>
        <v>4.8768525709777168E-2</v>
      </c>
      <c r="S65" s="312">
        <f>'Baseline Consumption'!AH84*parameters!$B154</f>
        <v>4.8768525709777168E-2</v>
      </c>
      <c r="T65" s="312">
        <f>'Baseline Consumption'!AI84*parameters!$B154</f>
        <v>4.8768525709777168E-2</v>
      </c>
      <c r="U65" s="312">
        <f>'Baseline Consumption'!AJ84*parameters!$B154</f>
        <v>4.8768525709777168E-2</v>
      </c>
      <c r="V65" s="312">
        <f>'Baseline Consumption'!AK84*parameters!$B154</f>
        <v>4.8768525709777168E-2</v>
      </c>
      <c r="W65" s="274">
        <f>'Baseline Consumption'!AL84*parameters!$B154</f>
        <v>4.8768525709777168E-2</v>
      </c>
      <c r="X65" s="274">
        <f>'Baseline Consumption'!AM84*parameters!$B154</f>
        <v>4.8768525709777168E-2</v>
      </c>
      <c r="Y65" s="274">
        <f>'Baseline Consumption'!AN84*parameters!$B154</f>
        <v>4.8768525709777168E-2</v>
      </c>
      <c r="Z65" s="274">
        <f>'Baseline Consumption'!AO84*parameters!$B154</f>
        <v>4.8768525709777168E-2</v>
      </c>
      <c r="AA65" s="274">
        <f>'Baseline Consumption'!AP84*parameters!$B154</f>
        <v>4.8768525709777168E-2</v>
      </c>
      <c r="AB65" s="274">
        <f>'Baseline Consumption'!AQ84*parameters!$B154</f>
        <v>4.8768525709777168E-2</v>
      </c>
      <c r="AC65" s="274">
        <f>'Baseline Consumption'!AR84*parameters!$B154</f>
        <v>4.8768525709777168E-2</v>
      </c>
      <c r="AD65" s="274">
        <f>'Baseline Consumption'!AS84*parameters!$B154</f>
        <v>4.8768525709777168E-2</v>
      </c>
      <c r="AE65" s="274">
        <f>'Baseline Consumption'!AT84*parameters!$B154</f>
        <v>4.8768525709777168E-2</v>
      </c>
      <c r="AF65" s="274">
        <f>'Baseline Consumption'!AU84*parameters!$B154</f>
        <v>4.8768525709777168E-2</v>
      </c>
    </row>
    <row r="66" spans="1:32" s="40" customFormat="1">
      <c r="A66" s="84" t="s">
        <v>1150</v>
      </c>
      <c r="B66" s="312">
        <f t="shared" ref="B66:V66" si="0">SUM(B53:B65)</f>
        <v>73.239715161166757</v>
      </c>
      <c r="C66" s="312">
        <f t="shared" si="0"/>
        <v>72.606063636300775</v>
      </c>
      <c r="D66" s="312">
        <f t="shared" si="0"/>
        <v>72.606063636300775</v>
      </c>
      <c r="E66" s="312">
        <f t="shared" si="0"/>
        <v>71.72308157749265</v>
      </c>
      <c r="F66" s="312">
        <f t="shared" si="0"/>
        <v>71.328150571171435</v>
      </c>
      <c r="G66" s="312">
        <f>SUM(G53:G65)</f>
        <v>71.328150571171435</v>
      </c>
      <c r="H66" s="312">
        <f t="shared" si="0"/>
        <v>70.684458906218239</v>
      </c>
      <c r="I66" s="312">
        <f t="shared" si="0"/>
        <v>70.684458906218239</v>
      </c>
      <c r="J66" s="312">
        <f t="shared" si="0"/>
        <v>70.684458906218239</v>
      </c>
      <c r="K66" s="312">
        <f t="shared" si="0"/>
        <v>70.28408689319042</v>
      </c>
      <c r="L66" s="312">
        <f t="shared" si="0"/>
        <v>70.28408689319042</v>
      </c>
      <c r="M66" s="312">
        <f t="shared" si="0"/>
        <v>70.28408689319042</v>
      </c>
      <c r="N66" s="312">
        <f t="shared" si="0"/>
        <v>70.28408689319042</v>
      </c>
      <c r="O66" s="312">
        <f t="shared" si="0"/>
        <v>70.28408689319042</v>
      </c>
      <c r="P66" s="312">
        <f t="shared" si="0"/>
        <v>70.28408689319042</v>
      </c>
      <c r="Q66" s="312">
        <f t="shared" si="0"/>
        <v>70.28408689319042</v>
      </c>
      <c r="R66" s="312">
        <f t="shared" si="0"/>
        <v>70.28408689319042</v>
      </c>
      <c r="S66" s="312">
        <f t="shared" si="0"/>
        <v>70.28408689319042</v>
      </c>
      <c r="T66" s="312">
        <f t="shared" si="0"/>
        <v>70.28408689319042</v>
      </c>
      <c r="U66" s="312">
        <f t="shared" si="0"/>
        <v>70.28408689319042</v>
      </c>
      <c r="V66" s="312">
        <f t="shared" si="0"/>
        <v>70.28408689319042</v>
      </c>
      <c r="W66" s="274">
        <f t="shared" ref="W66" si="1">SUM(W53:W65)</f>
        <v>70.28408689319042</v>
      </c>
      <c r="X66" s="274">
        <f t="shared" ref="X66:AF66" si="2">SUM(X53:X65)</f>
        <v>70.28408689319042</v>
      </c>
      <c r="Y66" s="274">
        <f t="shared" si="2"/>
        <v>70.28408689319042</v>
      </c>
      <c r="Z66" s="274">
        <f t="shared" si="2"/>
        <v>70.28408689319042</v>
      </c>
      <c r="AA66" s="274">
        <f t="shared" si="2"/>
        <v>70.28408689319042</v>
      </c>
      <c r="AB66" s="274">
        <f t="shared" si="2"/>
        <v>70.28408689319042</v>
      </c>
      <c r="AC66" s="274">
        <f t="shared" si="2"/>
        <v>70.28408689319042</v>
      </c>
      <c r="AD66" s="274">
        <f t="shared" si="2"/>
        <v>70.28408689319042</v>
      </c>
      <c r="AE66" s="274">
        <f t="shared" si="2"/>
        <v>70.28408689319042</v>
      </c>
      <c r="AF66" s="274">
        <f t="shared" si="2"/>
        <v>70.28408689319042</v>
      </c>
    </row>
    <row r="67" spans="1:32">
      <c r="A67" s="40"/>
      <c r="B67" s="309"/>
      <c r="C67" s="309"/>
      <c r="D67" s="309"/>
      <c r="E67" s="309"/>
      <c r="F67" s="309"/>
      <c r="G67" s="309"/>
      <c r="H67" s="309"/>
      <c r="I67" s="309"/>
      <c r="J67" s="309"/>
      <c r="K67" s="309"/>
      <c r="L67" s="309"/>
      <c r="M67" s="309"/>
      <c r="N67" s="309"/>
      <c r="O67" s="309"/>
      <c r="P67" s="309"/>
      <c r="Q67" s="309"/>
      <c r="R67" s="309"/>
      <c r="S67" s="309"/>
      <c r="T67" s="309"/>
      <c r="U67" s="309"/>
      <c r="V67" s="309"/>
      <c r="W67" s="274"/>
      <c r="X67" s="274"/>
      <c r="Y67" s="274"/>
      <c r="Z67" s="274"/>
      <c r="AA67" s="274"/>
      <c r="AB67" s="274"/>
      <c r="AC67" s="274"/>
      <c r="AD67" s="274"/>
      <c r="AE67" s="274"/>
      <c r="AF67" s="274"/>
    </row>
    <row r="68" spans="1:32">
      <c r="A68" s="145" t="s">
        <v>999</v>
      </c>
      <c r="B68" s="309"/>
      <c r="C68" s="309"/>
      <c r="D68" s="309"/>
      <c r="E68" s="309"/>
      <c r="F68" s="309"/>
      <c r="G68" s="309"/>
      <c r="H68" s="309"/>
      <c r="I68" s="309"/>
      <c r="J68" s="309"/>
      <c r="K68" s="309"/>
      <c r="L68" s="309"/>
      <c r="M68" s="309"/>
      <c r="N68" s="309"/>
      <c r="O68" s="309"/>
      <c r="P68" s="309"/>
      <c r="Q68" s="309"/>
      <c r="R68" s="309"/>
      <c r="S68" s="309"/>
      <c r="T68" s="309"/>
      <c r="U68" s="309"/>
      <c r="V68" s="309"/>
      <c r="W68" s="274"/>
      <c r="X68" s="274"/>
      <c r="Y68" s="274"/>
      <c r="Z68" s="274"/>
      <c r="AA68" s="274"/>
      <c r="AB68" s="274"/>
      <c r="AC68" s="274"/>
      <c r="AD68" s="274"/>
      <c r="AE68" s="274"/>
      <c r="AF68" s="274"/>
    </row>
    <row r="69" spans="1:32">
      <c r="A69" s="51" t="s">
        <v>352</v>
      </c>
      <c r="B69" s="312">
        <f>parameters!$B142+'Adjusted price'!B47-'Baseline Price'!Q51</f>
        <v>108.83761597333334</v>
      </c>
      <c r="C69" s="312">
        <f>parameters!$B142+'Adjusted price'!C47-'Baseline Price'!R51</f>
        <v>111.80557752755554</v>
      </c>
      <c r="D69" s="312">
        <f>parameters!$B142+'Adjusted price'!D47-'Baseline Price'!S51</f>
        <v>114.79066516290371</v>
      </c>
      <c r="E69" s="312">
        <f>parameters!$B142+'Adjusted price'!E47-'Baseline Price'!T51</f>
        <v>117.78618833606915</v>
      </c>
      <c r="F69" s="312">
        <f>parameters!$B142+'Adjusted price'!F47-'Baseline Price'!U51</f>
        <v>120.77031874412907</v>
      </c>
      <c r="G69" s="312">
        <f>parameters!$B142+'Adjusted price'!G47-'Baseline Price'!V51</f>
        <v>123.75234781754185</v>
      </c>
      <c r="H69" s="312">
        <f>parameters!$B142+'Adjusted price'!H47-'Baseline Price'!W51</f>
        <v>126.74058980112747</v>
      </c>
      <c r="I69" s="312">
        <f>parameters!$B142+'Adjusted price'!I47-'Baseline Price'!X51</f>
        <v>129.73908905947437</v>
      </c>
      <c r="J69" s="312">
        <f>parameters!$B142+'Adjusted price'!J47-'Baseline Price'!Y51</f>
        <v>132.68219636924459</v>
      </c>
      <c r="K69" s="312">
        <f>parameters!$B142+'Adjusted price'!K47-'Baseline Price'!Z51</f>
        <v>135.68543724672227</v>
      </c>
      <c r="L69" s="312">
        <f>parameters!$B142+'Adjusted price'!L47-'Baseline Price'!AA51</f>
        <v>138.66804026672679</v>
      </c>
      <c r="M69" s="312">
        <f>parameters!$B142+'Adjusted price'!M47-'Baseline Price'!AB51</f>
        <v>141.65064328673128</v>
      </c>
      <c r="N69" s="312">
        <f>parameters!$B142+'Adjusted price'!N47-'Baseline Price'!AC51</f>
        <v>144.6332463067358</v>
      </c>
      <c r="O69" s="312">
        <f>parameters!$B142+'Adjusted price'!O47-'Baseline Price'!AD51</f>
        <v>147.61584932674032</v>
      </c>
      <c r="P69" s="312">
        <f>parameters!$B142+'Adjusted price'!P47-'Baseline Price'!AE51</f>
        <v>148.61005033340848</v>
      </c>
      <c r="Q69" s="312">
        <f>parameters!$B142+'Adjusted price'!Q47-'Baseline Price'!AF51</f>
        <v>148.61005033340848</v>
      </c>
      <c r="R69" s="312">
        <f>parameters!$B142+'Adjusted price'!R47-'Baseline Price'!AG51</f>
        <v>148.61005033340848</v>
      </c>
      <c r="S69" s="312">
        <f>parameters!$B142+'Adjusted price'!S47-'Baseline Price'!AH51</f>
        <v>148.61005033340848</v>
      </c>
      <c r="T69" s="312">
        <f>parameters!$B142+'Adjusted price'!T47-'Baseline Price'!AI51</f>
        <v>148.61005033340848</v>
      </c>
      <c r="U69" s="312">
        <f>parameters!$B142+'Adjusted price'!U47-'Baseline Price'!AJ51</f>
        <v>148.61005033340848</v>
      </c>
      <c r="V69" s="312">
        <f>parameters!$B142+'Adjusted price'!V47-'Baseline Price'!AK51</f>
        <v>148.61005033340845</v>
      </c>
      <c r="W69" s="274">
        <f>parameters!$B142+'Adjusted price'!W47-'Baseline Price'!AL51</f>
        <v>148.61005033340848</v>
      </c>
      <c r="X69" s="274">
        <f>parameters!$B142+'Adjusted price'!X47-'Baseline Price'!AM51</f>
        <v>148.61005033340845</v>
      </c>
      <c r="Y69" s="274">
        <f>parameters!$B142+'Adjusted price'!Y47-'Baseline Price'!AN51</f>
        <v>148.61005033340848</v>
      </c>
      <c r="Z69" s="274">
        <f>parameters!$B142+'Adjusted price'!Z47-'Baseline Price'!AO51</f>
        <v>148.61005033340848</v>
      </c>
      <c r="AA69" s="274">
        <f>parameters!$B142+'Adjusted price'!AA47-'Baseline Price'!AP51</f>
        <v>148.61005033340848</v>
      </c>
      <c r="AB69" s="274">
        <f>parameters!$B142+'Adjusted price'!AB47-'Baseline Price'!AQ51</f>
        <v>148.61005033340848</v>
      </c>
      <c r="AC69" s="274">
        <f>parameters!$B142+'Adjusted price'!AC47-'Baseline Price'!AR51</f>
        <v>148.61005033340848</v>
      </c>
      <c r="AD69" s="274">
        <f>parameters!$B142+'Adjusted price'!AD47-'Baseline Price'!AS51</f>
        <v>148.61005033340848</v>
      </c>
      <c r="AE69" s="274">
        <f>parameters!$B142+'Adjusted price'!AE47-'Baseline Price'!AT51</f>
        <v>148.61005033340848</v>
      </c>
      <c r="AF69" s="274">
        <f>parameters!$B142+'Adjusted price'!AF47-'Baseline Price'!AU51</f>
        <v>148.61005033340845</v>
      </c>
    </row>
    <row r="70" spans="1:32">
      <c r="A70" s="51" t="s">
        <v>393</v>
      </c>
      <c r="B70" s="312">
        <f>parameters!$B143+'Adjusted price'!B48-'Baseline Price'!Q52</f>
        <v>54.191190134370373</v>
      </c>
      <c r="C70" s="312">
        <f>parameters!$B143+'Adjusted price'!C48-'Baseline Price'!R52</f>
        <v>55.39193355766912</v>
      </c>
      <c r="D70" s="312">
        <f>parameters!$B143+'Adjusted price'!D48-'Baseline Price'!S52</f>
        <v>56.578707362380896</v>
      </c>
      <c r="E70" s="312">
        <f>parameters!$B143+'Adjusted price'!E48-'Baseline Price'!T52</f>
        <v>57.762450846274653</v>
      </c>
      <c r="F70" s="312">
        <f>parameters!$B143+'Adjusted price'!F48-'Baseline Price'!U52</f>
        <v>58.931954542900868</v>
      </c>
      <c r="G70" s="312">
        <f>parameters!$B143+'Adjusted price'!G48-'Baseline Price'!V52</f>
        <v>60.085559633591686</v>
      </c>
      <c r="H70" s="312">
        <f>parameters!$B143+'Adjusted price'!H48-'Baseline Price'!W52</f>
        <v>61.230409310135784</v>
      </c>
      <c r="I70" s="312">
        <f>parameters!$B143+'Adjusted price'!I48-'Baseline Price'!X52</f>
        <v>62.365671217868716</v>
      </c>
      <c r="J70" s="312">
        <f>parameters!$B143+'Adjusted price'!J48-'Baseline Price'!Y52</f>
        <v>63.841448983415518</v>
      </c>
      <c r="K70" s="312">
        <f>parameters!$B143+'Adjusted price'!K48-'Baseline Price'!Z52</f>
        <v>64.870067751660002</v>
      </c>
      <c r="L70" s="312">
        <f>parameters!$B143+'Adjusted price'!L48-'Baseline Price'!AA52</f>
        <v>66.067640812605404</v>
      </c>
      <c r="M70" s="312">
        <f>parameters!$B143+'Adjusted price'!M48-'Baseline Price'!AB52</f>
        <v>67.265213873550806</v>
      </c>
      <c r="N70" s="312">
        <f>parameters!$B143+'Adjusted price'!N48-'Baseline Price'!AC52</f>
        <v>68.462786934496222</v>
      </c>
      <c r="O70" s="312">
        <f>parameters!$B143+'Adjusted price'!O48-'Baseline Price'!AD52</f>
        <v>69.660359995441638</v>
      </c>
      <c r="P70" s="312">
        <f>parameters!$B143+'Adjusted price'!P48-'Baseline Price'!AE52</f>
        <v>70.059551015756767</v>
      </c>
      <c r="Q70" s="312">
        <f>parameters!$B143+'Adjusted price'!Q48-'Baseline Price'!AF52</f>
        <v>70.059551015756767</v>
      </c>
      <c r="R70" s="312">
        <f>parameters!$B143+'Adjusted price'!R48-'Baseline Price'!AG52</f>
        <v>70.059551015756767</v>
      </c>
      <c r="S70" s="312">
        <f>parameters!$B143+'Adjusted price'!S48-'Baseline Price'!AH52</f>
        <v>70.059551015756767</v>
      </c>
      <c r="T70" s="312">
        <f>parameters!$B143+'Adjusted price'!T48-'Baseline Price'!AI52</f>
        <v>70.059551015756767</v>
      </c>
      <c r="U70" s="312">
        <f>parameters!$B143+'Adjusted price'!U48-'Baseline Price'!AJ52</f>
        <v>70.059551015756767</v>
      </c>
      <c r="V70" s="312">
        <f>parameters!$B143+'Adjusted price'!V48-'Baseline Price'!AK52</f>
        <v>70.059551015756767</v>
      </c>
      <c r="W70" s="274">
        <f>parameters!$B143+'Adjusted price'!W48-'Baseline Price'!AL52</f>
        <v>70.059551015756767</v>
      </c>
      <c r="X70" s="274">
        <f>parameters!$B143+'Adjusted price'!X48-'Baseline Price'!AM52</f>
        <v>70.059551015756767</v>
      </c>
      <c r="Y70" s="274">
        <f>parameters!$B143+'Adjusted price'!Y48-'Baseline Price'!AN52</f>
        <v>70.059551015756767</v>
      </c>
      <c r="Z70" s="274">
        <f>parameters!$B143+'Adjusted price'!Z48-'Baseline Price'!AO52</f>
        <v>70.059551015756767</v>
      </c>
      <c r="AA70" s="274">
        <f>parameters!$B143+'Adjusted price'!AA48-'Baseline Price'!AP52</f>
        <v>70.059551015756767</v>
      </c>
      <c r="AB70" s="274">
        <f>parameters!$B143+'Adjusted price'!AB48-'Baseline Price'!AQ52</f>
        <v>70.059551015756767</v>
      </c>
      <c r="AC70" s="274">
        <f>parameters!$B143+'Adjusted price'!AC48-'Baseline Price'!AR52</f>
        <v>70.059551015756767</v>
      </c>
      <c r="AD70" s="274">
        <f>parameters!$B143+'Adjusted price'!AD48-'Baseline Price'!AS52</f>
        <v>70.059551015756782</v>
      </c>
      <c r="AE70" s="274">
        <f>parameters!$B143+'Adjusted price'!AE48-'Baseline Price'!AT52</f>
        <v>70.059551015756767</v>
      </c>
      <c r="AF70" s="274">
        <f>parameters!$B143+'Adjusted price'!AF48-'Baseline Price'!AU52</f>
        <v>70.059551015756782</v>
      </c>
    </row>
    <row r="71" spans="1:32">
      <c r="A71" s="51" t="s">
        <v>394</v>
      </c>
      <c r="B71" s="312">
        <f>parameters!$B144+'Adjusted price'!B49-'Baseline Price'!Q53</f>
        <v>54.191190134370373</v>
      </c>
      <c r="C71" s="312">
        <f>parameters!$B144+'Adjusted price'!C49-'Baseline Price'!R53</f>
        <v>55.39193355766912</v>
      </c>
      <c r="D71" s="312">
        <f>parameters!$B144+'Adjusted price'!D49-'Baseline Price'!S53</f>
        <v>56.578707362380896</v>
      </c>
      <c r="E71" s="312">
        <f>parameters!$B144+'Adjusted price'!E49-'Baseline Price'!T53</f>
        <v>57.762450846274653</v>
      </c>
      <c r="F71" s="312">
        <f>parameters!$B144+'Adjusted price'!F49-'Baseline Price'!U53</f>
        <v>58.931954542900868</v>
      </c>
      <c r="G71" s="312">
        <f>parameters!$B144+'Adjusted price'!G49-'Baseline Price'!V53</f>
        <v>60.085559633591686</v>
      </c>
      <c r="H71" s="312">
        <f>parameters!$B144+'Adjusted price'!H49-'Baseline Price'!W53</f>
        <v>61.230409310135784</v>
      </c>
      <c r="I71" s="312">
        <f>parameters!$B144+'Adjusted price'!I49-'Baseline Price'!X53</f>
        <v>62.365671217868716</v>
      </c>
      <c r="J71" s="312">
        <f>parameters!$B144+'Adjusted price'!J49-'Baseline Price'!Y53</f>
        <v>63.841448983415518</v>
      </c>
      <c r="K71" s="312">
        <f>parameters!$B144+'Adjusted price'!K49-'Baseline Price'!Z53</f>
        <v>64.870067751660002</v>
      </c>
      <c r="L71" s="312">
        <f>parameters!$B144+'Adjusted price'!L49-'Baseline Price'!AA53</f>
        <v>66.067640812605404</v>
      </c>
      <c r="M71" s="312">
        <f>parameters!$B144+'Adjusted price'!M49-'Baseline Price'!AB53</f>
        <v>67.265213873550806</v>
      </c>
      <c r="N71" s="312">
        <f>parameters!$B144+'Adjusted price'!N49-'Baseline Price'!AC53</f>
        <v>68.462786934496222</v>
      </c>
      <c r="O71" s="312">
        <f>parameters!$B144+'Adjusted price'!O49-'Baseline Price'!AD53</f>
        <v>69.660359995441638</v>
      </c>
      <c r="P71" s="312">
        <f>parameters!$B144+'Adjusted price'!P49-'Baseline Price'!AE53</f>
        <v>70.059551015756767</v>
      </c>
      <c r="Q71" s="312">
        <f>parameters!$B144+'Adjusted price'!Q49-'Baseline Price'!AF53</f>
        <v>70.059551015756767</v>
      </c>
      <c r="R71" s="312">
        <f>parameters!$B144+'Adjusted price'!R49-'Baseline Price'!AG53</f>
        <v>70.059551015756767</v>
      </c>
      <c r="S71" s="312">
        <f>parameters!$B144+'Adjusted price'!S49-'Baseline Price'!AH53</f>
        <v>70.059551015756767</v>
      </c>
      <c r="T71" s="312">
        <f>parameters!$B144+'Adjusted price'!T49-'Baseline Price'!AI53</f>
        <v>70.059551015756767</v>
      </c>
      <c r="U71" s="312">
        <f>parameters!$B144+'Adjusted price'!U49-'Baseline Price'!AJ53</f>
        <v>70.059551015756767</v>
      </c>
      <c r="V71" s="312">
        <f>parameters!$B144+'Adjusted price'!V49-'Baseline Price'!AK53</f>
        <v>70.059551015756767</v>
      </c>
      <c r="W71" s="274">
        <f>parameters!$B144+'Adjusted price'!W49-'Baseline Price'!AL53</f>
        <v>70.059551015756767</v>
      </c>
      <c r="X71" s="274">
        <f>parameters!$B144+'Adjusted price'!X49-'Baseline Price'!AM53</f>
        <v>70.059551015756767</v>
      </c>
      <c r="Y71" s="274">
        <f>parameters!$B144+'Adjusted price'!Y49-'Baseline Price'!AN53</f>
        <v>70.059551015756767</v>
      </c>
      <c r="Z71" s="274">
        <f>parameters!$B144+'Adjusted price'!Z49-'Baseline Price'!AO53</f>
        <v>70.059551015756767</v>
      </c>
      <c r="AA71" s="274">
        <f>parameters!$B144+'Adjusted price'!AA49-'Baseline Price'!AP53</f>
        <v>70.059551015756767</v>
      </c>
      <c r="AB71" s="274">
        <f>parameters!$B144+'Adjusted price'!AB49-'Baseline Price'!AQ53</f>
        <v>70.059551015756767</v>
      </c>
      <c r="AC71" s="274">
        <f>parameters!$B144+'Adjusted price'!AC49-'Baseline Price'!AR53</f>
        <v>70.059551015756767</v>
      </c>
      <c r="AD71" s="274">
        <f>parameters!$B144+'Adjusted price'!AD49-'Baseline Price'!AS53</f>
        <v>70.059551015756782</v>
      </c>
      <c r="AE71" s="274">
        <f>parameters!$B144+'Adjusted price'!AE49-'Baseline Price'!AT53</f>
        <v>70.059551015756767</v>
      </c>
      <c r="AF71" s="274">
        <f>parameters!$B144+'Adjusted price'!AF49-'Baseline Price'!AU53</f>
        <v>70.059551015756782</v>
      </c>
    </row>
    <row r="72" spans="1:32">
      <c r="A72" s="51" t="s">
        <v>395</v>
      </c>
      <c r="B72" s="312">
        <f>parameters!$B145+'Adjusted price'!B50-'Baseline Price'!Q54</f>
        <v>104.31692974060928</v>
      </c>
      <c r="C72" s="312">
        <f>parameters!$B145+'Adjusted price'!C50-'Baseline Price'!R54</f>
        <v>106.120679086894</v>
      </c>
      <c r="D72" s="312">
        <f>parameters!$B145+'Adjusted price'!D50-'Baseline Price'!S54</f>
        <v>107.98737594356396</v>
      </c>
      <c r="E72" s="312">
        <f>parameters!$B145+'Adjusted price'!E50-'Baseline Price'!T54</f>
        <v>109.9831970200859</v>
      </c>
      <c r="F72" s="312">
        <f>parameters!$B145+'Adjusted price'!F50-'Baseline Price'!U54</f>
        <v>112.05894525463773</v>
      </c>
      <c r="G72" s="312">
        <f>parameters!$B145+'Adjusted price'!G50-'Baseline Price'!V54</f>
        <v>113.79964276827721</v>
      </c>
      <c r="H72" s="312">
        <f>parameters!$B145+'Adjusted price'!H50-'Baseline Price'!W54</f>
        <v>115.63453230644572</v>
      </c>
      <c r="I72" s="312">
        <f>parameters!$B145+'Adjusted price'!I50-'Baseline Price'!X54</f>
        <v>117.49567359618726</v>
      </c>
      <c r="J72" s="312">
        <f>parameters!$B145+'Adjusted price'!J50-'Baseline Price'!Y54</f>
        <v>119.31173596735505</v>
      </c>
      <c r="K72" s="312">
        <f>parameters!$B145+'Adjusted price'!K50-'Baseline Price'!Z54</f>
        <v>121.11538638953635</v>
      </c>
      <c r="L72" s="312">
        <f>parameters!$B145+'Adjusted price'!L50-'Baseline Price'!AA54</f>
        <v>122.95935297638172</v>
      </c>
      <c r="M72" s="312">
        <f>parameters!$B145+'Adjusted price'!M50-'Baseline Price'!AB54</f>
        <v>124.8132977213117</v>
      </c>
      <c r="N72" s="312">
        <f>parameters!$B145+'Adjusted price'!N50-'Baseline Price'!AC54</f>
        <v>126.60067823982473</v>
      </c>
      <c r="O72" s="312">
        <f>parameters!$B145+'Adjusted price'!O50-'Baseline Price'!AD54</f>
        <v>128.32291013635498</v>
      </c>
      <c r="P72" s="312">
        <f>parameters!$B145+'Adjusted price'!P50-'Baseline Price'!AE54</f>
        <v>129.01773459071285</v>
      </c>
      <c r="Q72" s="312">
        <f>parameters!$B145+'Adjusted price'!Q50-'Baseline Price'!AF54</f>
        <v>129.02092765859067</v>
      </c>
      <c r="R72" s="312">
        <f>parameters!$B145+'Adjusted price'!R50-'Baseline Price'!AG54</f>
        <v>129.03616345257561</v>
      </c>
      <c r="S72" s="312">
        <f>parameters!$B145+'Adjusted price'!S50-'Baseline Price'!AH54</f>
        <v>129.30485075249749</v>
      </c>
      <c r="T72" s="312">
        <f>parameters!$B145+'Adjusted price'!T50-'Baseline Price'!AI54</f>
        <v>129.20167330003775</v>
      </c>
      <c r="U72" s="312">
        <f>parameters!$B145+'Adjusted price'!U50-'Baseline Price'!AJ54</f>
        <v>129.18877506943898</v>
      </c>
      <c r="V72" s="312">
        <f>parameters!$B145+'Adjusted price'!V50-'Baseline Price'!AK54</f>
        <v>129.20711013763284</v>
      </c>
      <c r="W72" s="274">
        <f>parameters!$B145+'Adjusted price'!W50-'Baseline Price'!AL54</f>
        <v>129.2546316887634</v>
      </c>
      <c r="X72" s="274">
        <f>parameters!$B145+'Adjusted price'!X50-'Baseline Price'!AM54</f>
        <v>129.42186628345576</v>
      </c>
      <c r="Y72" s="274">
        <f>parameters!$B145+'Adjusted price'!Y50-'Baseline Price'!AN54</f>
        <v>129.37931075755566</v>
      </c>
      <c r="Z72" s="274">
        <f>parameters!$B145+'Adjusted price'!Z50-'Baseline Price'!AO54</f>
        <v>129.25220749128502</v>
      </c>
      <c r="AA72" s="274">
        <f>parameters!$B145+'Adjusted price'!AA50-'Baseline Price'!AP54</f>
        <v>129.18938672264841</v>
      </c>
      <c r="AB72" s="274">
        <f>parameters!$B145+'Adjusted price'!AB50-'Baseline Price'!AQ54</f>
        <v>129.17189454758525</v>
      </c>
      <c r="AC72" s="274">
        <f>parameters!$B145+'Adjusted price'!AC50-'Baseline Price'!AR54</f>
        <v>129.20202389630887</v>
      </c>
      <c r="AD72" s="274">
        <f>parameters!$B145+'Adjusted price'!AD50-'Baseline Price'!AS54</f>
        <v>129.16071865915092</v>
      </c>
      <c r="AE72" s="274">
        <f>parameters!$B145+'Adjusted price'!AE50-'Baseline Price'!AT54</f>
        <v>129.17750384186127</v>
      </c>
      <c r="AF72" s="274">
        <f>parameters!$B145+'Adjusted price'!AF50-'Baseline Price'!AU54</f>
        <v>129.21370293232118</v>
      </c>
    </row>
    <row r="73" spans="1:32">
      <c r="A73" s="145"/>
      <c r="B73" s="309"/>
      <c r="C73" s="309"/>
      <c r="D73" s="309"/>
      <c r="E73" s="309"/>
      <c r="F73" s="309"/>
      <c r="G73" s="309"/>
      <c r="H73" s="309"/>
      <c r="I73" s="309"/>
      <c r="J73" s="309"/>
      <c r="K73" s="309"/>
      <c r="L73" s="309"/>
      <c r="M73" s="309"/>
      <c r="N73" s="309"/>
      <c r="O73" s="309"/>
      <c r="P73" s="309"/>
      <c r="Q73" s="309"/>
      <c r="R73" s="309"/>
      <c r="S73" s="309"/>
      <c r="T73" s="309"/>
      <c r="U73" s="309"/>
      <c r="V73" s="309"/>
      <c r="W73" s="274"/>
      <c r="X73" s="274"/>
      <c r="Y73" s="274"/>
      <c r="Z73" s="274"/>
      <c r="AA73" s="274"/>
      <c r="AB73" s="274"/>
      <c r="AC73" s="274"/>
      <c r="AD73" s="274"/>
      <c r="AE73" s="274"/>
      <c r="AF73" s="274"/>
    </row>
    <row r="74" spans="1:32" ht="13">
      <c r="A74" s="40" t="s">
        <v>1312</v>
      </c>
      <c r="B74" s="283"/>
      <c r="C74" s="283"/>
      <c r="D74" s="283"/>
      <c r="E74" s="283"/>
      <c r="F74" s="283"/>
      <c r="G74" s="283"/>
      <c r="H74" s="283"/>
      <c r="I74" s="283"/>
      <c r="J74" s="283"/>
      <c r="K74" s="283"/>
      <c r="L74" s="283"/>
      <c r="M74" s="283"/>
      <c r="N74" s="283"/>
      <c r="O74" s="283"/>
      <c r="P74" s="283"/>
      <c r="Q74" s="283"/>
      <c r="R74" s="283"/>
      <c r="S74" s="283"/>
      <c r="T74" s="283"/>
      <c r="U74" s="283"/>
      <c r="V74" s="283"/>
      <c r="W74" s="274"/>
      <c r="X74" s="274"/>
      <c r="Y74" s="274"/>
      <c r="Z74" s="274"/>
      <c r="AA74" s="274"/>
      <c r="AB74" s="274"/>
      <c r="AC74" s="274"/>
      <c r="AD74" s="274"/>
      <c r="AE74" s="274"/>
      <c r="AF74" s="274"/>
    </row>
    <row r="75" spans="1:32">
      <c r="A75" s="51" t="s">
        <v>352</v>
      </c>
      <c r="B75" s="312">
        <f>'Adjusted Consumption'!B172*B69</f>
        <v>12.162984206313528</v>
      </c>
      <c r="C75" s="312">
        <f>'Adjusted Consumption'!C172*C69</f>
        <v>10.244049141044837</v>
      </c>
      <c r="D75" s="312">
        <f>'Adjusted Consumption'!D172*D69</f>
        <v>8.785560809580538</v>
      </c>
      <c r="E75" s="312">
        <f>'Adjusted Consumption'!E172*E69</f>
        <v>6.7611185022320388</v>
      </c>
      <c r="F75" s="312">
        <f>'Adjusted Consumption'!F172*F69</f>
        <v>4.6216082893727286</v>
      </c>
      <c r="G75" s="312">
        <f>'Adjusted Consumption'!G172*G69</f>
        <v>2.3678619152882359</v>
      </c>
      <c r="H75" s="312">
        <f>'Adjusted Consumption'!H172*H69</f>
        <v>0</v>
      </c>
      <c r="I75" s="312">
        <f>'Adjusted Consumption'!I172*I69</f>
        <v>0</v>
      </c>
      <c r="J75" s="312">
        <f>'Adjusted Consumption'!J172*J69</f>
        <v>0</v>
      </c>
      <c r="K75" s="312">
        <f>'Adjusted Consumption'!K172*K69</f>
        <v>0</v>
      </c>
      <c r="L75" s="312">
        <f>'Adjusted Consumption'!L172*L69</f>
        <v>0</v>
      </c>
      <c r="M75" s="312">
        <f>'Adjusted Consumption'!M172*M69</f>
        <v>0</v>
      </c>
      <c r="N75" s="312">
        <f>'Adjusted Consumption'!N172*N69</f>
        <v>0</v>
      </c>
      <c r="O75" s="312">
        <f>'Adjusted Consumption'!O172*O69</f>
        <v>0</v>
      </c>
      <c r="P75" s="312">
        <f>'Adjusted Consumption'!P172*P69</f>
        <v>0</v>
      </c>
      <c r="Q75" s="312">
        <f>'Adjusted Consumption'!Q172*Q69</f>
        <v>0</v>
      </c>
      <c r="R75" s="312">
        <f>'Adjusted Consumption'!R172*R69</f>
        <v>0</v>
      </c>
      <c r="S75" s="312">
        <f>'Adjusted Consumption'!S172*S69</f>
        <v>0</v>
      </c>
      <c r="T75" s="312">
        <f>'Adjusted Consumption'!T172*T69</f>
        <v>0</v>
      </c>
      <c r="U75" s="312">
        <f>'Adjusted Consumption'!U172*U69</f>
        <v>0</v>
      </c>
      <c r="V75" s="312">
        <f>'Adjusted Consumption'!V172*V69</f>
        <v>0</v>
      </c>
      <c r="W75" s="274">
        <f>'Adjusted Consumption'!W172*W69</f>
        <v>0</v>
      </c>
      <c r="X75" s="274">
        <f>'Adjusted Consumption'!X172*X69</f>
        <v>0</v>
      </c>
      <c r="Y75" s="274">
        <f>'Adjusted Consumption'!Y172*Y69</f>
        <v>0</v>
      </c>
      <c r="Z75" s="274">
        <f>'Adjusted Consumption'!Z172*Z69</f>
        <v>0</v>
      </c>
      <c r="AA75" s="274">
        <f>'Adjusted Consumption'!AA172*AA69</f>
        <v>0</v>
      </c>
      <c r="AB75" s="274">
        <f>'Adjusted Consumption'!AB172*AB69</f>
        <v>0</v>
      </c>
      <c r="AC75" s="274">
        <f>'Adjusted Consumption'!AC172*AC69</f>
        <v>0</v>
      </c>
      <c r="AD75" s="274">
        <f>'Adjusted Consumption'!AD172*AD69</f>
        <v>0</v>
      </c>
      <c r="AE75" s="274">
        <f>'Adjusted Consumption'!AE172*AE69</f>
        <v>0</v>
      </c>
      <c r="AF75" s="274">
        <f>'Adjusted Consumption'!AF172*AF69</f>
        <v>0</v>
      </c>
    </row>
    <row r="76" spans="1:32">
      <c r="A76" s="51" t="s">
        <v>393</v>
      </c>
      <c r="B76" s="312">
        <f>'Adjusted Consumption'!B173*B70</f>
        <v>3.5530653740394214</v>
      </c>
      <c r="C76" s="312">
        <f>'Adjusted Consumption'!C173*C70</f>
        <v>4.1491848769146502</v>
      </c>
      <c r="D76" s="312">
        <f>'Adjusted Consumption'!D173*D70</f>
        <v>4.1583609599897349</v>
      </c>
      <c r="E76" s="312">
        <f>'Adjusted Consumption'!E173*E70</f>
        <v>4.9440244056846181</v>
      </c>
      <c r="F76" s="312">
        <f>'Adjusted Consumption'!F173*F70</f>
        <v>5.2574502253231676</v>
      </c>
      <c r="G76" s="312">
        <f>'Adjusted Consumption'!G173*G70</f>
        <v>5.3280072269713932</v>
      </c>
      <c r="H76" s="312">
        <f>'Adjusted Consumption'!H173*H70</f>
        <v>5.9329291334441852</v>
      </c>
      <c r="I76" s="312">
        <f>'Adjusted Consumption'!I173*I70</f>
        <v>5.9623648507531035</v>
      </c>
      <c r="J76" s="312">
        <f>'Adjusted Consumption'!J173*J70</f>
        <v>6.0410401927192865</v>
      </c>
      <c r="K76" s="312">
        <f>'Adjusted Consumption'!K173*K70</f>
        <v>6.4112295852997194</v>
      </c>
      <c r="L76" s="312">
        <f>'Adjusted Consumption'!L173*L70</f>
        <v>6.4474216621001119</v>
      </c>
      <c r="M76" s="312">
        <f>'Adjusted Consumption'!M173*M70</f>
        <v>6.4793819143685889</v>
      </c>
      <c r="N76" s="312">
        <f>'Adjusted Consumption'!N173*N70</f>
        <v>6.3474882198767872</v>
      </c>
      <c r="O76" s="312">
        <f>'Adjusted Consumption'!O173*O70</f>
        <v>5.9617112518007476</v>
      </c>
      <c r="P76" s="312">
        <f>'Adjusted Consumption'!P173*P70</f>
        <v>5.4962187842014778</v>
      </c>
      <c r="Q76" s="312">
        <f>'Adjusted Consumption'!Q173*Q70</f>
        <v>4.9965625310922528</v>
      </c>
      <c r="R76" s="312">
        <f>'Adjusted Consumption'!R173*R70</f>
        <v>4.4969062779830278</v>
      </c>
      <c r="S76" s="312">
        <f>'Adjusted Consumption'!S173*S70</f>
        <v>3.9972500248738019</v>
      </c>
      <c r="T76" s="312">
        <f>'Adjusted Consumption'!T173*T70</f>
        <v>3.4975937717645764</v>
      </c>
      <c r="U76" s="312">
        <f>'Adjusted Consumption'!U173*U70</f>
        <v>2.997937518655351</v>
      </c>
      <c r="V76" s="312">
        <f>'Adjusted Consumption'!V173*V70</f>
        <v>2.4982812655461264</v>
      </c>
      <c r="W76" s="274">
        <f>'Adjusted Consumption'!W173*W70</f>
        <v>1.9986250124369009</v>
      </c>
      <c r="X76" s="274">
        <f>'Adjusted Consumption'!X173*X70</f>
        <v>1.4989687593276755</v>
      </c>
      <c r="Y76" s="274">
        <f>'Adjusted Consumption'!Y173*Y70</f>
        <v>0.99931250621845102</v>
      </c>
      <c r="Z76" s="274">
        <f>'Adjusted Consumption'!Z173*Z70</f>
        <v>0.49965625310922551</v>
      </c>
      <c r="AA76" s="274">
        <f>'Adjusted Consumption'!AA173*AA70</f>
        <v>0</v>
      </c>
      <c r="AB76" s="274">
        <f>'Adjusted Consumption'!AB173*AB70</f>
        <v>0</v>
      </c>
      <c r="AC76" s="274">
        <f>'Adjusted Consumption'!AC173*AC70</f>
        <v>0</v>
      </c>
      <c r="AD76" s="274">
        <f>'Adjusted Consumption'!AD173*AD70</f>
        <v>0</v>
      </c>
      <c r="AE76" s="274">
        <f>'Adjusted Consumption'!AE173*AE70</f>
        <v>0</v>
      </c>
      <c r="AF76" s="274">
        <f>'Adjusted Consumption'!AF173*AF70</f>
        <v>0</v>
      </c>
    </row>
    <row r="77" spans="1:32">
      <c r="A77" s="51" t="s">
        <v>394</v>
      </c>
      <c r="B77" s="312">
        <f>'Adjusted Consumption'!B174*B71</f>
        <v>0.5039286131015458</v>
      </c>
      <c r="C77" s="312">
        <f>'Adjusted Consumption'!C174*C71</f>
        <v>0.50782043778087926</v>
      </c>
      <c r="D77" s="312">
        <f>'Adjusted Consumption'!D174*D71</f>
        <v>0.50894350234959229</v>
      </c>
      <c r="E77" s="312">
        <f>'Adjusted Consumption'!E174*E71</f>
        <v>0.50806656870245248</v>
      </c>
      <c r="F77" s="312">
        <f>'Adjusted Consumption'!F174*F71</f>
        <v>0.50436852137567167</v>
      </c>
      <c r="G77" s="312">
        <f>'Adjusted Consumption'!G174*G71</f>
        <v>0.51113734068329131</v>
      </c>
      <c r="H77" s="312">
        <f>'Adjusted Consumption'!H174*H71</f>
        <v>0.51605703298761674</v>
      </c>
      <c r="I77" s="312">
        <f>'Adjusted Consumption'!I174*I71</f>
        <v>0.51861740554502234</v>
      </c>
      <c r="J77" s="312">
        <f>'Adjusted Consumption'!J174*J71</f>
        <v>0.52546073076114275</v>
      </c>
      <c r="K77" s="312">
        <f>'Adjusted Consumption'!K174*K71</f>
        <v>0.52706826780274962</v>
      </c>
      <c r="L77" s="312">
        <f>'Adjusted Consumption'!L174*L71</f>
        <v>0.53004362455352105</v>
      </c>
      <c r="M77" s="312">
        <f>'Adjusted Consumption'!M174*M71</f>
        <v>0.53267108229428106</v>
      </c>
      <c r="N77" s="312">
        <f>'Adjusted Consumption'!N174*N71</f>
        <v>0.52182807937807063</v>
      </c>
      <c r="O77" s="312">
        <f>'Adjusted Consumption'!O174*O71</f>
        <v>0.49011328963036749</v>
      </c>
      <c r="P77" s="312">
        <f>'Adjusted Consumption'!P174*P71</f>
        <v>0.45184507519372835</v>
      </c>
      <c r="Q77" s="312">
        <f>'Adjusted Consumption'!Q174*Q71</f>
        <v>0.41076825017611673</v>
      </c>
      <c r="R77" s="312">
        <f>'Adjusted Consumption'!R174*R71</f>
        <v>0.369691425158505</v>
      </c>
      <c r="S77" s="312">
        <f>'Adjusted Consumption'!S174*S71</f>
        <v>0.32861460014089333</v>
      </c>
      <c r="T77" s="312">
        <f>'Adjusted Consumption'!T174*T71</f>
        <v>0.28753777512328166</v>
      </c>
      <c r="U77" s="312">
        <f>'Adjusted Consumption'!U174*U71</f>
        <v>0.24646095010566998</v>
      </c>
      <c r="V77" s="312">
        <f>'Adjusted Consumption'!V174*V71</f>
        <v>0.20538412508805837</v>
      </c>
      <c r="W77" s="274">
        <f>'Adjusted Consumption'!W174*W71</f>
        <v>0.16430730007044667</v>
      </c>
      <c r="X77" s="274">
        <f>'Adjusted Consumption'!X174*X71</f>
        <v>0.12323047505283499</v>
      </c>
      <c r="Y77" s="274">
        <f>'Adjusted Consumption'!Y174*Y71</f>
        <v>8.2153650035223361E-2</v>
      </c>
      <c r="Z77" s="274">
        <f>'Adjusted Consumption'!Z174*Z71</f>
        <v>4.1076825017611625E-2</v>
      </c>
      <c r="AA77" s="274">
        <f>'Adjusted Consumption'!AA174*AA71</f>
        <v>0</v>
      </c>
      <c r="AB77" s="274">
        <f>'Adjusted Consumption'!AB174*AB71</f>
        <v>0</v>
      </c>
      <c r="AC77" s="274">
        <f>'Adjusted Consumption'!AC174*AC71</f>
        <v>0</v>
      </c>
      <c r="AD77" s="274">
        <f>'Adjusted Consumption'!AD174*AD71</f>
        <v>0</v>
      </c>
      <c r="AE77" s="274">
        <f>'Adjusted Consumption'!AE174*AE71</f>
        <v>0</v>
      </c>
      <c r="AF77" s="274">
        <f>'Adjusted Consumption'!AF174*AF71</f>
        <v>0</v>
      </c>
    </row>
    <row r="78" spans="1:32">
      <c r="A78" s="51" t="s">
        <v>395</v>
      </c>
      <c r="B78" s="312">
        <f>'Adjusted Consumption'!B175*B72</f>
        <v>7.6668825746833313E-2</v>
      </c>
      <c r="C78" s="312">
        <f>'Adjusted Consumption'!C175*C72</f>
        <v>7.7099832810306634E-2</v>
      </c>
      <c r="D78" s="312">
        <f>'Adjusted Consumption'!D175*D72</f>
        <v>7.7103876180230638E-2</v>
      </c>
      <c r="E78" s="312">
        <f>'Adjusted Consumption'!E175*E72</f>
        <v>7.7913695155622339E-2</v>
      </c>
      <c r="F78" s="312">
        <f>'Adjusted Consumption'!F175*F72</f>
        <v>7.8789377347436781E-2</v>
      </c>
      <c r="G78" s="312">
        <f>'Adjusted Consumption'!G175*G72</f>
        <v>7.9523219360647671E-2</v>
      </c>
      <c r="H78" s="312">
        <f>'Adjusted Consumption'!H175*H72</f>
        <v>8.0353195958201354E-2</v>
      </c>
      <c r="I78" s="312">
        <f>'Adjusted Consumption'!I175*I72</f>
        <v>7.8248133167255485E-2</v>
      </c>
      <c r="J78" s="312">
        <f>'Adjusted Consumption'!J175*J72</f>
        <v>7.5043259710940516E-2</v>
      </c>
      <c r="K78" s="312">
        <f>'Adjusted Consumption'!K175*K72</f>
        <v>7.169665698412063E-2</v>
      </c>
      <c r="L78" s="312">
        <f>'Adjusted Consumption'!L175*L72</f>
        <v>6.8238965255594614E-2</v>
      </c>
      <c r="M78" s="312">
        <f>'Adjusted Consumption'!M175*M72</f>
        <v>6.4649995371979921E-2</v>
      </c>
      <c r="N78" s="312">
        <f>'Adjusted Consumption'!N175*N72</f>
        <v>6.0891824802309466E-2</v>
      </c>
      <c r="O78" s="312">
        <f>'Adjusted Consumption'!O175*O72</f>
        <v>5.697247029576355E-2</v>
      </c>
      <c r="P78" s="312">
        <f>'Adjusted Consumption'!P175*P72</f>
        <v>5.250754358778767E-2</v>
      </c>
      <c r="Q78" s="312">
        <f>'Adjusted Consumption'!Q175*Q72</f>
        <v>4.7735311909295711E-2</v>
      </c>
      <c r="R78" s="312">
        <f>'Adjusted Consumption'!R175*R72</f>
        <v>4.2966853979364408E-2</v>
      </c>
      <c r="S78" s="312">
        <f>'Adjusted Consumption'!S175*S72</f>
        <v>3.8272286482940461E-2</v>
      </c>
      <c r="T78" s="312">
        <f>'Adjusted Consumption'!T175*T72</f>
        <v>3.3461529073409206E-2</v>
      </c>
      <c r="U78" s="312">
        <f>'Adjusted Consumption'!U175*U72</f>
        <v>2.8678447372993625E-2</v>
      </c>
      <c r="V78" s="312">
        <f>'Adjusted Consumption'!V175*V72</f>
        <v>2.3902097959020353E-2</v>
      </c>
      <c r="W78" s="274">
        <f>'Adjusted Consumption'!W175*W72</f>
        <v>1.9128711198577199E-2</v>
      </c>
      <c r="X78" s="274">
        <f>'Adjusted Consumption'!X175*X72</f>
        <v>1.4365095493512146E-2</v>
      </c>
      <c r="Y78" s="274">
        <f>'Adjusted Consumption'!Y175*Y72</f>
        <v>9.5735813804783201E-3</v>
      </c>
      <c r="Z78" s="274">
        <f>'Adjusted Consumption'!Z175*Z72</f>
        <v>4.7820881089058629E-3</v>
      </c>
      <c r="AA78" s="274">
        <f>'Adjusted Consumption'!AA175*AA72</f>
        <v>0</v>
      </c>
      <c r="AB78" s="274">
        <f>'Adjusted Consumption'!AB175*AB72</f>
        <v>0</v>
      </c>
      <c r="AC78" s="274">
        <f>'Adjusted Consumption'!AC175*AC72</f>
        <v>0</v>
      </c>
      <c r="AD78" s="274">
        <f>'Adjusted Consumption'!AD175*AD72</f>
        <v>0</v>
      </c>
      <c r="AE78" s="274">
        <f>'Adjusted Consumption'!AE175*AE72</f>
        <v>0</v>
      </c>
      <c r="AF78" s="274">
        <f>'Adjusted Consumption'!AF175*AF72</f>
        <v>0</v>
      </c>
    </row>
    <row r="79" spans="1:32">
      <c r="A79" s="51" t="s">
        <v>396</v>
      </c>
      <c r="B79" s="312">
        <f>'Adjusted Consumption'!B176*parameters!$B146</f>
        <v>3.8406321295787733</v>
      </c>
      <c r="C79" s="312">
        <f>'Adjusted Consumption'!C176*parameters!$B146</f>
        <v>3.8478575019578383</v>
      </c>
      <c r="D79" s="312">
        <f>'Adjusted Consumption'!D176*parameters!$B146</f>
        <v>3.8478575019578383</v>
      </c>
      <c r="E79" s="312">
        <f>'Adjusted Consumption'!E176*parameters!$B146</f>
        <v>3.8579259290483785</v>
      </c>
      <c r="F79" s="312">
        <f>'Adjusted Consumption'!F176*parameters!$B146</f>
        <v>3.8621308025984864</v>
      </c>
      <c r="G79" s="312">
        <f>'Adjusted Consumption'!G176*parameters!$B146</f>
        <v>3.8621308025984864</v>
      </c>
      <c r="H79" s="312">
        <f>'Adjusted Consumption'!H176*parameters!$B146</f>
        <v>3.8657434887880195</v>
      </c>
      <c r="I79" s="312">
        <f>'Adjusted Consumption'!I176*parameters!$B146</f>
        <v>3.8657434887880195</v>
      </c>
      <c r="J79" s="312">
        <f>'Adjusted Consumption'!J176*parameters!$B146</f>
        <v>3.8657434887880195</v>
      </c>
      <c r="K79" s="312">
        <f>'Adjusted Consumption'!K176*parameters!$B146</f>
        <v>3.8679905560111845</v>
      </c>
      <c r="L79" s="312">
        <f>'Adjusted Consumption'!L176*parameters!$B146</f>
        <v>3.8679905560111845</v>
      </c>
      <c r="M79" s="312">
        <f>'Adjusted Consumption'!M176*parameters!$B146</f>
        <v>3.8679905560111845</v>
      </c>
      <c r="N79" s="312">
        <f>'Adjusted Consumption'!N176*parameters!$B146</f>
        <v>3.8679905560111845</v>
      </c>
      <c r="O79" s="312">
        <f>'Adjusted Consumption'!O176*parameters!$B146</f>
        <v>3.8679905560111845</v>
      </c>
      <c r="P79" s="312">
        <f>'Adjusted Consumption'!P176*parameters!$B146</f>
        <v>3.8679905560111845</v>
      </c>
      <c r="Q79" s="312">
        <f>'Adjusted Consumption'!Q176*parameters!$B146</f>
        <v>3.8679905560111845</v>
      </c>
      <c r="R79" s="312">
        <f>'Adjusted Consumption'!R176*parameters!$B146</f>
        <v>3.8679905560111845</v>
      </c>
      <c r="S79" s="312">
        <f>'Adjusted Consumption'!S176*parameters!$B146</f>
        <v>3.8679905560111845</v>
      </c>
      <c r="T79" s="312">
        <f>'Adjusted Consumption'!T176*parameters!$B146</f>
        <v>3.8679905560111845</v>
      </c>
      <c r="U79" s="312">
        <f>'Adjusted Consumption'!U176*parameters!$B146</f>
        <v>3.8679905560111845</v>
      </c>
      <c r="V79" s="312">
        <f>'Adjusted Consumption'!V176*parameters!$B146</f>
        <v>3.8679905560111845</v>
      </c>
      <c r="W79" s="274">
        <f>'Adjusted Consumption'!W176*parameters!$B146</f>
        <v>3.8679905560111845</v>
      </c>
      <c r="X79" s="274">
        <f>'Adjusted Consumption'!X176*parameters!$B146</f>
        <v>3.8679905560111845</v>
      </c>
      <c r="Y79" s="274">
        <f>'Adjusted Consumption'!Y176*parameters!$B146</f>
        <v>3.8679905560111845</v>
      </c>
      <c r="Z79" s="274">
        <f>'Adjusted Consumption'!Z176*parameters!$B146</f>
        <v>3.8679905560111845</v>
      </c>
      <c r="AA79" s="274">
        <f>'Adjusted Consumption'!AA176*parameters!$B146</f>
        <v>3.8679905560111845</v>
      </c>
      <c r="AB79" s="274">
        <f>'Adjusted Consumption'!AB176*parameters!$B146</f>
        <v>3.8679905560111845</v>
      </c>
      <c r="AC79" s="274">
        <f>'Adjusted Consumption'!AC176*parameters!$B146</f>
        <v>3.8679905560111845</v>
      </c>
      <c r="AD79" s="274">
        <f>'Adjusted Consumption'!AD176*parameters!$B146</f>
        <v>3.8679905560111845</v>
      </c>
      <c r="AE79" s="274">
        <f>'Adjusted Consumption'!AE176*parameters!$B146</f>
        <v>3.8679905560111845</v>
      </c>
      <c r="AF79" s="274">
        <f>'Adjusted Consumption'!AF176*parameters!$B146</f>
        <v>3.8679905560111845</v>
      </c>
    </row>
    <row r="80" spans="1:32">
      <c r="A80" s="51" t="s">
        <v>243</v>
      </c>
      <c r="B80" s="312">
        <f>'Adjusted Consumption'!B177*parameters!$B147</f>
        <v>48.165541487410856</v>
      </c>
      <c r="C80" s="312">
        <f>'Adjusted Consumption'!C177*parameters!$B147</f>
        <v>48.632652539770859</v>
      </c>
      <c r="D80" s="312">
        <f>'Adjusted Consumption'!D177*parameters!$B147</f>
        <v>48.94085738199297</v>
      </c>
      <c r="E80" s="312">
        <f>'Adjusted Consumption'!E177*parameters!$B147</f>
        <v>49.444233086804623</v>
      </c>
      <c r="F80" s="312">
        <f>'Adjusted Consumption'!F177*parameters!$B147</f>
        <v>49.899162309435333</v>
      </c>
      <c r="G80" s="312">
        <f>'Adjusted Consumption'!G177*parameters!$B147</f>
        <v>50.26364429082475</v>
      </c>
      <c r="H80" s="312">
        <f>'Adjusted Consumption'!H177*parameters!$B147</f>
        <v>50.717902180818847</v>
      </c>
      <c r="I80" s="312">
        <f>'Adjusted Consumption'!I177*parameters!$B147</f>
        <v>50.74437898865952</v>
      </c>
      <c r="J80" s="312">
        <f>'Adjusted Consumption'!J177*parameters!$B147</f>
        <v>50.764695468836301</v>
      </c>
      <c r="K80" s="312">
        <f>'Adjusted Consumption'!K177*parameters!$B147</f>
        <v>50.845821049885899</v>
      </c>
      <c r="L80" s="312">
        <f>'Adjusted Consumption'!L177*parameters!$B147</f>
        <v>50.871370306844277</v>
      </c>
      <c r="M80" s="312">
        <f>'Adjusted Consumption'!M177*parameters!$B147</f>
        <v>50.897292020320613</v>
      </c>
      <c r="N80" s="312">
        <f>'Adjusted Consumption'!N177*parameters!$B147</f>
        <v>50.970182597586081</v>
      </c>
      <c r="O80" s="312">
        <f>'Adjusted Consumption'!O177*parameters!$B147</f>
        <v>51.11345973812319</v>
      </c>
      <c r="P80" s="312">
        <f>'Adjusted Consumption'!P177*parameters!$B147</f>
        <v>51.256736878660298</v>
      </c>
      <c r="Q80" s="312">
        <f>'Adjusted Consumption'!Q177*parameters!$B147</f>
        <v>51.400014019197407</v>
      </c>
      <c r="R80" s="312">
        <f>'Adjusted Consumption'!R177*parameters!$B147</f>
        <v>51.543291159734508</v>
      </c>
      <c r="S80" s="312">
        <f>'Adjusted Consumption'!S177*parameters!$B147</f>
        <v>51.686568300271617</v>
      </c>
      <c r="T80" s="312">
        <f>'Adjusted Consumption'!T177*parameters!$B147</f>
        <v>51.829845440808725</v>
      </c>
      <c r="U80" s="312">
        <f>'Adjusted Consumption'!U177*parameters!$B147</f>
        <v>51.973122581345827</v>
      </c>
      <c r="V80" s="312">
        <f>'Adjusted Consumption'!V177*parameters!$B147</f>
        <v>52.116399721882942</v>
      </c>
      <c r="W80" s="274">
        <f>'Adjusted Consumption'!W177*parameters!$B147</f>
        <v>52.259676862420044</v>
      </c>
      <c r="X80" s="274">
        <f>'Adjusted Consumption'!X177*parameters!$B147</f>
        <v>52.402954002957152</v>
      </c>
      <c r="Y80" s="274">
        <f>'Adjusted Consumption'!Y177*parameters!$B147</f>
        <v>52.546231143494261</v>
      </c>
      <c r="Z80" s="274">
        <f>'Adjusted Consumption'!Z177*parameters!$B147</f>
        <v>52.689508284031362</v>
      </c>
      <c r="AA80" s="274">
        <f>'Adjusted Consumption'!AA177*parameters!$B147</f>
        <v>52.832785424568478</v>
      </c>
      <c r="AB80" s="274">
        <f>'Adjusted Consumption'!AB177*parameters!$B147</f>
        <v>52.832785424568478</v>
      </c>
      <c r="AC80" s="274">
        <f>'Adjusted Consumption'!AC177*parameters!$B147</f>
        <v>52.832785424568478</v>
      </c>
      <c r="AD80" s="274">
        <f>'Adjusted Consumption'!AD177*parameters!$B147</f>
        <v>52.832785424568478</v>
      </c>
      <c r="AE80" s="274">
        <f>'Adjusted Consumption'!AE177*parameters!$B147</f>
        <v>52.832785424568478</v>
      </c>
      <c r="AF80" s="274">
        <f>'Adjusted Consumption'!AF177*parameters!$B147</f>
        <v>52.832785424568478</v>
      </c>
    </row>
    <row r="81" spans="1:32">
      <c r="A81" s="51" t="s">
        <v>397</v>
      </c>
      <c r="B81" s="312">
        <f>'Adjusted Consumption'!B178*parameters!$B148</f>
        <v>0.78328983248845263</v>
      </c>
      <c r="C81" s="312">
        <f>'Adjusted Consumption'!C178*parameters!$B148</f>
        <v>0.86041426941701526</v>
      </c>
      <c r="D81" s="312">
        <f>'Adjusted Consumption'!D178*parameters!$B148</f>
        <v>1.0735302022661313</v>
      </c>
      <c r="E81" s="312">
        <f>'Adjusted Consumption'!E178*parameters!$B148</f>
        <v>1.0789848367973311</v>
      </c>
      <c r="F81" s="312">
        <f>'Adjusted Consumption'!F178*parameters!$B148</f>
        <v>1.2406267479960209</v>
      </c>
      <c r="G81" s="312">
        <f>'Adjusted Consumption'!G178*parameters!$B148</f>
        <v>1.4926569137470242</v>
      </c>
      <c r="H81" s="312">
        <f>'Adjusted Consumption'!H178*parameters!$B148</f>
        <v>1.5608937106634346</v>
      </c>
      <c r="I81" s="312">
        <f>'Adjusted Consumption'!I178*parameters!$B148</f>
        <v>1.5792017604693664</v>
      </c>
      <c r="J81" s="312">
        <f>'Adjusted Consumption'!J178*parameters!$B148</f>
        <v>1.5932500979123123</v>
      </c>
      <c r="K81" s="312">
        <f>'Adjusted Consumption'!K178*parameters!$B148</f>
        <v>1.4964161486942926</v>
      </c>
      <c r="L81" s="312">
        <f>'Adjusted Consumption'!L178*parameters!$B148</f>
        <v>1.5140828202852659</v>
      </c>
      <c r="M81" s="312">
        <f>'Adjusted Consumption'!M178*parameters!$B148</f>
        <v>1.5320070362343954</v>
      </c>
      <c r="N81" s="312">
        <f>'Adjusted Consumption'!N178*parameters!$B148</f>
        <v>1.5824090456831867</v>
      </c>
      <c r="O81" s="312">
        <f>'Adjusted Consumption'!O178*parameters!$B148</f>
        <v>1.6814816015890885</v>
      </c>
      <c r="P81" s="312">
        <f>'Adjusted Consumption'!P178*parameters!$B148</f>
        <v>1.7805541574949908</v>
      </c>
      <c r="Q81" s="312">
        <f>'Adjusted Consumption'!Q178*parameters!$B148</f>
        <v>1.8796267134008926</v>
      </c>
      <c r="R81" s="312">
        <f>'Adjusted Consumption'!R178*parameters!$B148</f>
        <v>1.9786992693067949</v>
      </c>
      <c r="S81" s="312">
        <f>'Adjusted Consumption'!S178*parameters!$B148</f>
        <v>2.0777718252126967</v>
      </c>
      <c r="T81" s="312">
        <f>'Adjusted Consumption'!T178*parameters!$B148</f>
        <v>2.1768443811185989</v>
      </c>
      <c r="U81" s="312">
        <f>'Adjusted Consumption'!U178*parameters!$B148</f>
        <v>2.2759169370245007</v>
      </c>
      <c r="V81" s="312">
        <f>'Adjusted Consumption'!V178*parameters!$B148</f>
        <v>2.3749894929304025</v>
      </c>
      <c r="W81" s="274">
        <f>'Adjusted Consumption'!W178*parameters!$B148</f>
        <v>2.4740620488363052</v>
      </c>
      <c r="X81" s="274">
        <f>'Adjusted Consumption'!X178*parameters!$B148</f>
        <v>2.573134604742207</v>
      </c>
      <c r="Y81" s="274">
        <f>'Adjusted Consumption'!Y178*parameters!$B148</f>
        <v>2.6722071606481088</v>
      </c>
      <c r="Z81" s="274">
        <f>'Adjusted Consumption'!Z178*parameters!$B148</f>
        <v>2.7712797165540106</v>
      </c>
      <c r="AA81" s="274">
        <f>'Adjusted Consumption'!AA178*parameters!$B148</f>
        <v>2.8703522724599124</v>
      </c>
      <c r="AB81" s="274">
        <f>'Adjusted Consumption'!AB178*parameters!$B148</f>
        <v>2.8703522724599124</v>
      </c>
      <c r="AC81" s="274">
        <f>'Adjusted Consumption'!AC178*parameters!$B148</f>
        <v>2.8703522724599124</v>
      </c>
      <c r="AD81" s="274">
        <f>'Adjusted Consumption'!AD178*parameters!$B148</f>
        <v>2.8703522724599124</v>
      </c>
      <c r="AE81" s="274">
        <f>'Adjusted Consumption'!AE178*parameters!$B148</f>
        <v>2.8703522724599124</v>
      </c>
      <c r="AF81" s="274">
        <f>'Adjusted Consumption'!AF178*parameters!$B148</f>
        <v>2.8703522724599124</v>
      </c>
    </row>
    <row r="82" spans="1:32">
      <c r="A82" s="51" t="s">
        <v>398</v>
      </c>
      <c r="B82" s="312">
        <f>'Adjusted Consumption'!B179*parameters!$B149</f>
        <v>5.2985398621639155E-3</v>
      </c>
      <c r="C82" s="312">
        <f>'Adjusted Consumption'!C179*parameters!$B149</f>
        <v>5.2985398621639155E-3</v>
      </c>
      <c r="D82" s="312">
        <f>'Adjusted Consumption'!D179*parameters!$B149</f>
        <v>5.2985398621639155E-3</v>
      </c>
      <c r="E82" s="312">
        <f>'Adjusted Consumption'!E179*parameters!$B149</f>
        <v>5.2985398621639155E-3</v>
      </c>
      <c r="F82" s="312">
        <f>'Adjusted Consumption'!F179*parameters!$B149</f>
        <v>5.2985398621639155E-3</v>
      </c>
      <c r="G82" s="312">
        <f>'Adjusted Consumption'!G179*parameters!$B149</f>
        <v>5.2985398621639155E-3</v>
      </c>
      <c r="H82" s="312">
        <f>'Adjusted Consumption'!H179*parameters!$B149</f>
        <v>5.2985398621639155E-3</v>
      </c>
      <c r="I82" s="312">
        <f>'Adjusted Consumption'!I179*parameters!$B149</f>
        <v>5.2985398621639155E-3</v>
      </c>
      <c r="J82" s="312">
        <f>'Adjusted Consumption'!J179*parameters!$B149</f>
        <v>5.2985398621639155E-3</v>
      </c>
      <c r="K82" s="312">
        <f>'Adjusted Consumption'!K179*parameters!$B149</f>
        <v>5.2985398621639155E-3</v>
      </c>
      <c r="L82" s="312">
        <f>'Adjusted Consumption'!L179*parameters!$B149</f>
        <v>5.2985398621639155E-3</v>
      </c>
      <c r="M82" s="312">
        <f>'Adjusted Consumption'!M179*parameters!$B149</f>
        <v>5.2985398621639155E-3</v>
      </c>
      <c r="N82" s="312">
        <f>'Adjusted Consumption'!N179*parameters!$B149</f>
        <v>5.2985398621639155E-3</v>
      </c>
      <c r="O82" s="312">
        <f>'Adjusted Consumption'!O179*parameters!$B149</f>
        <v>5.2985398621639155E-3</v>
      </c>
      <c r="P82" s="312">
        <f>'Adjusted Consumption'!P179*parameters!$B149</f>
        <v>5.2985398621639155E-3</v>
      </c>
      <c r="Q82" s="312">
        <f>'Adjusted Consumption'!Q179*parameters!$B149</f>
        <v>5.2985398621639155E-3</v>
      </c>
      <c r="R82" s="312">
        <f>'Adjusted Consumption'!R179*parameters!$B149</f>
        <v>5.2985398621639155E-3</v>
      </c>
      <c r="S82" s="312">
        <f>'Adjusted Consumption'!S179*parameters!$B149</f>
        <v>5.2985398621639155E-3</v>
      </c>
      <c r="T82" s="312">
        <f>'Adjusted Consumption'!T179*parameters!$B149</f>
        <v>5.2985398621639155E-3</v>
      </c>
      <c r="U82" s="312">
        <f>'Adjusted Consumption'!U179*parameters!$B149</f>
        <v>5.2985398621639155E-3</v>
      </c>
      <c r="V82" s="312">
        <f>'Adjusted Consumption'!V179*parameters!$B149</f>
        <v>5.2985398621639155E-3</v>
      </c>
      <c r="W82" s="274">
        <f>'Adjusted Consumption'!W179*parameters!$B149</f>
        <v>5.2985398621639155E-3</v>
      </c>
      <c r="X82" s="274">
        <f>'Adjusted Consumption'!X179*parameters!$B149</f>
        <v>5.2985398621639155E-3</v>
      </c>
      <c r="Y82" s="274">
        <f>'Adjusted Consumption'!Y179*parameters!$B149</f>
        <v>5.2985398621639155E-3</v>
      </c>
      <c r="Z82" s="274">
        <f>'Adjusted Consumption'!Z179*parameters!$B149</f>
        <v>5.2985398621639155E-3</v>
      </c>
      <c r="AA82" s="274">
        <f>'Adjusted Consumption'!AA179*parameters!$B149</f>
        <v>5.2985398621639155E-3</v>
      </c>
      <c r="AB82" s="274">
        <f>'Adjusted Consumption'!AB179*parameters!$B149</f>
        <v>5.2985398621639155E-3</v>
      </c>
      <c r="AC82" s="274">
        <f>'Adjusted Consumption'!AC179*parameters!$B149</f>
        <v>5.2985398621639155E-3</v>
      </c>
      <c r="AD82" s="274">
        <f>'Adjusted Consumption'!AD179*parameters!$B149</f>
        <v>5.2985398621639155E-3</v>
      </c>
      <c r="AE82" s="274">
        <f>'Adjusted Consumption'!AE179*parameters!$B149</f>
        <v>5.2985398621639155E-3</v>
      </c>
      <c r="AF82" s="274">
        <f>'Adjusted Consumption'!AF179*parameters!$B149</f>
        <v>5.2985398621639155E-3</v>
      </c>
    </row>
    <row r="83" spans="1:32">
      <c r="A83" s="51" t="s">
        <v>399</v>
      </c>
      <c r="B83" s="312">
        <f>'Adjusted Consumption'!B180*parameters!$B150</f>
        <v>4.9851425424440592</v>
      </c>
      <c r="C83" s="312">
        <f>'Adjusted Consumption'!C180*parameters!$B150</f>
        <v>5.1300338525251163</v>
      </c>
      <c r="D83" s="312">
        <f>'Adjusted Consumption'!D180*parameters!$B150</f>
        <v>5.530408207779816</v>
      </c>
      <c r="E83" s="312">
        <f>'Adjusted Consumption'!E180*parameters!$B150</f>
        <v>5.5406556620850047</v>
      </c>
      <c r="F83" s="312">
        <f>'Adjusted Consumption'!F180*parameters!$B150</f>
        <v>5.8443273543565155</v>
      </c>
      <c r="G83" s="312">
        <f>'Adjusted Consumption'!G180*parameters!$B150</f>
        <v>6.3178086833603571</v>
      </c>
      <c r="H83" s="312">
        <f>'Adjusted Consumption'!H180*parameters!$B150</f>
        <v>6.4460030572150622</v>
      </c>
      <c r="I83" s="312">
        <f>'Adjusted Consumption'!I180*parameters!$B150</f>
        <v>6.4803978278876544</v>
      </c>
      <c r="J83" s="312">
        <f>'Adjusted Consumption'!J180*parameters!$B150</f>
        <v>6.5067900078196077</v>
      </c>
      <c r="K83" s="312">
        <f>'Adjusted Consumption'!K180*parameters!$B150</f>
        <v>6.3248710425567918</v>
      </c>
      <c r="L83" s="312">
        <f>'Adjusted Consumption'!L180*parameters!$B150</f>
        <v>6.3580608756826908</v>
      </c>
      <c r="M83" s="312">
        <f>'Adjusted Consumption'!M180*parameters!$B150</f>
        <v>6.3917345494814466</v>
      </c>
      <c r="N83" s="312">
        <f>'Adjusted Consumption'!N180*parameters!$B150</f>
        <v>6.4864232560780017</v>
      </c>
      <c r="O83" s="312">
        <f>'Adjusted Consumption'!O180*parameters!$B150</f>
        <v>6.6725478229462336</v>
      </c>
      <c r="P83" s="312">
        <f>'Adjusted Consumption'!P180*parameters!$B150</f>
        <v>6.8586723898144637</v>
      </c>
      <c r="Q83" s="312">
        <f>'Adjusted Consumption'!Q180*parameters!$B150</f>
        <v>7.0447969566826947</v>
      </c>
      <c r="R83" s="312">
        <f>'Adjusted Consumption'!R180*parameters!$B150</f>
        <v>7.2309215235509257</v>
      </c>
      <c r="S83" s="312">
        <f>'Adjusted Consumption'!S180*parameters!$B150</f>
        <v>7.4170460904191557</v>
      </c>
      <c r="T83" s="312">
        <f>'Adjusted Consumption'!T180*parameters!$B150</f>
        <v>7.6031706572873876</v>
      </c>
      <c r="U83" s="312">
        <f>'Adjusted Consumption'!U180*parameters!$B150</f>
        <v>7.7892952241556168</v>
      </c>
      <c r="V83" s="312">
        <f>'Adjusted Consumption'!V180*parameters!$B150</f>
        <v>7.9754197910238487</v>
      </c>
      <c r="W83" s="274">
        <f>'Adjusted Consumption'!W180*parameters!$B150</f>
        <v>8.1615443578920797</v>
      </c>
      <c r="X83" s="274">
        <f>'Adjusted Consumption'!X180*parameters!$B150</f>
        <v>8.3476689247603097</v>
      </c>
      <c r="Y83" s="274">
        <f>'Adjusted Consumption'!Y180*parameters!$B150</f>
        <v>8.5337934916285398</v>
      </c>
      <c r="Z83" s="274">
        <f>'Adjusted Consumption'!Z180*parameters!$B150</f>
        <v>8.7199180584967699</v>
      </c>
      <c r="AA83" s="274">
        <f>'Adjusted Consumption'!AA180*parameters!$B150</f>
        <v>8.9060426253650036</v>
      </c>
      <c r="AB83" s="274">
        <f>'Adjusted Consumption'!AB180*parameters!$B150</f>
        <v>8.9060426253650036</v>
      </c>
      <c r="AC83" s="274">
        <f>'Adjusted Consumption'!AC180*parameters!$B150</f>
        <v>8.9060426253650036</v>
      </c>
      <c r="AD83" s="274">
        <f>'Adjusted Consumption'!AD180*parameters!$B150</f>
        <v>8.9060426253650036</v>
      </c>
      <c r="AE83" s="274">
        <f>'Adjusted Consumption'!AE180*parameters!$B150</f>
        <v>8.9060426253650036</v>
      </c>
      <c r="AF83" s="274">
        <f>'Adjusted Consumption'!AF180*parameters!$B150</f>
        <v>8.9060426253650036</v>
      </c>
    </row>
    <row r="84" spans="1:32">
      <c r="A84" s="51" t="s">
        <v>249</v>
      </c>
      <c r="B84" s="312">
        <f>'Adjusted Consumption'!B181*parameters!$B151</f>
        <v>0.16927918884606213</v>
      </c>
      <c r="C84" s="312">
        <f>'Adjusted Consumption'!C181*parameters!$B151</f>
        <v>0.21387854523038746</v>
      </c>
      <c r="D84" s="312">
        <f>'Adjusted Consumption'!D181*parameters!$B151</f>
        <v>0.33711877645722454</v>
      </c>
      <c r="E84" s="312">
        <f>'Adjusted Consumption'!E181*parameters!$B151</f>
        <v>0.34027307098554072</v>
      </c>
      <c r="F84" s="312">
        <f>'Adjusted Consumption'!F181*parameters!$B151</f>
        <v>0.43754175715171317</v>
      </c>
      <c r="G84" s="312">
        <f>'Adjusted Consumption'!G181*parameters!$B151</f>
        <v>0.58328522873570832</v>
      </c>
      <c r="H84" s="312">
        <f>'Adjusted Consumption'!H181*parameters!$B151</f>
        <v>0.67013901144704568</v>
      </c>
      <c r="I84" s="312">
        <f>'Adjusted Consumption'!I181*parameters!$B151</f>
        <v>0.68072615179470297</v>
      </c>
      <c r="J84" s="312">
        <f>'Adjusted Consumption'!J181*parameters!$B151</f>
        <v>0.68884999468000729</v>
      </c>
      <c r="K84" s="312">
        <f>'Adjusted Consumption'!K181*parameters!$B151</f>
        <v>0.66233179190626112</v>
      </c>
      <c r="L84" s="312">
        <f>'Adjusted Consumption'!L181*parameters!$B151</f>
        <v>0.67254803741532676</v>
      </c>
      <c r="M84" s="312">
        <f>'Adjusted Consumption'!M181*parameters!$B151</f>
        <v>0.68291321513150638</v>
      </c>
      <c r="N84" s="312">
        <f>'Adjusted Consumption'!N181*parameters!$B151</f>
        <v>0.71205958263075853</v>
      </c>
      <c r="O84" s="312">
        <f>'Adjusted Consumption'!O181*parameters!$B151</f>
        <v>0.76935105086988587</v>
      </c>
      <c r="P84" s="312">
        <f>'Adjusted Consumption'!P181*parameters!$B151</f>
        <v>0.8266425191090131</v>
      </c>
      <c r="Q84" s="312">
        <f>'Adjusted Consumption'!Q181*parameters!$B151</f>
        <v>0.88393398734814033</v>
      </c>
      <c r="R84" s="312">
        <f>'Adjusted Consumption'!R181*parameters!$B151</f>
        <v>0.94122545558726756</v>
      </c>
      <c r="S84" s="312">
        <f>'Adjusted Consumption'!S181*parameters!$B151</f>
        <v>0.99851692382639479</v>
      </c>
      <c r="T84" s="312">
        <f>'Adjusted Consumption'!T181*parameters!$B151</f>
        <v>1.0558083920655223</v>
      </c>
      <c r="U84" s="312">
        <f>'Adjusted Consumption'!U181*parameters!$B151</f>
        <v>1.1130998603046496</v>
      </c>
      <c r="V84" s="312">
        <f>'Adjusted Consumption'!V181*parameters!$B151</f>
        <v>1.1703913285437768</v>
      </c>
      <c r="W84" s="274">
        <f>'Adjusted Consumption'!W181*parameters!$B151</f>
        <v>1.227682796782904</v>
      </c>
      <c r="X84" s="274">
        <f>'Adjusted Consumption'!X181*parameters!$B151</f>
        <v>1.2849742650220313</v>
      </c>
      <c r="Y84" s="274">
        <f>'Adjusted Consumption'!Y181*parameters!$B151</f>
        <v>1.3422657332611585</v>
      </c>
      <c r="Z84" s="274">
        <f>'Adjusted Consumption'!Z181*parameters!$B151</f>
        <v>1.3995572015002862</v>
      </c>
      <c r="AA84" s="274">
        <f>'Adjusted Consumption'!AA181*parameters!$B151</f>
        <v>1.4568486697394132</v>
      </c>
      <c r="AB84" s="274">
        <f>'Adjusted Consumption'!AB181*parameters!$B151</f>
        <v>1.4568486697394132</v>
      </c>
      <c r="AC84" s="274">
        <f>'Adjusted Consumption'!AC181*parameters!$B151</f>
        <v>1.4568486697394132</v>
      </c>
      <c r="AD84" s="274">
        <f>'Adjusted Consumption'!AD181*parameters!$B151</f>
        <v>1.4568486697394132</v>
      </c>
      <c r="AE84" s="274">
        <f>'Adjusted Consumption'!AE181*parameters!$B151</f>
        <v>1.4568486697394132</v>
      </c>
      <c r="AF84" s="274">
        <f>'Adjusted Consumption'!AF181*parameters!$B151</f>
        <v>1.4568486697394132</v>
      </c>
    </row>
    <row r="85" spans="1:32">
      <c r="A85" s="51" t="s">
        <v>354</v>
      </c>
      <c r="B85" s="312">
        <f>'Adjusted Consumption'!B182*parameters!$B152</f>
        <v>5.9787330794253135E-2</v>
      </c>
      <c r="C85" s="312">
        <f>'Adjusted Consumption'!C182*parameters!$B152</f>
        <v>5.9787330794253135E-2</v>
      </c>
      <c r="D85" s="312">
        <f>'Adjusted Consumption'!D182*parameters!$B152</f>
        <v>5.9787330794253135E-2</v>
      </c>
      <c r="E85" s="312">
        <f>'Adjusted Consumption'!E182*parameters!$B152</f>
        <v>5.9787330794253135E-2</v>
      </c>
      <c r="F85" s="312">
        <f>'Adjusted Consumption'!F182*parameters!$B152</f>
        <v>5.9787330794253135E-2</v>
      </c>
      <c r="G85" s="312">
        <f>'Adjusted Consumption'!G182*parameters!$B152</f>
        <v>5.9787330794253135E-2</v>
      </c>
      <c r="H85" s="312">
        <f>'Adjusted Consumption'!H182*parameters!$B152</f>
        <v>5.9787330794253135E-2</v>
      </c>
      <c r="I85" s="312">
        <f>'Adjusted Consumption'!I182*parameters!$B152</f>
        <v>5.9787330794253135E-2</v>
      </c>
      <c r="J85" s="312">
        <f>'Adjusted Consumption'!J182*parameters!$B152</f>
        <v>5.9787330794253135E-2</v>
      </c>
      <c r="K85" s="312">
        <f>'Adjusted Consumption'!K182*parameters!$B152</f>
        <v>5.9787330794253135E-2</v>
      </c>
      <c r="L85" s="312">
        <f>'Adjusted Consumption'!L182*parameters!$B152</f>
        <v>5.9787330794253135E-2</v>
      </c>
      <c r="M85" s="312">
        <f>'Adjusted Consumption'!M182*parameters!$B152</f>
        <v>5.9787330794253135E-2</v>
      </c>
      <c r="N85" s="312">
        <f>'Adjusted Consumption'!N182*parameters!$B152</f>
        <v>5.9787330794253135E-2</v>
      </c>
      <c r="O85" s="312">
        <f>'Adjusted Consumption'!O182*parameters!$B152</f>
        <v>5.9787330794253135E-2</v>
      </c>
      <c r="P85" s="312">
        <f>'Adjusted Consumption'!P182*parameters!$B152</f>
        <v>5.9787330794253135E-2</v>
      </c>
      <c r="Q85" s="312">
        <f>'Adjusted Consumption'!Q182*parameters!$B152</f>
        <v>5.9787330794253135E-2</v>
      </c>
      <c r="R85" s="312">
        <f>'Adjusted Consumption'!R182*parameters!$B152</f>
        <v>5.9787330794253135E-2</v>
      </c>
      <c r="S85" s="312">
        <f>'Adjusted Consumption'!S182*parameters!$B152</f>
        <v>5.9787330794253135E-2</v>
      </c>
      <c r="T85" s="312">
        <f>'Adjusted Consumption'!T182*parameters!$B152</f>
        <v>5.9787330794253135E-2</v>
      </c>
      <c r="U85" s="312">
        <f>'Adjusted Consumption'!U182*parameters!$B152</f>
        <v>5.9787330794253135E-2</v>
      </c>
      <c r="V85" s="312">
        <f>'Adjusted Consumption'!V182*parameters!$B152</f>
        <v>5.9787330794253135E-2</v>
      </c>
      <c r="W85" s="274">
        <f>'Adjusted Consumption'!W182*parameters!$B152</f>
        <v>5.9787330794253135E-2</v>
      </c>
      <c r="X85" s="274">
        <f>'Adjusted Consumption'!X182*parameters!$B152</f>
        <v>5.9787330794253135E-2</v>
      </c>
      <c r="Y85" s="274">
        <f>'Adjusted Consumption'!Y182*parameters!$B152</f>
        <v>5.9787330794253135E-2</v>
      </c>
      <c r="Z85" s="274">
        <f>'Adjusted Consumption'!Z182*parameters!$B152</f>
        <v>5.9787330794253135E-2</v>
      </c>
      <c r="AA85" s="274">
        <f>'Adjusted Consumption'!AA182*parameters!$B152</f>
        <v>5.9787330794253135E-2</v>
      </c>
      <c r="AB85" s="274">
        <f>'Adjusted Consumption'!AB182*parameters!$B152</f>
        <v>5.9787330794253135E-2</v>
      </c>
      <c r="AC85" s="274">
        <f>'Adjusted Consumption'!AC182*parameters!$B152</f>
        <v>5.9787330794253135E-2</v>
      </c>
      <c r="AD85" s="274">
        <f>'Adjusted Consumption'!AD182*parameters!$B152</f>
        <v>5.9787330794253135E-2</v>
      </c>
      <c r="AE85" s="274">
        <f>'Adjusted Consumption'!AE182*parameters!$B152</f>
        <v>5.9787330794253135E-2</v>
      </c>
      <c r="AF85" s="274">
        <f>'Adjusted Consumption'!AF182*parameters!$B152</f>
        <v>5.9787330794253135E-2</v>
      </c>
    </row>
    <row r="86" spans="1:32">
      <c r="A86" s="51" t="s">
        <v>353</v>
      </c>
      <c r="B86" s="312">
        <f>'Adjusted Consumption'!B183*parameters!$B153</f>
        <v>0.20365361623646105</v>
      </c>
      <c r="C86" s="312">
        <f>'Adjusted Consumption'!C183*parameters!$B153</f>
        <v>0.20365361623646105</v>
      </c>
      <c r="D86" s="312">
        <f>'Adjusted Consumption'!D183*parameters!$B153</f>
        <v>0.20365361623646105</v>
      </c>
      <c r="E86" s="312">
        <f>'Adjusted Consumption'!E183*parameters!$B153</f>
        <v>0.20365361623646105</v>
      </c>
      <c r="F86" s="312">
        <f>'Adjusted Consumption'!F183*parameters!$B153</f>
        <v>0.20365361623646105</v>
      </c>
      <c r="G86" s="312">
        <f>'Adjusted Consumption'!G183*parameters!$B153</f>
        <v>0.20365361623646105</v>
      </c>
      <c r="H86" s="312">
        <f>'Adjusted Consumption'!H183*parameters!$B153</f>
        <v>0.20365361623646105</v>
      </c>
      <c r="I86" s="312">
        <f>'Adjusted Consumption'!I183*parameters!$B153</f>
        <v>0.20365361623646105</v>
      </c>
      <c r="J86" s="312">
        <f>'Adjusted Consumption'!J183*parameters!$B153</f>
        <v>0.20365361623646105</v>
      </c>
      <c r="K86" s="312">
        <f>'Adjusted Consumption'!K183*parameters!$B153</f>
        <v>0.20365361623646105</v>
      </c>
      <c r="L86" s="312">
        <f>'Adjusted Consumption'!L183*parameters!$B153</f>
        <v>0.20365361623646105</v>
      </c>
      <c r="M86" s="312">
        <f>'Adjusted Consumption'!M183*parameters!$B153</f>
        <v>0.20365361623646105</v>
      </c>
      <c r="N86" s="312">
        <f>'Adjusted Consumption'!N183*parameters!$B153</f>
        <v>0.20365361623646105</v>
      </c>
      <c r="O86" s="312">
        <f>'Adjusted Consumption'!O183*parameters!$B153</f>
        <v>0.20365361623646105</v>
      </c>
      <c r="P86" s="312">
        <f>'Adjusted Consumption'!P183*parameters!$B153</f>
        <v>0.20365361623646105</v>
      </c>
      <c r="Q86" s="312">
        <f>'Adjusted Consumption'!Q183*parameters!$B153</f>
        <v>0.20365361623646105</v>
      </c>
      <c r="R86" s="312">
        <f>'Adjusted Consumption'!R183*parameters!$B153</f>
        <v>0.20365361623646105</v>
      </c>
      <c r="S86" s="312">
        <f>'Adjusted Consumption'!S183*parameters!$B153</f>
        <v>0.20365361623646105</v>
      </c>
      <c r="T86" s="312">
        <f>'Adjusted Consumption'!T183*parameters!$B153</f>
        <v>0.20365361623646105</v>
      </c>
      <c r="U86" s="312">
        <f>'Adjusted Consumption'!U183*parameters!$B153</f>
        <v>0.20365361623646105</v>
      </c>
      <c r="V86" s="312">
        <f>'Adjusted Consumption'!V183*parameters!$B153</f>
        <v>0.20365361623646105</v>
      </c>
      <c r="W86" s="274">
        <f>'Adjusted Consumption'!W183*parameters!$B153</f>
        <v>0.20365361623646105</v>
      </c>
      <c r="X86" s="274">
        <f>'Adjusted Consumption'!X183*parameters!$B153</f>
        <v>0.20365361623646105</v>
      </c>
      <c r="Y86" s="274">
        <f>'Adjusted Consumption'!Y183*parameters!$B153</f>
        <v>0.20365361623646105</v>
      </c>
      <c r="Z86" s="274">
        <f>'Adjusted Consumption'!Z183*parameters!$B153</f>
        <v>0.20365361623646105</v>
      </c>
      <c r="AA86" s="274">
        <f>'Adjusted Consumption'!AA183*parameters!$B153</f>
        <v>0.20365361623646105</v>
      </c>
      <c r="AB86" s="274">
        <f>'Adjusted Consumption'!AB183*parameters!$B153</f>
        <v>0.20365361623646105</v>
      </c>
      <c r="AC86" s="274">
        <f>'Adjusted Consumption'!AC183*parameters!$B153</f>
        <v>0.20365361623646105</v>
      </c>
      <c r="AD86" s="274">
        <f>'Adjusted Consumption'!AD183*parameters!$B153</f>
        <v>0.20365361623646105</v>
      </c>
      <c r="AE86" s="274">
        <f>'Adjusted Consumption'!AE183*parameters!$B153</f>
        <v>0.20365361623646105</v>
      </c>
      <c r="AF86" s="274">
        <f>'Adjusted Consumption'!AF183*parameters!$B153</f>
        <v>0.20365361623646105</v>
      </c>
    </row>
    <row r="87" spans="1:32">
      <c r="A87" s="51" t="s">
        <v>355</v>
      </c>
      <c r="B87" s="312">
        <f>'Adjusted Consumption'!B184*parameters!$B154</f>
        <v>4.8768525709777168E-2</v>
      </c>
      <c r="C87" s="312">
        <f>'Adjusted Consumption'!C184*parameters!$B154</f>
        <v>4.8768525709777168E-2</v>
      </c>
      <c r="D87" s="312">
        <f>'Adjusted Consumption'!D184*parameters!$B154</f>
        <v>4.8768525709777168E-2</v>
      </c>
      <c r="E87" s="312">
        <f>'Adjusted Consumption'!E184*parameters!$B154</f>
        <v>4.8768525709788152E-2</v>
      </c>
      <c r="F87" s="312">
        <f>'Adjusted Consumption'!F184*parameters!$B154</f>
        <v>4.8768525709777168E-2</v>
      </c>
      <c r="G87" s="312">
        <f>'Adjusted Consumption'!G184*parameters!$B154</f>
        <v>4.8768525709777168E-2</v>
      </c>
      <c r="H87" s="312">
        <f>'Adjusted Consumption'!H184*parameters!$B154</f>
        <v>4.8768525709777168E-2</v>
      </c>
      <c r="I87" s="312">
        <f>'Adjusted Consumption'!I184*parameters!$B154</f>
        <v>4.8768525709777168E-2</v>
      </c>
      <c r="J87" s="312">
        <f>'Adjusted Consumption'!J184*parameters!$B154</f>
        <v>4.8768525709777168E-2</v>
      </c>
      <c r="K87" s="312">
        <f>'Adjusted Consumption'!K184*parameters!$B154</f>
        <v>4.8768525709777168E-2</v>
      </c>
      <c r="L87" s="312">
        <f>'Adjusted Consumption'!L184*parameters!$B154</f>
        <v>4.8768525709777168E-2</v>
      </c>
      <c r="M87" s="312">
        <f>'Adjusted Consumption'!M184*parameters!$B154</f>
        <v>4.8768525709777168E-2</v>
      </c>
      <c r="N87" s="312">
        <f>'Adjusted Consumption'!N184*parameters!$B154</f>
        <v>4.8768525709777168E-2</v>
      </c>
      <c r="O87" s="312">
        <f>'Adjusted Consumption'!O184*parameters!$B154</f>
        <v>4.8768525709777168E-2</v>
      </c>
      <c r="P87" s="312">
        <f>'Adjusted Consumption'!P184*parameters!$B154</f>
        <v>4.8768525709777168E-2</v>
      </c>
      <c r="Q87" s="312">
        <f>'Adjusted Consumption'!Q184*parameters!$B154</f>
        <v>4.8768525709777168E-2</v>
      </c>
      <c r="R87" s="312">
        <f>'Adjusted Consumption'!R184*parameters!$B154</f>
        <v>4.8768525709777168E-2</v>
      </c>
      <c r="S87" s="312">
        <f>'Adjusted Consumption'!S184*parameters!$B154</f>
        <v>4.8768525709777168E-2</v>
      </c>
      <c r="T87" s="312">
        <f>'Adjusted Consumption'!T184*parameters!$B154</f>
        <v>4.8768525709777168E-2</v>
      </c>
      <c r="U87" s="312">
        <f>'Adjusted Consumption'!U184*parameters!$B154</f>
        <v>4.8768525709777168E-2</v>
      </c>
      <c r="V87" s="312">
        <f>'Adjusted Consumption'!V184*parameters!$B154</f>
        <v>4.8768525709777168E-2</v>
      </c>
      <c r="W87" s="274">
        <f>'Adjusted Consumption'!W184*parameters!$B154</f>
        <v>4.8768525709777168E-2</v>
      </c>
      <c r="X87" s="274">
        <f>'Adjusted Consumption'!X184*parameters!$B154</f>
        <v>4.8768525709777168E-2</v>
      </c>
      <c r="Y87" s="274">
        <f>'Adjusted Consumption'!Y184*parameters!$B154</f>
        <v>4.8768525709777168E-2</v>
      </c>
      <c r="Z87" s="274">
        <f>'Adjusted Consumption'!Z184*parameters!$B154</f>
        <v>4.8768525709777168E-2</v>
      </c>
      <c r="AA87" s="274">
        <f>'Adjusted Consumption'!AA184*parameters!$B154</f>
        <v>4.8768525709777168E-2</v>
      </c>
      <c r="AB87" s="274">
        <f>'Adjusted Consumption'!AB184*parameters!$B154</f>
        <v>4.8768525709777168E-2</v>
      </c>
      <c r="AC87" s="274">
        <f>'Adjusted Consumption'!AC184*parameters!$B154</f>
        <v>4.8768525709777168E-2</v>
      </c>
      <c r="AD87" s="274">
        <f>'Adjusted Consumption'!AD184*parameters!$B154</f>
        <v>4.8768525709777168E-2</v>
      </c>
      <c r="AE87" s="274">
        <f>'Adjusted Consumption'!AE184*parameters!$B154</f>
        <v>4.8768525709777168E-2</v>
      </c>
      <c r="AF87" s="274">
        <f>'Adjusted Consumption'!AF184*parameters!$B154</f>
        <v>4.8768525709777168E-2</v>
      </c>
    </row>
    <row r="88" spans="1:32">
      <c r="A88" s="84" t="s">
        <v>1151</v>
      </c>
      <c r="B88" s="312">
        <f t="shared" ref="B88:V88" si="3">SUM(B75:B87)</f>
        <v>74.558040212572195</v>
      </c>
      <c r="C88" s="312">
        <f t="shared" si="3"/>
        <v>73.980499010054544</v>
      </c>
      <c r="D88" s="312">
        <f t="shared" si="3"/>
        <v>73.577249231156728</v>
      </c>
      <c r="E88" s="312">
        <f t="shared" si="3"/>
        <v>72.870703770098288</v>
      </c>
      <c r="F88" s="312">
        <f t="shared" si="3"/>
        <v>72.063513397559731</v>
      </c>
      <c r="G88" s="312">
        <f t="shared" si="3"/>
        <v>71.123563634172555</v>
      </c>
      <c r="H88" s="312">
        <f t="shared" si="3"/>
        <v>70.10752882392508</v>
      </c>
      <c r="I88" s="312">
        <f t="shared" si="3"/>
        <v>70.227186619667293</v>
      </c>
      <c r="J88" s="312">
        <f t="shared" si="3"/>
        <v>70.378381253830284</v>
      </c>
      <c r="K88" s="312">
        <f t="shared" si="3"/>
        <v>70.524933111743678</v>
      </c>
      <c r="L88" s="312">
        <f t="shared" si="3"/>
        <v>70.647264860750639</v>
      </c>
      <c r="M88" s="312">
        <f t="shared" si="3"/>
        <v>70.766148381816649</v>
      </c>
      <c r="N88" s="312">
        <f t="shared" si="3"/>
        <v>70.866781174649034</v>
      </c>
      <c r="O88" s="312">
        <f t="shared" si="3"/>
        <v>70.931135793869117</v>
      </c>
      <c r="P88" s="312">
        <f t="shared" si="3"/>
        <v>70.908675916675605</v>
      </c>
      <c r="Q88" s="312">
        <f t="shared" si="3"/>
        <v>70.848936338420643</v>
      </c>
      <c r="R88" s="312">
        <f t="shared" si="3"/>
        <v>70.78920053391424</v>
      </c>
      <c r="S88" s="312">
        <f t="shared" si="3"/>
        <v>70.729538619841335</v>
      </c>
      <c r="T88" s="312">
        <f t="shared" si="3"/>
        <v>70.669760515855359</v>
      </c>
      <c r="U88" s="312">
        <f t="shared" si="3"/>
        <v>70.610010087578445</v>
      </c>
      <c r="V88" s="312">
        <f t="shared" si="3"/>
        <v>70.550266391588011</v>
      </c>
      <c r="W88" s="274">
        <f t="shared" ref="W88" si="4">SUM(W75:W87)</f>
        <v>70.490525658251102</v>
      </c>
      <c r="X88" s="274">
        <f t="shared" ref="X88:AF88" si="5">SUM(X75:X87)</f>
        <v>70.430794695969567</v>
      </c>
      <c r="Y88" s="274">
        <f t="shared" si="5"/>
        <v>70.371035835280054</v>
      </c>
      <c r="Z88" s="274">
        <f t="shared" si="5"/>
        <v>70.31127699543201</v>
      </c>
      <c r="AA88" s="274">
        <f t="shared" si="5"/>
        <v>70.251527560746652</v>
      </c>
      <c r="AB88" s="274">
        <f t="shared" si="5"/>
        <v>70.251527560746652</v>
      </c>
      <c r="AC88" s="274">
        <f t="shared" si="5"/>
        <v>70.251527560746652</v>
      </c>
      <c r="AD88" s="274">
        <f t="shared" si="5"/>
        <v>70.251527560746652</v>
      </c>
      <c r="AE88" s="274">
        <f t="shared" si="5"/>
        <v>70.251527560746652</v>
      </c>
      <c r="AF88" s="274">
        <f t="shared" si="5"/>
        <v>70.251527560746652</v>
      </c>
    </row>
    <row r="89" spans="1:32">
      <c r="A89" s="40"/>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row>
    <row r="90" spans="1:32">
      <c r="A90" s="84" t="s">
        <v>1071</v>
      </c>
      <c r="B90" s="274">
        <f t="shared" ref="B90:AF90" si="6">(B88-B66)/MWhTOmmBtu</f>
        <v>0.38610444943036759</v>
      </c>
      <c r="C90" s="274">
        <f t="shared" si="6"/>
        <v>0.40253776008813519</v>
      </c>
      <c r="D90" s="274">
        <f t="shared" si="6"/>
        <v>0.28443598109343726</v>
      </c>
      <c r="E90" s="274">
        <f t="shared" si="6"/>
        <v>0.33610984965937629</v>
      </c>
      <c r="F90" s="274">
        <f t="shared" si="6"/>
        <v>0.21536938777847239</v>
      </c>
      <c r="G90" s="274">
        <f>(G88-G66)/MWhTOmmBtu</f>
        <v>-5.9918399173546778E-2</v>
      </c>
      <c r="H90" s="274">
        <f t="shared" si="6"/>
        <v>-0.16896839785160916</v>
      </c>
      <c r="I90" s="274">
        <f t="shared" si="6"/>
        <v>-0.13392362092360838</v>
      </c>
      <c r="J90" s="274">
        <f t="shared" si="6"/>
        <v>-8.9642492443122432E-2</v>
      </c>
      <c r="K90" s="274">
        <f t="shared" si="6"/>
        <v>7.0537836258785583E-2</v>
      </c>
      <c r="L90" s="274">
        <f t="shared" si="6"/>
        <v>0.10636574724919912</v>
      </c>
      <c r="M90" s="274">
        <f t="shared" si="6"/>
        <v>0.14118375848140685</v>
      </c>
      <c r="N90" s="274">
        <f t="shared" si="6"/>
        <v>0.17065658768219177</v>
      </c>
      <c r="O90" s="274">
        <f t="shared" si="6"/>
        <v>0.18950444678627357</v>
      </c>
      <c r="P90" s="274">
        <f t="shared" si="6"/>
        <v>0.18292651025322373</v>
      </c>
      <c r="Q90" s="274">
        <f t="shared" si="6"/>
        <v>0.16543028127180157</v>
      </c>
      <c r="R90" s="274">
        <f t="shared" si="6"/>
        <v>0.14793515752698888</v>
      </c>
      <c r="S90" s="274">
        <f t="shared" si="6"/>
        <v>0.13046167444288692</v>
      </c>
      <c r="T90" s="274">
        <f t="shared" si="6"/>
        <v>0.11295416223799397</v>
      </c>
      <c r="U90" s="274">
        <f t="shared" si="6"/>
        <v>9.5454755556392878E-2</v>
      </c>
      <c r="V90" s="274">
        <f t="shared" si="6"/>
        <v>7.7957320593194435E-2</v>
      </c>
      <c r="W90" s="274">
        <f t="shared" si="6"/>
        <v>6.0460753317147183E-2</v>
      </c>
      <c r="X90" s="274">
        <f t="shared" si="6"/>
        <v>4.2967047738942762E-2</v>
      </c>
      <c r="Y90" s="274">
        <f t="shared" si="6"/>
        <v>2.5465171414501653E-2</v>
      </c>
      <c r="Z90" s="274">
        <f t="shared" si="6"/>
        <v>7.963301194005774E-3</v>
      </c>
      <c r="AA90" s="274">
        <f t="shared" si="6"/>
        <v>-9.535814489468445E-3</v>
      </c>
      <c r="AB90" s="274">
        <f t="shared" si="6"/>
        <v>-9.535814489468445E-3</v>
      </c>
      <c r="AC90" s="274">
        <f t="shared" si="6"/>
        <v>-9.535814489468445E-3</v>
      </c>
      <c r="AD90" s="274">
        <f t="shared" si="6"/>
        <v>-9.535814489468445E-3</v>
      </c>
      <c r="AE90" s="274">
        <f t="shared" si="6"/>
        <v>-9.535814489468445E-3</v>
      </c>
      <c r="AF90" s="274">
        <f t="shared" si="6"/>
        <v>-9.535814489468445E-3</v>
      </c>
    </row>
    <row r="91" spans="1:32" ht="14.5">
      <c r="A91" s="40"/>
      <c r="B91" s="6"/>
      <c r="C91" s="6"/>
      <c r="D91" s="6"/>
      <c r="E91" s="6"/>
      <c r="F91" s="6"/>
      <c r="G91" s="6"/>
      <c r="H91" s="6"/>
      <c r="I91" s="6"/>
      <c r="J91" s="6"/>
      <c r="K91" s="6"/>
      <c r="L91" s="6"/>
      <c r="M91" s="6"/>
      <c r="N91" s="6"/>
      <c r="O91" s="6"/>
      <c r="P91" s="6"/>
      <c r="Q91" s="6"/>
      <c r="R91" s="2"/>
    </row>
    <row r="92" spans="1:32" ht="14.5">
      <c r="A92" s="40"/>
      <c r="B92" s="6"/>
      <c r="C92" s="6"/>
      <c r="D92" s="6"/>
      <c r="E92" s="6"/>
      <c r="F92" s="6"/>
      <c r="G92" s="6"/>
      <c r="H92" s="6"/>
      <c r="I92" s="6"/>
      <c r="J92" s="6"/>
      <c r="K92" s="6"/>
      <c r="L92" s="6"/>
      <c r="M92" s="6"/>
      <c r="N92" s="6"/>
      <c r="O92" s="6"/>
      <c r="P92" s="6"/>
      <c r="Q92" s="6"/>
      <c r="R92" s="2"/>
    </row>
    <row r="93" spans="1:32" ht="14.5">
      <c r="A93" s="40"/>
      <c r="B93" s="6"/>
      <c r="C93" s="6"/>
      <c r="D93" s="6"/>
      <c r="E93" s="6"/>
      <c r="F93" s="6"/>
      <c r="G93" s="6"/>
      <c r="H93" s="6"/>
      <c r="I93" s="6"/>
      <c r="J93" s="6"/>
      <c r="K93" s="6"/>
      <c r="L93" s="6"/>
      <c r="M93" s="6"/>
      <c r="N93" s="6"/>
      <c r="O93" s="6"/>
      <c r="P93" s="6"/>
      <c r="Q93" s="6"/>
      <c r="R93" s="2"/>
    </row>
    <row r="94" spans="1:32" ht="14.5">
      <c r="A94" s="40"/>
      <c r="B94" s="6"/>
      <c r="C94" s="6"/>
      <c r="D94" s="6"/>
      <c r="E94" s="6"/>
      <c r="F94" s="6"/>
      <c r="G94" s="6"/>
      <c r="H94" s="6"/>
      <c r="I94" s="6"/>
      <c r="J94" s="6"/>
      <c r="K94" s="6"/>
      <c r="L94" s="6"/>
      <c r="M94" s="6"/>
      <c r="N94" s="6"/>
      <c r="O94" s="6"/>
      <c r="P94" s="6"/>
      <c r="Q94" s="6"/>
      <c r="R94" s="3"/>
    </row>
    <row r="95" spans="1:32" ht="14.5">
      <c r="B95" s="6"/>
      <c r="C95" s="6"/>
      <c r="D95" s="6"/>
      <c r="E95" s="6"/>
      <c r="F95" s="6"/>
      <c r="G95" s="6"/>
      <c r="H95" s="6"/>
      <c r="I95" s="6"/>
      <c r="J95" s="6"/>
      <c r="K95" s="6"/>
      <c r="L95" s="6"/>
      <c r="M95" s="6"/>
      <c r="N95" s="6"/>
      <c r="O95" s="6"/>
      <c r="P95" s="6"/>
      <c r="Q95" s="6"/>
      <c r="R95" s="2"/>
    </row>
    <row r="96" spans="1:32" ht="14.5">
      <c r="B96" s="3"/>
      <c r="C96" s="3"/>
      <c r="D96" s="3"/>
      <c r="E96" s="3"/>
      <c r="F96" s="3"/>
      <c r="G96" s="3"/>
      <c r="H96" s="3"/>
      <c r="I96" s="3"/>
      <c r="J96" s="3"/>
      <c r="K96" s="3"/>
      <c r="L96" s="3"/>
      <c r="M96" s="3"/>
      <c r="N96" s="3"/>
      <c r="O96" s="6"/>
      <c r="P96" s="6"/>
      <c r="Q96" s="6"/>
      <c r="R96" s="3"/>
    </row>
    <row r="97" spans="1:18" ht="14.5">
      <c r="B97" s="6"/>
      <c r="C97" s="6"/>
      <c r="D97" s="6"/>
      <c r="E97" s="6"/>
      <c r="F97" s="6"/>
      <c r="G97" s="6"/>
      <c r="H97" s="6"/>
      <c r="I97" s="6"/>
      <c r="J97" s="6"/>
      <c r="K97" s="6"/>
      <c r="L97" s="6"/>
      <c r="M97" s="6"/>
      <c r="N97" s="6"/>
      <c r="O97" s="6"/>
      <c r="P97" s="6"/>
      <c r="Q97" s="6"/>
      <c r="R97" s="2"/>
    </row>
    <row r="99" spans="1:18" ht="14.5">
      <c r="A99" s="9"/>
    </row>
    <row r="100" spans="1:18" ht="14.5">
      <c r="A100" s="9"/>
    </row>
    <row r="101" spans="1:18" ht="14.5">
      <c r="B101" s="6"/>
      <c r="C101" s="6"/>
      <c r="D101" s="6"/>
      <c r="E101" s="6"/>
      <c r="F101" s="6"/>
      <c r="G101" s="6"/>
      <c r="H101" s="6"/>
      <c r="I101" s="6"/>
      <c r="J101" s="6"/>
      <c r="K101" s="6"/>
      <c r="L101" s="6"/>
      <c r="M101" s="6"/>
      <c r="N101" s="6"/>
      <c r="O101" s="6"/>
      <c r="P101" s="6"/>
      <c r="Q101" s="6"/>
      <c r="R101" s="2"/>
    </row>
    <row r="102" spans="1:18" ht="14.5">
      <c r="B102" s="6"/>
      <c r="C102" s="6"/>
      <c r="D102" s="6"/>
      <c r="E102" s="6"/>
      <c r="F102" s="6"/>
      <c r="G102" s="6"/>
      <c r="H102" s="6"/>
      <c r="I102" s="6"/>
      <c r="J102" s="6"/>
      <c r="K102" s="6"/>
      <c r="L102" s="6"/>
      <c r="M102" s="6"/>
      <c r="N102" s="6"/>
      <c r="O102" s="6"/>
      <c r="P102" s="6"/>
      <c r="Q102" s="6"/>
      <c r="R102" s="2"/>
    </row>
    <row r="103" spans="1:18" ht="14.5">
      <c r="B103" s="6"/>
      <c r="C103" s="6"/>
      <c r="D103" s="6"/>
      <c r="E103" s="6"/>
      <c r="F103" s="6"/>
      <c r="G103" s="6"/>
      <c r="H103" s="6"/>
      <c r="I103" s="6"/>
      <c r="J103" s="6"/>
      <c r="K103" s="6"/>
      <c r="L103" s="6"/>
      <c r="M103" s="6"/>
      <c r="N103" s="6"/>
      <c r="O103" s="6"/>
      <c r="P103" s="6"/>
      <c r="Q103" s="6"/>
      <c r="R103" s="2"/>
    </row>
    <row r="104" spans="1:18" ht="14.5">
      <c r="B104" s="6"/>
      <c r="C104" s="6"/>
      <c r="D104" s="6"/>
      <c r="E104" s="6"/>
      <c r="F104" s="6"/>
      <c r="G104" s="6"/>
      <c r="H104" s="6"/>
      <c r="I104" s="6"/>
      <c r="J104" s="6"/>
      <c r="K104" s="6"/>
      <c r="L104" s="6"/>
      <c r="M104" s="6"/>
      <c r="N104" s="6"/>
      <c r="O104" s="6"/>
      <c r="P104" s="6"/>
      <c r="Q104" s="6"/>
      <c r="R104" s="2"/>
    </row>
    <row r="105" spans="1:18" ht="14.5">
      <c r="B105" s="6"/>
      <c r="C105" s="6"/>
      <c r="D105" s="6"/>
      <c r="E105" s="6"/>
      <c r="F105" s="6"/>
      <c r="G105" s="6"/>
      <c r="H105" s="6"/>
      <c r="I105" s="6"/>
      <c r="J105" s="6"/>
      <c r="K105" s="6"/>
      <c r="L105" s="6"/>
      <c r="M105" s="6"/>
      <c r="N105" s="6"/>
      <c r="O105" s="6"/>
      <c r="P105" s="6"/>
      <c r="Q105" s="6"/>
      <c r="R105" s="2"/>
    </row>
    <row r="106" spans="1:18" ht="14.5">
      <c r="B106" s="6"/>
      <c r="C106" s="6"/>
      <c r="D106" s="6"/>
      <c r="E106" s="6"/>
      <c r="F106" s="6"/>
      <c r="G106" s="6"/>
      <c r="H106" s="6"/>
      <c r="I106" s="6"/>
      <c r="J106" s="6"/>
      <c r="K106" s="6"/>
      <c r="L106" s="6"/>
      <c r="M106" s="6"/>
      <c r="N106" s="6"/>
      <c r="O106" s="6"/>
      <c r="P106" s="6"/>
      <c r="Q106" s="6"/>
      <c r="R106" s="2"/>
    </row>
    <row r="107" spans="1:18" ht="14.5">
      <c r="A107" s="9"/>
      <c r="B107" s="10"/>
      <c r="C107" s="10"/>
      <c r="D107" s="10"/>
      <c r="E107" s="10"/>
      <c r="F107" s="10"/>
      <c r="G107" s="10"/>
      <c r="H107" s="10"/>
      <c r="I107" s="10"/>
      <c r="J107" s="10"/>
      <c r="K107" s="10"/>
      <c r="L107" s="10"/>
      <c r="M107" s="10"/>
      <c r="N107" s="10"/>
      <c r="O107" s="10"/>
      <c r="P107" s="10"/>
      <c r="Q107" s="10"/>
      <c r="R107" s="8"/>
    </row>
  </sheetData>
  <phoneticPr fontId="7"/>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F7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33203125" defaultRowHeight="12"/>
  <cols>
    <col min="1" max="1" width="29.109375" style="40" customWidth="1"/>
    <col min="2" max="16384" width="9.33203125" style="40"/>
  </cols>
  <sheetData>
    <row r="1" spans="1:32" s="280" customFormat="1" ht="26.15" customHeight="1">
      <c r="A1" s="281" t="s">
        <v>330</v>
      </c>
    </row>
    <row r="2" spans="1:32" s="280" customFormat="1" ht="12.9" customHeight="1">
      <c r="A2" s="43" t="s">
        <v>359</v>
      </c>
    </row>
    <row r="3" spans="1:32" s="280" customFormat="1" ht="12.9" customHeight="1">
      <c r="A3" s="43" t="s">
        <v>360</v>
      </c>
    </row>
    <row r="4" spans="1:32" s="280" customFormat="1" ht="12.9" customHeight="1">
      <c r="A4" s="43" t="s">
        <v>357</v>
      </c>
      <c r="B4" s="280" t="str">
        <f>'Baseline Price'!B4</f>
        <v>2018 dollars per million Btu</v>
      </c>
    </row>
    <row r="5" spans="1:32" s="280" customFormat="1" ht="12.9" customHeight="1">
      <c r="A5"/>
    </row>
    <row r="6" spans="1:32" s="5" customFormat="1" ht="13">
      <c r="A6" s="250" t="str">
        <f>'Price Change'!A6</f>
        <v xml:space="preserve"> Residential</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1"/>
    </row>
    <row r="7" spans="1:32" s="280" customFormat="1" ht="12.9" customHeight="1">
      <c r="A7" s="253" t="s">
        <v>6</v>
      </c>
      <c r="B7" s="253">
        <v>2020</v>
      </c>
      <c r="C7" s="253">
        <v>2021</v>
      </c>
      <c r="D7" s="253">
        <v>2022</v>
      </c>
      <c r="E7" s="253">
        <v>2023</v>
      </c>
      <c r="F7" s="253">
        <v>2024</v>
      </c>
      <c r="G7" s="253">
        <v>2025</v>
      </c>
      <c r="H7" s="253">
        <v>2026</v>
      </c>
      <c r="I7" s="253">
        <v>2027</v>
      </c>
      <c r="J7" s="253">
        <v>2028</v>
      </c>
      <c r="K7" s="253">
        <v>2029</v>
      </c>
      <c r="L7" s="253">
        <v>2030</v>
      </c>
      <c r="M7" s="253">
        <v>2031</v>
      </c>
      <c r="N7" s="253">
        <v>2032</v>
      </c>
      <c r="O7" s="253">
        <v>2033</v>
      </c>
      <c r="P7" s="253">
        <v>2034</v>
      </c>
      <c r="Q7" s="253">
        <v>2035</v>
      </c>
      <c r="R7" s="253">
        <v>2036</v>
      </c>
      <c r="S7" s="253">
        <v>2037</v>
      </c>
      <c r="T7" s="253">
        <v>2038</v>
      </c>
      <c r="U7" s="253">
        <v>2039</v>
      </c>
      <c r="V7" s="253">
        <v>2040</v>
      </c>
      <c r="W7" s="253">
        <v>2041</v>
      </c>
      <c r="X7" s="253">
        <v>2042</v>
      </c>
      <c r="Y7" s="253">
        <v>2043</v>
      </c>
      <c r="Z7" s="253">
        <v>2044</v>
      </c>
      <c r="AA7" s="253">
        <v>2045</v>
      </c>
      <c r="AB7" s="253">
        <v>2046</v>
      </c>
      <c r="AC7" s="253">
        <v>2047</v>
      </c>
      <c r="AD7" s="253">
        <v>2048</v>
      </c>
      <c r="AE7" s="253">
        <v>2049</v>
      </c>
      <c r="AF7" s="253">
        <v>2050</v>
      </c>
    </row>
    <row r="8" spans="1:32">
      <c r="A8" s="40" t="str">
        <f>'Price Change'!A8</f>
        <v xml:space="preserve">   Liquefied Petroleum Gases</v>
      </c>
      <c r="B8" s="274">
        <f>'Baseline Price'!Q8*(1+'Price Change'!B8)</f>
        <v>29.210639</v>
      </c>
      <c r="C8" s="274">
        <f>'Baseline Price'!R8*(1+'Price Change'!C8)</f>
        <v>30.767444000000001</v>
      </c>
      <c r="D8" s="274">
        <f>'Baseline Price'!S8*(1+'Price Change'!D8)</f>
        <v>32.264550000000007</v>
      </c>
      <c r="E8" s="274">
        <f>'Baseline Price'!T8*(1+'Price Change'!E8)</f>
        <v>33.518635999999994</v>
      </c>
      <c r="F8" s="274">
        <f>'Baseline Price'!U8*(1+'Price Change'!F8)</f>
        <v>34.787563999999996</v>
      </c>
      <c r="G8" s="274">
        <f>'Baseline Price'!V8*(1+'Price Change'!G8)</f>
        <v>36.061601000000003</v>
      </c>
      <c r="H8" s="274">
        <f>'Baseline Price'!W8*(1+'Price Change'!H8)</f>
        <v>37.212448999999999</v>
      </c>
      <c r="I8" s="274">
        <f>'Baseline Price'!X8*(1+'Price Change'!I8)</f>
        <v>38.181008000000006</v>
      </c>
      <c r="J8" s="274">
        <f>'Baseline Price'!Y8*(1+'Price Change'!J8)</f>
        <v>38.980854999999998</v>
      </c>
      <c r="K8" s="274">
        <f>'Baseline Price'!Z8*(1+'Price Change'!K8)</f>
        <v>41.947609999999997</v>
      </c>
      <c r="L8" s="274">
        <f>'Baseline Price'!AA8*(1+'Price Change'!L8)</f>
        <v>42.412945000000001</v>
      </c>
      <c r="M8" s="274">
        <f>'Baseline Price'!AB8*(1+'Price Change'!M8)</f>
        <v>43.133576000000005</v>
      </c>
      <c r="N8" s="274">
        <f>'Baseline Price'!AC8*(1+'Price Change'!N8)</f>
        <v>43.592334999999999</v>
      </c>
      <c r="O8" s="274">
        <f>'Baseline Price'!AD8*(1+'Price Change'!O8)</f>
        <v>44.103339999999996</v>
      </c>
      <c r="P8" s="274">
        <f>'Baseline Price'!AE8*(1+'Price Change'!P8)</f>
        <v>44.499155000000002</v>
      </c>
      <c r="Q8" s="274">
        <f>'Baseline Price'!AF8*(1+'Price Change'!Q8)</f>
        <v>44.812093000000004</v>
      </c>
      <c r="R8" s="274">
        <f>'Baseline Price'!AG8*(1+'Price Change'!R8)</f>
        <v>45.134217999999997</v>
      </c>
      <c r="S8" s="274">
        <f>'Baseline Price'!AH8*(1+'Price Change'!S8)</f>
        <v>45.397904999999994</v>
      </c>
      <c r="T8" s="274">
        <f>'Baseline Price'!AI8*(1+'Price Change'!T8)</f>
        <v>45.608765999999996</v>
      </c>
      <c r="U8" s="274">
        <f>'Baseline Price'!AJ8*(1+'Price Change'!U8)</f>
        <v>45.801434999999998</v>
      </c>
      <c r="V8" s="274">
        <f>'Baseline Price'!AK8*(1+'Price Change'!V8)</f>
        <v>45.975911999999994</v>
      </c>
      <c r="W8" s="274">
        <f>'Baseline Price'!AL8*(1+'Price Change'!W8)</f>
        <v>46.097059000000002</v>
      </c>
      <c r="X8" s="274">
        <f>'Baseline Price'!AM8*(1+'Price Change'!X8)</f>
        <v>46.227213000000006</v>
      </c>
      <c r="Y8" s="274">
        <f>'Baseline Price'!AN8*(1+'Price Change'!Y8)</f>
        <v>46.364655999999997</v>
      </c>
      <c r="Z8" s="274">
        <f>'Baseline Price'!AO8*(1+'Price Change'!Z8)</f>
        <v>46.497380999999997</v>
      </c>
      <c r="AA8" s="274">
        <f>'Baseline Price'!AP8*(1+'Price Change'!AA8)</f>
        <v>46.595277000000003</v>
      </c>
      <c r="AB8" s="274">
        <f>'Baseline Price'!AQ8*(1+'Price Change'!AB8)</f>
        <v>46.652115999999999</v>
      </c>
      <c r="AC8" s="274">
        <f>'Baseline Price'!AR8*(1+'Price Change'!AC8)</f>
        <v>46.681356000000001</v>
      </c>
      <c r="AD8" s="274">
        <f>'Baseline Price'!AS8*(1+'Price Change'!AD8)</f>
        <v>46.692365000000002</v>
      </c>
      <c r="AE8" s="274">
        <f>'Baseline Price'!AT8*(1+'Price Change'!AE8)</f>
        <v>46.650365999999998</v>
      </c>
      <c r="AF8" s="274">
        <f>'Baseline Price'!AU8*(1+'Price Change'!AF8)</f>
        <v>46.542074</v>
      </c>
    </row>
    <row r="9" spans="1:32">
      <c r="A9" s="40" t="str">
        <f>'Price Change'!A9</f>
        <v xml:space="preserve">   Distillate Fuel Oil</v>
      </c>
      <c r="B9" s="274">
        <f>'Baseline Price'!Q9*(1+'Price Change'!B9)</f>
        <v>23.975464999999996</v>
      </c>
      <c r="C9" s="274">
        <f>'Baseline Price'!R9*(1+'Price Change'!C9)</f>
        <v>24.505239</v>
      </c>
      <c r="D9" s="274">
        <f>'Baseline Price'!S9*(1+'Price Change'!D9)</f>
        <v>24.775321000000002</v>
      </c>
      <c r="E9" s="274">
        <f>'Baseline Price'!T9*(1+'Price Change'!E9)</f>
        <v>25.548178999999998</v>
      </c>
      <c r="F9" s="274">
        <f>'Baseline Price'!U9*(1+'Price Change'!F9)</f>
        <v>26.628412000000001</v>
      </c>
      <c r="G9" s="274">
        <f>'Baseline Price'!V9*(1+'Price Change'!G9)</f>
        <v>27.209318000000003</v>
      </c>
      <c r="H9" s="274">
        <f>'Baseline Price'!W9*(1+'Price Change'!H9)</f>
        <v>27.908853000000001</v>
      </c>
      <c r="I9" s="274">
        <f>'Baseline Price'!X9*(1+'Price Change'!I9)</f>
        <v>28.772639999999999</v>
      </c>
      <c r="J9" s="274">
        <f>'Baseline Price'!Y9*(1+'Price Change'!J9)</f>
        <v>29.184791000000001</v>
      </c>
      <c r="K9" s="274">
        <f>'Baseline Price'!Z9*(1+'Price Change'!K9)</f>
        <v>30.115558</v>
      </c>
      <c r="L9" s="274">
        <f>'Baseline Price'!AA9*(1+'Price Change'!L9)</f>
        <v>30.432865999999997</v>
      </c>
      <c r="M9" s="274">
        <f>'Baseline Price'!AB9*(1+'Price Change'!M9)</f>
        <v>30.890331000000003</v>
      </c>
      <c r="N9" s="274">
        <f>'Baseline Price'!AC9*(1+'Price Change'!N9)</f>
        <v>31.435438999999999</v>
      </c>
      <c r="O9" s="274">
        <f>'Baseline Price'!AD9*(1+'Price Change'!O9)</f>
        <v>31.915213999999999</v>
      </c>
      <c r="P9" s="274">
        <f>'Baseline Price'!AE9*(1+'Price Change'!P9)</f>
        <v>32.041026000000002</v>
      </c>
      <c r="Q9" s="274">
        <f>'Baseline Price'!AF9*(1+'Price Change'!Q9)</f>
        <v>32.279597000000003</v>
      </c>
      <c r="R9" s="274">
        <f>'Baseline Price'!AG9*(1+'Price Change'!R9)</f>
        <v>32.623868000000002</v>
      </c>
      <c r="S9" s="274">
        <f>'Baseline Price'!AH9*(1+'Price Change'!S9)</f>
        <v>32.584899</v>
      </c>
      <c r="T9" s="274">
        <f>'Baseline Price'!AI9*(1+'Price Change'!T9)</f>
        <v>32.759318</v>
      </c>
      <c r="U9" s="274">
        <f>'Baseline Price'!AJ9*(1+'Price Change'!U9)</f>
        <v>32.937348</v>
      </c>
      <c r="V9" s="274">
        <f>'Baseline Price'!AK9*(1+'Price Change'!V9)</f>
        <v>33.045068000000001</v>
      </c>
      <c r="W9" s="274">
        <f>'Baseline Price'!AL9*(1+'Price Change'!W9)</f>
        <v>33.130752999999999</v>
      </c>
      <c r="X9" s="274">
        <f>'Baseline Price'!AM9*(1+'Price Change'!X9)</f>
        <v>33.405892000000001</v>
      </c>
      <c r="Y9" s="274">
        <f>'Baseline Price'!AN9*(1+'Price Change'!Y9)</f>
        <v>33.455466000000001</v>
      </c>
      <c r="Z9" s="274">
        <f>'Baseline Price'!AO9*(1+'Price Change'!Z9)</f>
        <v>33.423546999999999</v>
      </c>
      <c r="AA9" s="274">
        <f>'Baseline Price'!AP9*(1+'Price Change'!AA9)</f>
        <v>33.490316999999997</v>
      </c>
      <c r="AB9" s="274">
        <f>'Baseline Price'!AQ9*(1+'Price Change'!AB9)</f>
        <v>33.511674000000006</v>
      </c>
      <c r="AC9" s="274">
        <f>'Baseline Price'!AR9*(1+'Price Change'!AC9)</f>
        <v>33.524987000000003</v>
      </c>
      <c r="AD9" s="274">
        <f>'Baseline Price'!AS9*(1+'Price Change'!AD9)</f>
        <v>33.586507000000005</v>
      </c>
      <c r="AE9" s="274">
        <f>'Baseline Price'!AT9*(1+'Price Change'!AE9)</f>
        <v>33.532403000000002</v>
      </c>
      <c r="AF9" s="274">
        <f>'Baseline Price'!AU9*(1+'Price Change'!AF9)</f>
        <v>33.510002999999998</v>
      </c>
    </row>
    <row r="10" spans="1:32">
      <c r="A10" s="40" t="str">
        <f>'Price Change'!A10</f>
        <v xml:space="preserve">   Natural Gas</v>
      </c>
      <c r="B10" s="274">
        <f>'Baseline Price'!Q10*(1+'Price Change'!B10)</f>
        <v>12.501961666666668</v>
      </c>
      <c r="C10" s="274">
        <f>'Baseline Price'!R10*(1+'Price Change'!C10)</f>
        <v>12.320581666666667</v>
      </c>
      <c r="D10" s="274">
        <f>'Baseline Price'!S10*(1+'Price Change'!D10)</f>
        <v>12.229123666666668</v>
      </c>
      <c r="E10" s="274">
        <f>'Baseline Price'!T10*(1+'Price Change'!E10)</f>
        <v>12.217710666666667</v>
      </c>
      <c r="F10" s="274">
        <f>'Baseline Price'!U10*(1+'Price Change'!F10)</f>
        <v>12.197016666666668</v>
      </c>
      <c r="G10" s="274">
        <f>'Baseline Price'!V10*(1+'Price Change'!G10)</f>
        <v>12.575342666666669</v>
      </c>
      <c r="H10" s="274">
        <f>'Baseline Price'!W10*(1+'Price Change'!H10)</f>
        <v>12.865448666666667</v>
      </c>
      <c r="I10" s="274">
        <f>'Baseline Price'!X10*(1+'Price Change'!I10)</f>
        <v>13.068241666666665</v>
      </c>
      <c r="J10" s="274">
        <f>'Baseline Price'!Y10*(1+'Price Change'!J10)</f>
        <v>13.309280666666668</v>
      </c>
      <c r="K10" s="274">
        <f>'Baseline Price'!Z10*(1+'Price Change'!K10)</f>
        <v>15.672057666666669</v>
      </c>
      <c r="L10" s="274">
        <f>'Baseline Price'!AA10*(1+'Price Change'!L10)</f>
        <v>15.891549666666668</v>
      </c>
      <c r="M10" s="274">
        <f>'Baseline Price'!AB10*(1+'Price Change'!M10)</f>
        <v>16.390783666666668</v>
      </c>
      <c r="N10" s="274">
        <f>'Baseline Price'!AC10*(1+'Price Change'!N10)</f>
        <v>16.662075666666667</v>
      </c>
      <c r="O10" s="274">
        <f>'Baseline Price'!AD10*(1+'Price Change'!O10)</f>
        <v>16.914619666666667</v>
      </c>
      <c r="P10" s="274">
        <f>'Baseline Price'!AE10*(1+'Price Change'!P10)</f>
        <v>17.033394333333334</v>
      </c>
      <c r="Q10" s="274">
        <f>'Baseline Price'!AF10*(1+'Price Change'!Q10)</f>
        <v>17.096385333333334</v>
      </c>
      <c r="R10" s="274">
        <f>'Baseline Price'!AG10*(1+'Price Change'!R10)</f>
        <v>17.162601333333335</v>
      </c>
      <c r="S10" s="274">
        <f>'Baseline Price'!AH10*(1+'Price Change'!S10)</f>
        <v>17.220242333333335</v>
      </c>
      <c r="T10" s="274">
        <f>'Baseline Price'!AI10*(1+'Price Change'!T10)</f>
        <v>17.252379333333334</v>
      </c>
      <c r="U10" s="274">
        <f>'Baseline Price'!AJ10*(1+'Price Change'!U10)</f>
        <v>17.290711333333338</v>
      </c>
      <c r="V10" s="274">
        <f>'Baseline Price'!AK10*(1+'Price Change'!V10)</f>
        <v>17.359552333333333</v>
      </c>
      <c r="W10" s="274">
        <f>'Baseline Price'!AL10*(1+'Price Change'!W10)</f>
        <v>17.388035333333331</v>
      </c>
      <c r="X10" s="274">
        <f>'Baseline Price'!AM10*(1+'Price Change'!X10)</f>
        <v>17.440166333333334</v>
      </c>
      <c r="Y10" s="274">
        <f>'Baseline Price'!AN10*(1+'Price Change'!Y10)</f>
        <v>17.514632333333335</v>
      </c>
      <c r="Z10" s="274">
        <f>'Baseline Price'!AO10*(1+'Price Change'!Z10)</f>
        <v>17.601509333333336</v>
      </c>
      <c r="AA10" s="274">
        <f>'Baseline Price'!AP10*(1+'Price Change'!AA10)</f>
        <v>17.701489333333335</v>
      </c>
      <c r="AB10" s="274">
        <f>'Baseline Price'!AQ10*(1+'Price Change'!AB10)</f>
        <v>17.784142333333335</v>
      </c>
      <c r="AC10" s="274">
        <f>'Baseline Price'!AR10*(1+'Price Change'!AC10)</f>
        <v>17.887579333333335</v>
      </c>
      <c r="AD10" s="274">
        <f>'Baseline Price'!AS10*(1+'Price Change'!AD10)</f>
        <v>18.013111333333335</v>
      </c>
      <c r="AE10" s="274">
        <f>'Baseline Price'!AT10*(1+'Price Change'!AE10)</f>
        <v>18.135205333333335</v>
      </c>
      <c r="AF10" s="274">
        <f>'Baseline Price'!AU10*(1+'Price Change'!AF10)</f>
        <v>18.231641333333336</v>
      </c>
    </row>
    <row r="11" spans="1:32">
      <c r="A11" s="40" t="str">
        <f>'Price Change'!A11</f>
        <v xml:space="preserve">   Electricity</v>
      </c>
      <c r="B11" s="274">
        <f>'Baseline Price'!Q11+'Price Change'!B90</f>
        <v>26.986448345744051</v>
      </c>
      <c r="C11" s="274">
        <f>'Baseline Price'!R11+'Price Change'!C90</f>
        <v>26.025208897948129</v>
      </c>
      <c r="D11" s="274">
        <f>'Baseline Price'!S11+'Price Change'!D90</f>
        <v>26.505736502401547</v>
      </c>
      <c r="E11" s="274">
        <f>'Baseline Price'!T11+'Price Change'!E90</f>
        <v>27.560520671914958</v>
      </c>
      <c r="F11" s="274">
        <f>'Baseline Price'!U11+'Price Change'!F90</f>
        <v>27.781960234042753</v>
      </c>
      <c r="G11" s="274">
        <f>'Baseline Price'!V11+'Price Change'!G90</f>
        <v>28.420188035555956</v>
      </c>
      <c r="H11" s="274">
        <f>'Baseline Price'!W11+'Price Change'!H90</f>
        <v>29.389675492973339</v>
      </c>
      <c r="I11" s="274">
        <f>'Baseline Price'!X11+'Price Change'!I90</f>
        <v>29.855608297365695</v>
      </c>
      <c r="J11" s="274">
        <f>'Baseline Price'!Y11+'Price Change'!J90</f>
        <v>30.260710744851234</v>
      </c>
      <c r="K11" s="274">
        <f>'Baseline Price'!Z11+'Price Change'!K90</f>
        <v>30.961180691839996</v>
      </c>
      <c r="L11" s="274">
        <f>'Baseline Price'!AA11+'Price Change'!L90</f>
        <v>31.577271855519843</v>
      </c>
      <c r="M11" s="274">
        <f>'Baseline Price'!AB11+'Price Change'!M90</f>
        <v>32.230481607585091</v>
      </c>
      <c r="N11" s="274">
        <f>'Baseline Price'!AC11+'Price Change'!N90</f>
        <v>32.824892587302962</v>
      </c>
      <c r="O11" s="274">
        <f>'Baseline Price'!AD11+'Price Change'!O90</f>
        <v>33.184260209790629</v>
      </c>
      <c r="P11" s="274">
        <f>'Baseline Price'!AE11+'Price Change'!P90</f>
        <v>33.510075725603848</v>
      </c>
      <c r="Q11" s="274">
        <f>'Baseline Price'!AF11+'Price Change'!Q90</f>
        <v>33.851271229931811</v>
      </c>
      <c r="R11" s="274">
        <f>'Baseline Price'!AG11+'Price Change'!R90</f>
        <v>34.373937726727334</v>
      </c>
      <c r="S11" s="274">
        <f>'Baseline Price'!AH11+'Price Change'!S90</f>
        <v>34.763377118326417</v>
      </c>
      <c r="T11" s="274">
        <f>'Baseline Price'!AI11+'Price Change'!T90</f>
        <v>34.953328601014832</v>
      </c>
      <c r="U11" s="274">
        <f>'Baseline Price'!AJ11+'Price Change'!U90</f>
        <v>35.113801094839317</v>
      </c>
      <c r="V11" s="274">
        <f>'Baseline Price'!AK11+'Price Change'!V90</f>
        <v>35.236982458497259</v>
      </c>
      <c r="W11" s="274">
        <f>'Baseline Price'!AL11+'Price Change'!W90</f>
        <v>35.51674488966848</v>
      </c>
      <c r="X11" s="274">
        <f>'Baseline Price'!AM11+'Price Change'!X90</f>
        <v>35.822259371718495</v>
      </c>
      <c r="Y11" s="274">
        <f>'Baseline Price'!AN11+'Price Change'!Y90</f>
        <v>35.976209549333603</v>
      </c>
      <c r="Z11" s="274">
        <f>'Baseline Price'!AO11+'Price Change'!Z90</f>
        <v>36.178111893654787</v>
      </c>
      <c r="AA11" s="274">
        <f>'Baseline Price'!AP11+'Price Change'!AA90</f>
        <v>36.47387582315941</v>
      </c>
      <c r="AB11" s="274">
        <f>'Baseline Price'!AQ11+'Price Change'!AB90</f>
        <v>36.788002698549846</v>
      </c>
      <c r="AC11" s="274">
        <f>'Baseline Price'!AR11+'Price Change'!AC90</f>
        <v>37.027119802748338</v>
      </c>
      <c r="AD11" s="274">
        <f>'Baseline Price'!AS11+'Price Change'!AD90</f>
        <v>37.266651817516461</v>
      </c>
      <c r="AE11" s="274">
        <f>'Baseline Price'!AT11+'Price Change'!AE90</f>
        <v>37.45448078119756</v>
      </c>
      <c r="AF11" s="274">
        <f>'Baseline Price'!AU11+'Price Change'!AF90</f>
        <v>37.569592802885197</v>
      </c>
    </row>
    <row r="12" spans="1:32">
      <c r="A12" s="37"/>
      <c r="B12" s="274"/>
      <c r="C12" s="274"/>
      <c r="D12" s="274"/>
      <c r="E12" s="274"/>
      <c r="F12" s="274"/>
      <c r="G12" s="274"/>
      <c r="H12" s="274"/>
      <c r="I12" s="274"/>
      <c r="J12" s="274"/>
      <c r="K12" s="274"/>
      <c r="L12" s="274">
        <f>L11-'Baseline Price'!AA11</f>
        <v>0.10636574724919967</v>
      </c>
      <c r="M12" s="274"/>
      <c r="N12" s="274"/>
      <c r="O12" s="274"/>
      <c r="P12" s="274"/>
      <c r="Q12" s="274"/>
      <c r="R12" s="274"/>
      <c r="S12" s="274"/>
      <c r="T12" s="274"/>
      <c r="U12" s="274"/>
      <c r="V12" s="274"/>
      <c r="W12" s="274"/>
      <c r="X12" s="274"/>
      <c r="Y12" s="274"/>
      <c r="Z12" s="274"/>
      <c r="AA12" s="274"/>
      <c r="AB12" s="274"/>
      <c r="AC12" s="274"/>
      <c r="AD12" s="274"/>
      <c r="AE12" s="274"/>
      <c r="AF12" s="274"/>
    </row>
    <row r="13" spans="1:32" s="5" customFormat="1" ht="13">
      <c r="A13" s="250" t="str">
        <f>'Price Change'!A13</f>
        <v xml:space="preserve"> Commercial</v>
      </c>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1"/>
    </row>
    <row r="14" spans="1:32" s="396" customFormat="1" ht="12.9" customHeight="1">
      <c r="A14" s="253" t="s">
        <v>6</v>
      </c>
      <c r="B14" s="253">
        <v>2020</v>
      </c>
      <c r="C14" s="253">
        <v>2021</v>
      </c>
      <c r="D14" s="253">
        <v>2022</v>
      </c>
      <c r="E14" s="253">
        <v>2023</v>
      </c>
      <c r="F14" s="253">
        <v>2024</v>
      </c>
      <c r="G14" s="253">
        <v>2025</v>
      </c>
      <c r="H14" s="253">
        <v>2026</v>
      </c>
      <c r="I14" s="253">
        <v>2027</v>
      </c>
      <c r="J14" s="253">
        <v>2028</v>
      </c>
      <c r="K14" s="253">
        <v>2029</v>
      </c>
      <c r="L14" s="253">
        <v>2030</v>
      </c>
      <c r="M14" s="253">
        <v>2031</v>
      </c>
      <c r="N14" s="253">
        <v>2032</v>
      </c>
      <c r="O14" s="253">
        <v>2033</v>
      </c>
      <c r="P14" s="253">
        <v>2034</v>
      </c>
      <c r="Q14" s="253">
        <v>2035</v>
      </c>
      <c r="R14" s="253">
        <v>2036</v>
      </c>
      <c r="S14" s="253">
        <v>2037</v>
      </c>
      <c r="T14" s="253">
        <v>2038</v>
      </c>
      <c r="U14" s="253">
        <v>2039</v>
      </c>
      <c r="V14" s="253">
        <v>2040</v>
      </c>
      <c r="W14" s="253">
        <v>2041</v>
      </c>
      <c r="X14" s="253">
        <v>2042</v>
      </c>
      <c r="Y14" s="253">
        <v>2043</v>
      </c>
      <c r="Z14" s="253">
        <v>2044</v>
      </c>
      <c r="AA14" s="253">
        <v>2045</v>
      </c>
      <c r="AB14" s="253">
        <v>2046</v>
      </c>
      <c r="AC14" s="253">
        <v>2047</v>
      </c>
      <c r="AD14" s="253">
        <v>2048</v>
      </c>
      <c r="AE14" s="253">
        <v>2049</v>
      </c>
      <c r="AF14" s="253">
        <v>2050</v>
      </c>
    </row>
    <row r="15" spans="1:32">
      <c r="A15" s="40" t="str">
        <f>'Price Change'!A15</f>
        <v xml:space="preserve">   Liquefied Petroleum Gases</v>
      </c>
      <c r="B15" s="274">
        <f>'Baseline Price'!Q15*(1+'Price Change'!B15)</f>
        <v>21.347124999999998</v>
      </c>
      <c r="C15" s="274">
        <f>'Baseline Price'!R15*(1+'Price Change'!C15)</f>
        <v>21.867206000000003</v>
      </c>
      <c r="D15" s="274">
        <f>'Baseline Price'!S15*(1+'Price Change'!D15)</f>
        <v>22.626699000000002</v>
      </c>
      <c r="E15" s="274">
        <f>'Baseline Price'!T15*(1+'Price Change'!E15)</f>
        <v>23.222358000000003</v>
      </c>
      <c r="F15" s="274">
        <f>'Baseline Price'!U15*(1+'Price Change'!F15)</f>
        <v>23.956906</v>
      </c>
      <c r="G15" s="274">
        <f>'Baseline Price'!V15*(1+'Price Change'!G15)</f>
        <v>24.721100999999997</v>
      </c>
      <c r="H15" s="274">
        <f>'Baseline Price'!W15*(1+'Price Change'!H15)</f>
        <v>25.356753000000001</v>
      </c>
      <c r="I15" s="274">
        <f>'Baseline Price'!X15*(1+'Price Change'!I15)</f>
        <v>25.850657000000002</v>
      </c>
      <c r="J15" s="274">
        <f>'Baseline Price'!Y15*(1+'Price Change'!J15)</f>
        <v>26.251702000000002</v>
      </c>
      <c r="K15" s="274">
        <f>'Baseline Price'!Z15*(1+'Price Change'!K15)</f>
        <v>28.503651000000001</v>
      </c>
      <c r="L15" s="274">
        <f>'Baseline Price'!AA15*(1+'Price Change'!L15)</f>
        <v>28.745995000000001</v>
      </c>
      <c r="M15" s="274">
        <f>'Baseline Price'!AB15*(1+'Price Change'!M15)</f>
        <v>29.257614999999998</v>
      </c>
      <c r="N15" s="274">
        <f>'Baseline Price'!AC15*(1+'Price Change'!N15)</f>
        <v>29.612743999999999</v>
      </c>
      <c r="O15" s="274">
        <f>'Baseline Price'!AD15*(1+'Price Change'!O15)</f>
        <v>30.005284</v>
      </c>
      <c r="P15" s="274">
        <f>'Baseline Price'!AE15*(1+'Price Change'!P15)</f>
        <v>30.260222999999996</v>
      </c>
      <c r="Q15" s="274">
        <f>'Baseline Price'!AF15*(1+'Price Change'!Q15)</f>
        <v>30.422767</v>
      </c>
      <c r="R15" s="274">
        <f>'Baseline Price'!AG15*(1+'Price Change'!R15)</f>
        <v>30.599764999999998</v>
      </c>
      <c r="S15" s="274">
        <f>'Baseline Price'!AH15*(1+'Price Change'!S15)</f>
        <v>30.715700000000002</v>
      </c>
      <c r="T15" s="274">
        <f>'Baseline Price'!AI15*(1+'Price Change'!T15)</f>
        <v>30.799053000000001</v>
      </c>
      <c r="U15" s="274">
        <f>'Baseline Price'!AJ15*(1+'Price Change'!U15)</f>
        <v>30.888586</v>
      </c>
      <c r="V15" s="274">
        <f>'Baseline Price'!AK15*(1+'Price Change'!V15)</f>
        <v>30.972265</v>
      </c>
      <c r="W15" s="274">
        <f>'Baseline Price'!AL15*(1+'Price Change'!W15)</f>
        <v>31.012174000000002</v>
      </c>
      <c r="X15" s="274">
        <f>'Baseline Price'!AM15*(1+'Price Change'!X15)</f>
        <v>31.083211999999996</v>
      </c>
      <c r="Y15" s="274">
        <f>'Baseline Price'!AN15*(1+'Price Change'!Y15)</f>
        <v>31.163977999999997</v>
      </c>
      <c r="Z15" s="274">
        <f>'Baseline Price'!AO15*(1+'Price Change'!Z15)</f>
        <v>31.238181999999998</v>
      </c>
      <c r="AA15" s="274">
        <f>'Baseline Price'!AP15*(1+'Price Change'!AA15)</f>
        <v>31.278836999999996</v>
      </c>
      <c r="AB15" s="274">
        <f>'Baseline Price'!AQ15*(1+'Price Change'!AB15)</f>
        <v>31.291430999999999</v>
      </c>
      <c r="AC15" s="274">
        <f>'Baseline Price'!AR15*(1+'Price Change'!AC15)</f>
        <v>31.294619999999998</v>
      </c>
      <c r="AD15" s="274">
        <f>'Baseline Price'!AS15*(1+'Price Change'!AD15)</f>
        <v>31.293377</v>
      </c>
      <c r="AE15" s="274">
        <f>'Baseline Price'!AT15*(1+'Price Change'!AE15)</f>
        <v>31.249706</v>
      </c>
      <c r="AF15" s="274">
        <f>'Baseline Price'!AU15*(1+'Price Change'!AF15)</f>
        <v>31.161127</v>
      </c>
    </row>
    <row r="16" spans="1:32">
      <c r="A16" s="40" t="str">
        <f>'Price Change'!A16</f>
        <v xml:space="preserve">   Distillate Fuel Oil</v>
      </c>
      <c r="B16" s="274">
        <f>'Baseline Price'!Q16*(1+'Price Change'!B16)</f>
        <v>24.527692000000002</v>
      </c>
      <c r="C16" s="274">
        <f>'Baseline Price'!R16*(1+'Price Change'!C16)</f>
        <v>24.117725000000004</v>
      </c>
      <c r="D16" s="274">
        <f>'Baseline Price'!S16*(1+'Price Change'!D16)</f>
        <v>23.552800999999999</v>
      </c>
      <c r="E16" s="274">
        <f>'Baseline Price'!T16*(1+'Price Change'!E16)</f>
        <v>23.399573999999998</v>
      </c>
      <c r="F16" s="274">
        <f>'Baseline Price'!U16*(1+'Price Change'!F16)</f>
        <v>23.656688000000003</v>
      </c>
      <c r="G16" s="274">
        <f>'Baseline Price'!V16*(1+'Price Change'!G16)</f>
        <v>24.410419000000001</v>
      </c>
      <c r="H16" s="274">
        <f>'Baseline Price'!W16*(1+'Price Change'!H16)</f>
        <v>25.077591999999999</v>
      </c>
      <c r="I16" s="274">
        <f>'Baseline Price'!X16*(1+'Price Change'!I16)</f>
        <v>25.957546000000001</v>
      </c>
      <c r="J16" s="274">
        <f>'Baseline Price'!Y16*(1+'Price Change'!J16)</f>
        <v>26.436002000000002</v>
      </c>
      <c r="K16" s="274">
        <f>'Baseline Price'!Z16*(1+'Price Change'!K16)</f>
        <v>29.431609999999999</v>
      </c>
      <c r="L16" s="274">
        <f>'Baseline Price'!AA16*(1+'Price Change'!L16)</f>
        <v>29.813355999999999</v>
      </c>
      <c r="M16" s="274">
        <f>'Baseline Price'!AB16*(1+'Price Change'!M16)</f>
        <v>30.578124000000003</v>
      </c>
      <c r="N16" s="274">
        <f>'Baseline Price'!AC16*(1+'Price Change'!N16)</f>
        <v>31.118065999999999</v>
      </c>
      <c r="O16" s="274">
        <f>'Baseline Price'!AD16*(1+'Price Change'!O16)</f>
        <v>31.575536</v>
      </c>
      <c r="P16" s="274">
        <f>'Baseline Price'!AE16*(1+'Price Change'!P16)</f>
        <v>31.735192000000001</v>
      </c>
      <c r="Q16" s="274">
        <f>'Baseline Price'!AF16*(1+'Price Change'!Q16)</f>
        <v>31.983763000000003</v>
      </c>
      <c r="R16" s="274">
        <f>'Baseline Price'!AG16*(1+'Price Change'!R16)</f>
        <v>32.321238000000001</v>
      </c>
      <c r="S16" s="274">
        <f>'Baseline Price'!AH16*(1+'Price Change'!S16)</f>
        <v>32.272936999999999</v>
      </c>
      <c r="T16" s="274">
        <f>'Baseline Price'!AI16*(1+'Price Change'!T16)</f>
        <v>32.455167000000003</v>
      </c>
      <c r="U16" s="274">
        <f>'Baseline Price'!AJ16*(1+'Price Change'!U16)</f>
        <v>32.614269999999998</v>
      </c>
      <c r="V16" s="274">
        <f>'Baseline Price'!AK16*(1+'Price Change'!V16)</f>
        <v>32.714777999999995</v>
      </c>
      <c r="W16" s="274">
        <f>'Baseline Price'!AL16*(1+'Price Change'!W16)</f>
        <v>32.762847000000001</v>
      </c>
      <c r="X16" s="274">
        <f>'Baseline Price'!AM16*(1+'Price Change'!X16)</f>
        <v>32.988669000000002</v>
      </c>
      <c r="Y16" s="274">
        <f>'Baseline Price'!AN16*(1+'Price Change'!Y16)</f>
        <v>33.000566999999997</v>
      </c>
      <c r="Z16" s="274">
        <f>'Baseline Price'!AO16*(1+'Price Change'!Z16)</f>
        <v>32.890141000000007</v>
      </c>
      <c r="AA16" s="274">
        <f>'Baseline Price'!AP16*(1+'Price Change'!AA16)</f>
        <v>32.922539</v>
      </c>
      <c r="AB16" s="274">
        <f>'Baseline Price'!AQ16*(1+'Price Change'!AB16)</f>
        <v>32.861978999999998</v>
      </c>
      <c r="AC16" s="274">
        <f>'Baseline Price'!AR16*(1+'Price Change'!AC16)</f>
        <v>32.761327999999999</v>
      </c>
      <c r="AD16" s="274">
        <f>'Baseline Price'!AS16*(1+'Price Change'!AD16)</f>
        <v>32.804862</v>
      </c>
      <c r="AE16" s="274">
        <f>'Baseline Price'!AT16*(1+'Price Change'!AE16)</f>
        <v>32.750560999999998</v>
      </c>
      <c r="AF16" s="274">
        <f>'Baseline Price'!AU16*(1+'Price Change'!AF16)</f>
        <v>32.730674999999998</v>
      </c>
    </row>
    <row r="17" spans="1:32">
      <c r="A17" s="40" t="str">
        <f>'Price Change'!A17</f>
        <v xml:space="preserve">   Residual Fuel</v>
      </c>
      <c r="B17" s="274">
        <f>'Baseline Price'!Q17*(1+'Price Change'!B17)</f>
        <v>10.265613999999999</v>
      </c>
      <c r="C17" s="274">
        <f>'Baseline Price'!R17*(1+'Price Change'!C17)</f>
        <v>10.486031000000001</v>
      </c>
      <c r="D17" s="274">
        <f>'Baseline Price'!S17*(1+'Price Change'!D17)</f>
        <v>10.528746999999999</v>
      </c>
      <c r="E17" s="274">
        <f>'Baseline Price'!T17*(1+'Price Change'!E17)</f>
        <v>10.947609</v>
      </c>
      <c r="F17" s="274">
        <f>'Baseline Price'!U17*(1+'Price Change'!F17)</f>
        <v>11.540540999999999</v>
      </c>
      <c r="G17" s="274">
        <f>'Baseline Price'!V17*(1+'Price Change'!G17)</f>
        <v>11.762791</v>
      </c>
      <c r="H17" s="274">
        <f>'Baseline Price'!W17*(1+'Price Change'!H17)</f>
        <v>12.160868000000001</v>
      </c>
      <c r="I17" s="274">
        <f>'Baseline Price'!X17*(1+'Price Change'!I17)</f>
        <v>12.705256</v>
      </c>
      <c r="J17" s="274">
        <f>'Baseline Price'!Y17*(1+'Price Change'!J17)</f>
        <v>12.901865000000001</v>
      </c>
      <c r="K17" s="274">
        <f>'Baseline Price'!Z17*(1+'Price Change'!K17)</f>
        <v>13.316670999999999</v>
      </c>
      <c r="L17" s="274">
        <f>'Baseline Price'!AA17*(1+'Price Change'!L17)</f>
        <v>13.421931000000001</v>
      </c>
      <c r="M17" s="274">
        <f>'Baseline Price'!AB17*(1+'Price Change'!M17)</f>
        <v>13.621895</v>
      </c>
      <c r="N17" s="274">
        <f>'Baseline Price'!AC17*(1+'Price Change'!N17)</f>
        <v>13.856438000000001</v>
      </c>
      <c r="O17" s="274">
        <f>'Baseline Price'!AD17*(1+'Price Change'!O17)</f>
        <v>14.002591000000001</v>
      </c>
      <c r="P17" s="274">
        <f>'Baseline Price'!AE17*(1+'Price Change'!P17)</f>
        <v>14.099449</v>
      </c>
      <c r="Q17" s="274">
        <f>'Baseline Price'!AF17*(1+'Price Change'!Q17)</f>
        <v>14.282861</v>
      </c>
      <c r="R17" s="274">
        <f>'Baseline Price'!AG17*(1+'Price Change'!R17)</f>
        <v>14.554171999999999</v>
      </c>
      <c r="S17" s="274">
        <f>'Baseline Price'!AH17*(1+'Price Change'!S17)</f>
        <v>14.690308</v>
      </c>
      <c r="T17" s="274">
        <f>'Baseline Price'!AI17*(1+'Price Change'!T17)</f>
        <v>14.760121</v>
      </c>
      <c r="U17" s="274">
        <f>'Baseline Price'!AJ17*(1+'Price Change'!U17)</f>
        <v>14.88829</v>
      </c>
      <c r="V17" s="274">
        <f>'Baseline Price'!AK17*(1+'Price Change'!V17)</f>
        <v>14.982219000000001</v>
      </c>
      <c r="W17" s="274">
        <f>'Baseline Price'!AL17*(1+'Price Change'!W17)</f>
        <v>15.077785</v>
      </c>
      <c r="X17" s="274">
        <f>'Baseline Price'!AM17*(1+'Price Change'!X17)</f>
        <v>15.395372</v>
      </c>
      <c r="Y17" s="274">
        <f>'Baseline Price'!AN17*(1+'Price Change'!Y17)</f>
        <v>15.406392</v>
      </c>
      <c r="Z17" s="274">
        <f>'Baseline Price'!AO17*(1+'Price Change'!Z17)</f>
        <v>15.300700000000001</v>
      </c>
      <c r="AA17" s="274">
        <f>'Baseline Price'!AP17*(1+'Price Change'!AA17)</f>
        <v>15.311681</v>
      </c>
      <c r="AB17" s="274">
        <f>'Baseline Price'!AQ17*(1+'Price Change'!AB17)</f>
        <v>15.316814000000001</v>
      </c>
      <c r="AC17" s="274">
        <f>'Baseline Price'!AR17*(1+'Price Change'!AC17)</f>
        <v>15.346301</v>
      </c>
      <c r="AD17" s="274">
        <f>'Baseline Price'!AS17*(1+'Price Change'!AD17)</f>
        <v>15.366849999999999</v>
      </c>
      <c r="AE17" s="274">
        <f>'Baseline Price'!AT17*(1+'Price Change'!AE17)</f>
        <v>15.336262</v>
      </c>
      <c r="AF17" s="274">
        <f>'Baseline Price'!AU17*(1+'Price Change'!AF17)</f>
        <v>15.342311</v>
      </c>
    </row>
    <row r="18" spans="1:32">
      <c r="A18" s="40" t="str">
        <f>'Price Change'!A18</f>
        <v xml:space="preserve">   Natural Gas</v>
      </c>
      <c r="B18" s="274">
        <f>'Baseline Price'!Q18*(1+'Price Change'!B18)</f>
        <v>9.5289226666666664</v>
      </c>
      <c r="C18" s="274">
        <f>'Baseline Price'!R18*(1+'Price Change'!C18)</f>
        <v>9.6656796666666658</v>
      </c>
      <c r="D18" s="274">
        <f>'Baseline Price'!S18*(1+'Price Change'!D18)</f>
        <v>9.8829586666666671</v>
      </c>
      <c r="E18" s="274">
        <f>'Baseline Price'!T18*(1+'Price Change'!E18)</f>
        <v>10.178956666666668</v>
      </c>
      <c r="F18" s="274">
        <f>'Baseline Price'!U18*(1+'Price Change'!F18)</f>
        <v>10.471361666666667</v>
      </c>
      <c r="G18" s="274">
        <f>'Baseline Price'!V18*(1+'Price Change'!G18)</f>
        <v>10.833748666666667</v>
      </c>
      <c r="H18" s="274">
        <f>'Baseline Price'!W18*(1+'Price Change'!H18)</f>
        <v>11.104898666666669</v>
      </c>
      <c r="I18" s="274">
        <f>'Baseline Price'!X18*(1+'Price Change'!I18)</f>
        <v>11.290717666666668</v>
      </c>
      <c r="J18" s="274">
        <f>'Baseline Price'!Y18*(1+'Price Change'!J18)</f>
        <v>11.517688666666668</v>
      </c>
      <c r="K18" s="274">
        <f>'Baseline Price'!Z18*(1+'Price Change'!K18)</f>
        <v>13.714468666666667</v>
      </c>
      <c r="L18" s="274">
        <f>'Baseline Price'!AA18*(1+'Price Change'!L18)</f>
        <v>13.902518666666669</v>
      </c>
      <c r="M18" s="274">
        <f>'Baseline Price'!AB18*(1+'Price Change'!M18)</f>
        <v>14.361616666666668</v>
      </c>
      <c r="N18" s="274">
        <f>'Baseline Price'!AC18*(1+'Price Change'!N18)</f>
        <v>14.61945166666667</v>
      </c>
      <c r="O18" s="274">
        <f>'Baseline Price'!AD18*(1+'Price Change'!O18)</f>
        <v>14.860823666666667</v>
      </c>
      <c r="P18" s="274">
        <f>'Baseline Price'!AE18*(1+'Price Change'!P18)</f>
        <v>14.970219333333334</v>
      </c>
      <c r="Q18" s="274">
        <f>'Baseline Price'!AF18*(1+'Price Change'!Q18)</f>
        <v>15.024567333333335</v>
      </c>
      <c r="R18" s="274">
        <f>'Baseline Price'!AG18*(1+'Price Change'!R18)</f>
        <v>15.082553333333335</v>
      </c>
      <c r="S18" s="274">
        <f>'Baseline Price'!AH18*(1+'Price Change'!S18)</f>
        <v>15.131869333333336</v>
      </c>
      <c r="T18" s="274">
        <f>'Baseline Price'!AI18*(1+'Price Change'!T18)</f>
        <v>15.157009333333335</v>
      </c>
      <c r="U18" s="274">
        <f>'Baseline Price'!AJ18*(1+'Price Change'!U18)</f>
        <v>15.188645333333335</v>
      </c>
      <c r="V18" s="274">
        <f>'Baseline Price'!AK18*(1+'Price Change'!V18)</f>
        <v>15.250702333333335</v>
      </c>
      <c r="W18" s="274">
        <f>'Baseline Price'!AL18*(1+'Price Change'!W18)</f>
        <v>15.272367333333333</v>
      </c>
      <c r="X18" s="274">
        <f>'Baseline Price'!AM18*(1+'Price Change'!X18)</f>
        <v>15.318481333333335</v>
      </c>
      <c r="Y18" s="274">
        <f>'Baseline Price'!AN18*(1+'Price Change'!Y18)</f>
        <v>15.387049333333335</v>
      </c>
      <c r="Z18" s="274">
        <f>'Baseline Price'!AO18*(1+'Price Change'!Z18)</f>
        <v>15.467711333333336</v>
      </c>
      <c r="AA18" s="274">
        <f>'Baseline Price'!AP18*(1+'Price Change'!AA18)</f>
        <v>15.562316333333333</v>
      </c>
      <c r="AB18" s="274">
        <f>'Baseline Price'!AQ18*(1+'Price Change'!AB18)</f>
        <v>15.640365333333333</v>
      </c>
      <c r="AC18" s="274">
        <f>'Baseline Price'!AR18*(1+'Price Change'!AC18)</f>
        <v>15.739496333333337</v>
      </c>
      <c r="AD18" s="274">
        <f>'Baseline Price'!AS18*(1+'Price Change'!AD18)</f>
        <v>15.860286333333335</v>
      </c>
      <c r="AE18" s="274">
        <f>'Baseline Price'!AT18*(1+'Price Change'!AE18)</f>
        <v>15.978205333333337</v>
      </c>
      <c r="AF18" s="274">
        <f>'Baseline Price'!AU18*(1+'Price Change'!AF18)</f>
        <v>16.070912333333336</v>
      </c>
    </row>
    <row r="19" spans="1:32">
      <c r="A19" s="40" t="str">
        <f>'Price Change'!A19</f>
        <v xml:space="preserve">   Electricity</v>
      </c>
      <c r="B19" s="274">
        <f>'Baseline Price'!Q19+'Price Change'!B90</f>
        <v>23.420051698260984</v>
      </c>
      <c r="C19" s="274">
        <f>'Baseline Price'!R19+'Price Change'!C90</f>
        <v>22.678521371124255</v>
      </c>
      <c r="D19" s="274">
        <f>'Baseline Price'!S19+'Price Change'!D90</f>
        <v>23.536632614143258</v>
      </c>
      <c r="E19" s="274">
        <f>'Baseline Price'!T19+'Price Change'!E90</f>
        <v>24.183358700768601</v>
      </c>
      <c r="F19" s="274">
        <f>'Baseline Price'!U19+'Price Change'!F90</f>
        <v>24.211227378625853</v>
      </c>
      <c r="G19" s="274">
        <f>'Baseline Price'!V19+'Price Change'!G90</f>
        <v>25.028351783263151</v>
      </c>
      <c r="H19" s="274">
        <f>'Baseline Price'!W19+'Price Change'!H90</f>
        <v>25.496091807990418</v>
      </c>
      <c r="I19" s="274">
        <f>'Baseline Price'!X19+'Price Change'!I90</f>
        <v>25.692993599976383</v>
      </c>
      <c r="J19" s="274">
        <f>'Baseline Price'!Y19+'Price Change'!J90</f>
        <v>25.778214289922573</v>
      </c>
      <c r="K19" s="274">
        <f>'Baseline Price'!Z19+'Price Change'!K90</f>
        <v>26.174930375681072</v>
      </c>
      <c r="L19" s="274">
        <f>'Baseline Price'!AA19+'Price Change'!L90</f>
        <v>26.575769833308495</v>
      </c>
      <c r="M19" s="274">
        <f>'Baseline Price'!AB19+'Price Change'!M90</f>
        <v>26.868604443190858</v>
      </c>
      <c r="N19" s="274">
        <f>'Baseline Price'!AC19+'Price Change'!N90</f>
        <v>27.151124959515212</v>
      </c>
      <c r="O19" s="274">
        <f>'Baseline Price'!AD19+'Price Change'!O90</f>
        <v>27.183425323929576</v>
      </c>
      <c r="P19" s="274">
        <f>'Baseline Price'!AE19+'Price Change'!P90</f>
        <v>27.189325688832856</v>
      </c>
      <c r="Q19" s="274">
        <f>'Baseline Price'!AF19+'Price Change'!Q90</f>
        <v>27.233769247803391</v>
      </c>
      <c r="R19" s="274">
        <f>'Baseline Price'!AG19+'Price Change'!R90</f>
        <v>27.498442368990624</v>
      </c>
      <c r="S19" s="274">
        <f>'Baseline Price'!AH19+'Price Change'!S90</f>
        <v>27.58773148744887</v>
      </c>
      <c r="T19" s="274">
        <f>'Baseline Price'!AI19+'Price Change'!T90</f>
        <v>27.503220332167547</v>
      </c>
      <c r="U19" s="274">
        <f>'Baseline Price'!AJ19+'Price Change'!U90</f>
        <v>27.382912931194646</v>
      </c>
      <c r="V19" s="274">
        <f>'Baseline Price'!AK19+'Price Change'!V90</f>
        <v>27.212566328736809</v>
      </c>
      <c r="W19" s="274">
        <f>'Baseline Price'!AL19+'Price Change'!W90</f>
        <v>27.208549393513294</v>
      </c>
      <c r="X19" s="274">
        <f>'Baseline Price'!AM19+'Price Change'!X90</f>
        <v>27.182376899549531</v>
      </c>
      <c r="Y19" s="274">
        <f>'Baseline Price'!AN19+'Price Change'!Y90</f>
        <v>27.018794567634334</v>
      </c>
      <c r="Z19" s="274">
        <f>'Baseline Price'!AO19+'Price Change'!Z90</f>
        <v>26.878821353259919</v>
      </c>
      <c r="AA19" s="274">
        <f>'Baseline Price'!AP19+'Price Change'!AA90</f>
        <v>26.818942599924188</v>
      </c>
      <c r="AB19" s="274">
        <f>'Baseline Price'!AQ19+'Price Change'!AB90</f>
        <v>26.766181086242312</v>
      </c>
      <c r="AC19" s="274">
        <f>'Baseline Price'!AR19+'Price Change'!AC90</f>
        <v>26.646616431491971</v>
      </c>
      <c r="AD19" s="274">
        <f>'Baseline Price'!AS19+'Price Change'!AD90</f>
        <v>26.545052729073575</v>
      </c>
      <c r="AE19" s="274">
        <f>'Baseline Price'!AT19+'Price Change'!AE90</f>
        <v>26.398562423790086</v>
      </c>
      <c r="AF19" s="274">
        <f>'Baseline Price'!AU19+'Price Change'!AF90</f>
        <v>26.200939978495263</v>
      </c>
    </row>
    <row r="20" spans="1:32">
      <c r="A20" s="37"/>
      <c r="B20" s="274"/>
      <c r="C20" s="274"/>
      <c r="D20" s="274"/>
      <c r="E20" s="274"/>
      <c r="F20" s="274"/>
      <c r="G20" s="274"/>
      <c r="H20" s="274"/>
      <c r="I20" s="274"/>
      <c r="J20" s="274"/>
      <c r="K20" s="274"/>
      <c r="L20" s="274">
        <f>L19-'Baseline Price'!AA19</f>
        <v>0.10636574724919967</v>
      </c>
      <c r="M20" s="274"/>
      <c r="N20" s="274"/>
      <c r="O20" s="274"/>
      <c r="P20" s="274"/>
      <c r="Q20" s="274"/>
      <c r="R20" s="274"/>
      <c r="S20" s="274"/>
      <c r="T20" s="274"/>
      <c r="U20" s="274"/>
      <c r="V20" s="274"/>
      <c r="W20" s="274"/>
      <c r="X20" s="274"/>
      <c r="Y20" s="274"/>
      <c r="Z20" s="274"/>
      <c r="AA20" s="274"/>
      <c r="AB20" s="274"/>
      <c r="AC20" s="274"/>
      <c r="AD20" s="274"/>
      <c r="AE20" s="274"/>
      <c r="AF20" s="274"/>
    </row>
    <row r="21" spans="1:32" s="5" customFormat="1" ht="13">
      <c r="A21" s="250" t="str">
        <f>'Price Change'!A21</f>
        <v xml:space="preserve"> Industrial 1/</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1"/>
    </row>
    <row r="22" spans="1:32" s="396" customFormat="1" ht="12.9" customHeight="1">
      <c r="A22" s="253" t="s">
        <v>6</v>
      </c>
      <c r="B22" s="253">
        <v>2020</v>
      </c>
      <c r="C22" s="253">
        <v>2021</v>
      </c>
      <c r="D22" s="253">
        <v>2022</v>
      </c>
      <c r="E22" s="253">
        <v>2023</v>
      </c>
      <c r="F22" s="253">
        <v>2024</v>
      </c>
      <c r="G22" s="253">
        <v>2025</v>
      </c>
      <c r="H22" s="253">
        <v>2026</v>
      </c>
      <c r="I22" s="253">
        <v>2027</v>
      </c>
      <c r="J22" s="253">
        <v>2028</v>
      </c>
      <c r="K22" s="253">
        <v>2029</v>
      </c>
      <c r="L22" s="253">
        <v>2030</v>
      </c>
      <c r="M22" s="253">
        <v>2031</v>
      </c>
      <c r="N22" s="253">
        <v>2032</v>
      </c>
      <c r="O22" s="253">
        <v>2033</v>
      </c>
      <c r="P22" s="253">
        <v>2034</v>
      </c>
      <c r="Q22" s="253">
        <v>2035</v>
      </c>
      <c r="R22" s="253">
        <v>2036</v>
      </c>
      <c r="S22" s="253">
        <v>2037</v>
      </c>
      <c r="T22" s="253">
        <v>2038</v>
      </c>
      <c r="U22" s="253">
        <v>2039</v>
      </c>
      <c r="V22" s="253">
        <v>2040</v>
      </c>
      <c r="W22" s="253">
        <v>2041</v>
      </c>
      <c r="X22" s="253">
        <v>2042</v>
      </c>
      <c r="Y22" s="253">
        <v>2043</v>
      </c>
      <c r="Z22" s="253">
        <v>2044</v>
      </c>
      <c r="AA22" s="253">
        <v>2045</v>
      </c>
      <c r="AB22" s="253">
        <v>2046</v>
      </c>
      <c r="AC22" s="253">
        <v>2047</v>
      </c>
      <c r="AD22" s="253">
        <v>2048</v>
      </c>
      <c r="AE22" s="253">
        <v>2049</v>
      </c>
      <c r="AF22" s="253">
        <v>2050</v>
      </c>
    </row>
    <row r="23" spans="1:32">
      <c r="A23" s="40" t="str">
        <f>'Price Change'!A23</f>
        <v xml:space="preserve">   Liquefied Petroleum Gases</v>
      </c>
      <c r="B23" s="274">
        <f>'Baseline Price'!Q23*(1+'Price Change'!B23)</f>
        <v>14.768955999999999</v>
      </c>
      <c r="C23" s="274">
        <f>'Baseline Price'!R23*(1+'Price Change'!C23)</f>
        <v>15.267602999999999</v>
      </c>
      <c r="D23" s="274">
        <f>'Baseline Price'!S23*(1+'Price Change'!D23)</f>
        <v>16.019992999999999</v>
      </c>
      <c r="E23" s="274">
        <f>'Baseline Price'!T23*(1+'Price Change'!E23)</f>
        <v>16.563573999999999</v>
      </c>
      <c r="F23" s="274">
        <f>'Baseline Price'!U23*(1+'Price Change'!F23)</f>
        <v>17.281521999999999</v>
      </c>
      <c r="G23" s="274">
        <f>'Baseline Price'!V23*(1+'Price Change'!G23)</f>
        <v>18.017713999999998</v>
      </c>
      <c r="H23" s="274">
        <f>'Baseline Price'!W23*(1+'Price Change'!H23)</f>
        <v>18.608025000000001</v>
      </c>
      <c r="I23" s="274">
        <f>'Baseline Price'!X23*(1+'Price Change'!I23)</f>
        <v>19.059640000000002</v>
      </c>
      <c r="J23" s="274">
        <f>'Baseline Price'!Y23*(1+'Price Change'!J23)</f>
        <v>19.431190999999998</v>
      </c>
      <c r="K23" s="274">
        <f>'Baseline Price'!Z23*(1+'Price Change'!K23)</f>
        <v>19.672903999999999</v>
      </c>
      <c r="L23" s="274">
        <f>'Baseline Price'!AA23*(1+'Price Change'!L23)</f>
        <v>19.904026999999999</v>
      </c>
      <c r="M23" s="274">
        <f>'Baseline Price'!AB23*(1+'Price Change'!M23)</f>
        <v>20.127735999999999</v>
      </c>
      <c r="N23" s="274">
        <f>'Baseline Price'!AC23*(1+'Price Change'!N23)</f>
        <v>20.494913</v>
      </c>
      <c r="O23" s="274">
        <f>'Baseline Price'!AD23*(1+'Price Change'!O23)</f>
        <v>20.886782</v>
      </c>
      <c r="P23" s="274">
        <f>'Baseline Price'!AE23*(1+'Price Change'!P23)</f>
        <v>21.13204</v>
      </c>
      <c r="Q23" s="274">
        <f>'Baseline Price'!AF23*(1+'Price Change'!Q23)</f>
        <v>21.282432</v>
      </c>
      <c r="R23" s="274">
        <f>'Baseline Price'!AG23*(1+'Price Change'!R23)</f>
        <v>21.454063000000001</v>
      </c>
      <c r="S23" s="274">
        <f>'Baseline Price'!AH23*(1+'Price Change'!S23)</f>
        <v>21.554995999999999</v>
      </c>
      <c r="T23" s="274">
        <f>'Baseline Price'!AI23*(1+'Price Change'!T23)</f>
        <v>21.627913999999997</v>
      </c>
      <c r="U23" s="274">
        <f>'Baseline Price'!AJ23*(1+'Price Change'!U23)</f>
        <v>21.713659</v>
      </c>
      <c r="V23" s="274">
        <f>'Baseline Price'!AK23*(1+'Price Change'!V23)</f>
        <v>21.792831</v>
      </c>
      <c r="W23" s="274">
        <f>'Baseline Price'!AL23*(1+'Price Change'!W23)</f>
        <v>21.823066000000001</v>
      </c>
      <c r="X23" s="274">
        <f>'Baseline Price'!AM23*(1+'Price Change'!X23)</f>
        <v>21.895182999999999</v>
      </c>
      <c r="Y23" s="274">
        <f>'Baseline Price'!AN23*(1+'Price Change'!Y23)</f>
        <v>21.974767</v>
      </c>
      <c r="Z23" s="274">
        <f>'Baseline Price'!AO23*(1+'Price Change'!Z23)</f>
        <v>22.044902</v>
      </c>
      <c r="AA23" s="274">
        <f>'Baseline Price'!AP23*(1+'Price Change'!AA23)</f>
        <v>22.077880999999998</v>
      </c>
      <c r="AB23" s="274">
        <f>'Baseline Price'!AQ23*(1+'Price Change'!AB23)</f>
        <v>22.083631</v>
      </c>
      <c r="AC23" s="274">
        <f>'Baseline Price'!AR23*(1+'Price Change'!AC23)</f>
        <v>22.083342999999999</v>
      </c>
      <c r="AD23" s="274">
        <f>'Baseline Price'!AS23*(1+'Price Change'!AD23)</f>
        <v>22.080393999999998</v>
      </c>
      <c r="AE23" s="274">
        <f>'Baseline Price'!AT23*(1+'Price Change'!AE23)</f>
        <v>22.029438000000003</v>
      </c>
      <c r="AF23" s="274">
        <f>'Baseline Price'!AU23*(1+'Price Change'!AF23)</f>
        <v>21.933983000000001</v>
      </c>
    </row>
    <row r="24" spans="1:32">
      <c r="A24" s="40" t="str">
        <f>'Price Change'!A24</f>
        <v xml:space="preserve">   Distillate Fuel Oil</v>
      </c>
      <c r="B24" s="274">
        <f>'Baseline Price'!Q24*(1+'Price Change'!B24)</f>
        <v>24.116969000000001</v>
      </c>
      <c r="C24" s="274">
        <f>'Baseline Price'!R24*(1+'Price Change'!C24)</f>
        <v>23.786754000000002</v>
      </c>
      <c r="D24" s="274">
        <f>'Baseline Price'!S24*(1+'Price Change'!D24)</f>
        <v>23.318662</v>
      </c>
      <c r="E24" s="274">
        <f>'Baseline Price'!T24*(1+'Price Change'!E24)</f>
        <v>23.247419000000001</v>
      </c>
      <c r="F24" s="274">
        <f>'Baseline Price'!U24*(1+'Price Change'!F24)</f>
        <v>23.603307000000001</v>
      </c>
      <c r="G24" s="274">
        <f>'Baseline Price'!V24*(1+'Price Change'!G24)</f>
        <v>24.385231999999998</v>
      </c>
      <c r="H24" s="274">
        <f>'Baseline Price'!W24*(1+'Price Change'!H24)</f>
        <v>25.047126000000002</v>
      </c>
      <c r="I24" s="274">
        <f>'Baseline Price'!X24*(1+'Price Change'!I24)</f>
        <v>25.929716000000003</v>
      </c>
      <c r="J24" s="274">
        <f>'Baseline Price'!Y24*(1+'Price Change'!J24)</f>
        <v>26.418986999999998</v>
      </c>
      <c r="K24" s="274">
        <f>'Baseline Price'!Z24*(1+'Price Change'!K24)</f>
        <v>27.185668</v>
      </c>
      <c r="L24" s="274">
        <f>'Baseline Price'!AA24*(1+'Price Change'!L24)</f>
        <v>27.577928000000004</v>
      </c>
      <c r="M24" s="274">
        <f>'Baseline Price'!AB24*(1+'Price Change'!M24)</f>
        <v>28.027908</v>
      </c>
      <c r="N24" s="274">
        <f>'Baseline Price'!AC24*(1+'Price Change'!N24)</f>
        <v>28.567005000000002</v>
      </c>
      <c r="O24" s="274">
        <f>'Baseline Price'!AD24*(1+'Price Change'!O24)</f>
        <v>29.020833000000003</v>
      </c>
      <c r="P24" s="274">
        <f>'Baseline Price'!AE24*(1+'Price Change'!P24)</f>
        <v>29.186014999999998</v>
      </c>
      <c r="Q24" s="274">
        <f>'Baseline Price'!AF24*(1+'Price Change'!Q24)</f>
        <v>29.436217000000003</v>
      </c>
      <c r="R24" s="274">
        <f>'Baseline Price'!AG24*(1+'Price Change'!R24)</f>
        <v>29.772580000000001</v>
      </c>
      <c r="S24" s="274">
        <f>'Baseline Price'!AH24*(1+'Price Change'!S24)</f>
        <v>29.722758000000002</v>
      </c>
      <c r="T24" s="274">
        <f>'Baseline Price'!AI24*(1+'Price Change'!T24)</f>
        <v>29.906258000000001</v>
      </c>
      <c r="U24" s="274">
        <f>'Baseline Price'!AJ24*(1+'Price Change'!U24)</f>
        <v>30.062275999999997</v>
      </c>
      <c r="V24" s="274">
        <f>'Baseline Price'!AK24*(1+'Price Change'!V24)</f>
        <v>30.161604999999998</v>
      </c>
      <c r="W24" s="274">
        <f>'Baseline Price'!AL24*(1+'Price Change'!W24)</f>
        <v>30.203538000000002</v>
      </c>
      <c r="X24" s="274">
        <f>'Baseline Price'!AM24*(1+'Price Change'!X24)</f>
        <v>30.421316999999998</v>
      </c>
      <c r="Y24" s="274">
        <f>'Baseline Price'!AN24*(1+'Price Change'!Y24)</f>
        <v>30.427069000000003</v>
      </c>
      <c r="Z24" s="274">
        <f>'Baseline Price'!AO24*(1+'Price Change'!Z24)</f>
        <v>30.303836</v>
      </c>
      <c r="AA24" s="274">
        <f>'Baseline Price'!AP24*(1+'Price Change'!AA24)</f>
        <v>30.330628000000001</v>
      </c>
      <c r="AB24" s="274">
        <f>'Baseline Price'!AQ24*(1+'Price Change'!AB24)</f>
        <v>30.256701</v>
      </c>
      <c r="AC24" s="274">
        <f>'Baseline Price'!AR24*(1+'Price Change'!AC24)</f>
        <v>30.137459000000003</v>
      </c>
      <c r="AD24" s="274">
        <f>'Baseline Price'!AS24*(1+'Price Change'!AD24)</f>
        <v>30.178056999999999</v>
      </c>
      <c r="AE24" s="274">
        <f>'Baseline Price'!AT24*(1+'Price Change'!AE24)</f>
        <v>30.123722999999998</v>
      </c>
      <c r="AF24" s="274">
        <f>'Baseline Price'!AU24*(1+'Price Change'!AF24)</f>
        <v>30.104248999999999</v>
      </c>
    </row>
    <row r="25" spans="1:32">
      <c r="A25" s="40" t="str">
        <f>'Price Change'!A25</f>
        <v xml:space="preserve">   Residual Fuel Oil</v>
      </c>
      <c r="B25" s="274">
        <f>'Baseline Price'!Q25*(1+'Price Change'!B25)</f>
        <v>10.234743</v>
      </c>
      <c r="C25" s="274">
        <f>'Baseline Price'!R25*(1+'Price Change'!C25)</f>
        <v>10.462877000000001</v>
      </c>
      <c r="D25" s="274">
        <f>'Baseline Price'!S25*(1+'Price Change'!D25)</f>
        <v>10.513311</v>
      </c>
      <c r="E25" s="274">
        <f>'Baseline Price'!T25*(1+'Price Change'!E25)</f>
        <v>10.939890999999999</v>
      </c>
      <c r="F25" s="274">
        <f>'Baseline Price'!U25*(1+'Price Change'!F25)</f>
        <v>11.540540999999999</v>
      </c>
      <c r="G25" s="274">
        <f>'Baseline Price'!V25*(1+'Price Change'!G25)</f>
        <v>11.762791</v>
      </c>
      <c r="H25" s="274">
        <f>'Baseline Price'!W25*(1+'Price Change'!H25)</f>
        <v>12.160868000000001</v>
      </c>
      <c r="I25" s="274">
        <f>'Baseline Price'!X25*(1+'Price Change'!I25)</f>
        <v>12.705256</v>
      </c>
      <c r="J25" s="274">
        <f>'Baseline Price'!Y25*(1+'Price Change'!J25)</f>
        <v>12.901865000000001</v>
      </c>
      <c r="K25" s="274">
        <f>'Baseline Price'!Z25*(1+'Price Change'!K25)</f>
        <v>13.316670999999999</v>
      </c>
      <c r="L25" s="274">
        <f>'Baseline Price'!AA25*(1+'Price Change'!L25)</f>
        <v>13.421931000000001</v>
      </c>
      <c r="M25" s="274">
        <f>'Baseline Price'!AB25*(1+'Price Change'!M25)</f>
        <v>13.621895</v>
      </c>
      <c r="N25" s="274">
        <f>'Baseline Price'!AC25*(1+'Price Change'!N25)</f>
        <v>13.856438000000001</v>
      </c>
      <c r="O25" s="274">
        <f>'Baseline Price'!AD25*(1+'Price Change'!O25)</f>
        <v>14.002591000000001</v>
      </c>
      <c r="P25" s="274">
        <f>'Baseline Price'!AE25*(1+'Price Change'!P25)</f>
        <v>14.099449</v>
      </c>
      <c r="Q25" s="274">
        <f>'Baseline Price'!AF25*(1+'Price Change'!Q25)</f>
        <v>14.282861</v>
      </c>
      <c r="R25" s="274">
        <f>'Baseline Price'!AG25*(1+'Price Change'!R25)</f>
        <v>14.554171999999999</v>
      </c>
      <c r="S25" s="274">
        <f>'Baseline Price'!AH25*(1+'Price Change'!S25)</f>
        <v>14.690308</v>
      </c>
      <c r="T25" s="274">
        <f>'Baseline Price'!AI25*(1+'Price Change'!T25)</f>
        <v>14.760121</v>
      </c>
      <c r="U25" s="274">
        <f>'Baseline Price'!AJ25*(1+'Price Change'!U25)</f>
        <v>14.88829</v>
      </c>
      <c r="V25" s="274">
        <f>'Baseline Price'!AK25*(1+'Price Change'!V25)</f>
        <v>14.982219000000001</v>
      </c>
      <c r="W25" s="274">
        <f>'Baseline Price'!AL25*(1+'Price Change'!W25)</f>
        <v>15.077785</v>
      </c>
      <c r="X25" s="274">
        <f>'Baseline Price'!AM25*(1+'Price Change'!X25)</f>
        <v>15.395372</v>
      </c>
      <c r="Y25" s="274">
        <f>'Baseline Price'!AN25*(1+'Price Change'!Y25)</f>
        <v>15.406392</v>
      </c>
      <c r="Z25" s="274">
        <f>'Baseline Price'!AO25*(1+'Price Change'!Z25)</f>
        <v>15.300700000000001</v>
      </c>
      <c r="AA25" s="274">
        <f>'Baseline Price'!AP25*(1+'Price Change'!AA25)</f>
        <v>15.311681</v>
      </c>
      <c r="AB25" s="274">
        <f>'Baseline Price'!AQ25*(1+'Price Change'!AB25)</f>
        <v>15.316814000000001</v>
      </c>
      <c r="AC25" s="274">
        <f>'Baseline Price'!AR25*(1+'Price Change'!AC25)</f>
        <v>15.346301</v>
      </c>
      <c r="AD25" s="274">
        <f>'Baseline Price'!AS25*(1+'Price Change'!AD25)</f>
        <v>15.366849999999999</v>
      </c>
      <c r="AE25" s="274">
        <f>'Baseline Price'!AT25*(1+'Price Change'!AE25)</f>
        <v>15.336262</v>
      </c>
      <c r="AF25" s="274">
        <f>'Baseline Price'!AU25*(1+'Price Change'!AF25)</f>
        <v>15.342311</v>
      </c>
    </row>
    <row r="26" spans="1:32">
      <c r="A26" s="40" t="str">
        <f>'Price Change'!A26</f>
        <v xml:space="preserve">   Natural Gas 2/</v>
      </c>
      <c r="B26" s="274">
        <f>'Baseline Price'!Q26*(1+'Price Change'!B26)</f>
        <v>5.3327046666666673</v>
      </c>
      <c r="C26" s="274">
        <f>'Baseline Price'!R26*(1+'Price Change'!C26)</f>
        <v>5.4029516666666666</v>
      </c>
      <c r="D26" s="274">
        <f>'Baseline Price'!S26*(1+'Price Change'!D26)</f>
        <v>5.584164666666668</v>
      </c>
      <c r="E26" s="274">
        <f>'Baseline Price'!T26*(1+'Price Change'!E26)</f>
        <v>5.8579006666666675</v>
      </c>
      <c r="F26" s="274">
        <f>'Baseline Price'!U26*(1+'Price Change'!F26)</f>
        <v>6.1478666666666673</v>
      </c>
      <c r="G26" s="274">
        <f>'Baseline Price'!V26*(1+'Price Change'!G26)</f>
        <v>6.5405616666666679</v>
      </c>
      <c r="H26" s="274">
        <f>'Baseline Price'!W26*(1+'Price Change'!H26)</f>
        <v>6.8100296666666669</v>
      </c>
      <c r="I26" s="274">
        <f>'Baseline Price'!X26*(1+'Price Change'!I26)</f>
        <v>6.9717156666666682</v>
      </c>
      <c r="J26" s="274">
        <f>'Baseline Price'!Y26*(1+'Price Change'!J26)</f>
        <v>7.2116566666666673</v>
      </c>
      <c r="K26" s="274">
        <f>'Baseline Price'!Z26*(1+'Price Change'!K26)</f>
        <v>7.3390366666666669</v>
      </c>
      <c r="L26" s="274">
        <f>'Baseline Price'!AA26*(1+'Price Change'!L26)</f>
        <v>7.519891666666668</v>
      </c>
      <c r="M26" s="274">
        <f>'Baseline Price'!AB26*(1+'Price Change'!M26)</f>
        <v>7.6746226666666688</v>
      </c>
      <c r="N26" s="274">
        <f>'Baseline Price'!AC26*(1+'Price Change'!N26)</f>
        <v>7.9626556666666684</v>
      </c>
      <c r="O26" s="274">
        <f>'Baseline Price'!AD26*(1+'Price Change'!O26)</f>
        <v>8.1927846666666699</v>
      </c>
      <c r="P26" s="274">
        <f>'Baseline Price'!AE26*(1+'Price Change'!P26)</f>
        <v>8.3096853333333343</v>
      </c>
      <c r="Q26" s="274">
        <f>'Baseline Price'!AF26*(1+'Price Change'!Q26)</f>
        <v>8.3655623333333349</v>
      </c>
      <c r="R26" s="274">
        <f>'Baseline Price'!AG26*(1+'Price Change'!R26)</f>
        <v>8.4243483333333344</v>
      </c>
      <c r="S26" s="274">
        <f>'Baseline Price'!AH26*(1+'Price Change'!S26)</f>
        <v>8.4691923333333357</v>
      </c>
      <c r="T26" s="274">
        <f>'Baseline Price'!AI26*(1+'Price Change'!T26)</f>
        <v>8.4915023333333348</v>
      </c>
      <c r="U26" s="274">
        <f>'Baseline Price'!AJ26*(1+'Price Change'!U26)</f>
        <v>8.515490333333334</v>
      </c>
      <c r="V26" s="274">
        <f>'Baseline Price'!AK26*(1+'Price Change'!V26)</f>
        <v>8.588475333333335</v>
      </c>
      <c r="W26" s="274">
        <f>'Baseline Price'!AL26*(1+'Price Change'!W26)</f>
        <v>8.592033333333335</v>
      </c>
      <c r="X26" s="274">
        <f>'Baseline Price'!AM26*(1+'Price Change'!X26)</f>
        <v>8.6293533333333343</v>
      </c>
      <c r="Y26" s="274">
        <f>'Baseline Price'!AN26*(1+'Price Change'!Y26)</f>
        <v>8.7039663333333355</v>
      </c>
      <c r="Z26" s="274">
        <f>'Baseline Price'!AO26*(1+'Price Change'!Z26)</f>
        <v>8.8067403333333356</v>
      </c>
      <c r="AA26" s="274">
        <f>'Baseline Price'!AP26*(1+'Price Change'!AA26)</f>
        <v>8.9076483333333343</v>
      </c>
      <c r="AB26" s="274">
        <f>'Baseline Price'!AQ26*(1+'Price Change'!AB26)</f>
        <v>8.9858323333333345</v>
      </c>
      <c r="AC26" s="274">
        <f>'Baseline Price'!AR26*(1+'Price Change'!AC26)</f>
        <v>9.094143333333335</v>
      </c>
      <c r="AD26" s="274">
        <f>'Baseline Price'!AS26*(1+'Price Change'!AD26)</f>
        <v>9.2464293333333352</v>
      </c>
      <c r="AE26" s="274">
        <f>'Baseline Price'!AT26*(1+'Price Change'!AE26)</f>
        <v>9.3653613333333361</v>
      </c>
      <c r="AF26" s="274">
        <f>'Baseline Price'!AU26*(1+'Price Change'!AF26)</f>
        <v>9.4653333333333336</v>
      </c>
    </row>
    <row r="27" spans="1:32">
      <c r="A27" s="40" t="str">
        <f>'Price Change'!A27</f>
        <v xml:space="preserve">   Metallurgical Coal</v>
      </c>
      <c r="B27" s="327" t="s">
        <v>329</v>
      </c>
      <c r="C27" s="327" t="s">
        <v>329</v>
      </c>
      <c r="D27" s="327" t="s">
        <v>329</v>
      </c>
      <c r="E27" s="327" t="s">
        <v>329</v>
      </c>
      <c r="F27" s="327" t="s">
        <v>329</v>
      </c>
      <c r="G27" s="327" t="s">
        <v>329</v>
      </c>
      <c r="H27" s="327" t="s">
        <v>329</v>
      </c>
      <c r="I27" s="327" t="s">
        <v>329</v>
      </c>
      <c r="J27" s="327" t="s">
        <v>329</v>
      </c>
      <c r="K27" s="327" t="s">
        <v>329</v>
      </c>
      <c r="L27" s="327" t="s">
        <v>329</v>
      </c>
      <c r="M27" s="327" t="s">
        <v>329</v>
      </c>
      <c r="N27" s="327" t="s">
        <v>329</v>
      </c>
      <c r="O27" s="327" t="s">
        <v>329</v>
      </c>
      <c r="P27" s="327" t="s">
        <v>329</v>
      </c>
      <c r="Q27" s="327" t="s">
        <v>329</v>
      </c>
      <c r="R27" s="327" t="s">
        <v>329</v>
      </c>
      <c r="S27" s="327" t="s">
        <v>329</v>
      </c>
      <c r="T27" s="327" t="s">
        <v>329</v>
      </c>
      <c r="U27" s="327" t="s">
        <v>329</v>
      </c>
      <c r="V27" s="327" t="s">
        <v>329</v>
      </c>
      <c r="W27" s="327" t="s">
        <v>329</v>
      </c>
      <c r="X27" s="327" t="s">
        <v>329</v>
      </c>
      <c r="Y27" s="327" t="s">
        <v>329</v>
      </c>
      <c r="Z27" s="327" t="s">
        <v>329</v>
      </c>
      <c r="AA27" s="327" t="s">
        <v>329</v>
      </c>
      <c r="AB27" s="327" t="s">
        <v>329</v>
      </c>
      <c r="AC27" s="327" t="s">
        <v>329</v>
      </c>
      <c r="AD27" s="327" t="s">
        <v>329</v>
      </c>
      <c r="AE27" s="327" t="s">
        <v>329</v>
      </c>
      <c r="AF27" s="327" t="s">
        <v>329</v>
      </c>
    </row>
    <row r="28" spans="1:32">
      <c r="A28" s="40" t="str">
        <f>'Price Change'!A28</f>
        <v xml:space="preserve">   Other Industrial Coal</v>
      </c>
      <c r="B28" s="274">
        <f>'Baseline Price'!Q28*(1+'Price Change'!B28)</f>
        <v>5.3749659999999997</v>
      </c>
      <c r="C28" s="274">
        <f>'Baseline Price'!R28*(1+'Price Change'!C28)</f>
        <v>5.6308130000000007</v>
      </c>
      <c r="D28" s="274">
        <f>'Baseline Price'!S28*(1+'Price Change'!D28)</f>
        <v>5.9254610000000012</v>
      </c>
      <c r="E28" s="274">
        <f>'Baseline Price'!T28*(1+'Price Change'!E28)</f>
        <v>6.2052969999999998</v>
      </c>
      <c r="F28" s="274">
        <f>'Baseline Price'!U28*(1+'Price Change'!F28)</f>
        <v>6.4962700000000009</v>
      </c>
      <c r="G28" s="274">
        <f>'Baseline Price'!V28*(1+'Price Change'!G28)</f>
        <v>6.7962910000000001</v>
      </c>
      <c r="H28" s="274">
        <f>'Baseline Price'!W28*(1+'Price Change'!H28)</f>
        <v>7.0810209999999989</v>
      </c>
      <c r="I28" s="274">
        <f>'Baseline Price'!X28*(1+'Price Change'!I28)</f>
        <v>7.3768540000000007</v>
      </c>
      <c r="J28" s="274">
        <f>'Baseline Price'!Y28*(1+'Price Change'!J28)</f>
        <v>7.6574030000000004</v>
      </c>
      <c r="K28" s="274">
        <f>'Baseline Price'!Z28*(1+'Price Change'!K28)</f>
        <v>7.9522050000000011</v>
      </c>
      <c r="L28" s="274">
        <f>'Baseline Price'!AA28*(1+'Price Change'!L28)</f>
        <v>8.2560769999999994</v>
      </c>
      <c r="M28" s="274">
        <f>'Baseline Price'!AB28*(1+'Price Change'!M28)</f>
        <v>8.5479709999999987</v>
      </c>
      <c r="N28" s="274">
        <f>'Baseline Price'!AC28*(1+'Price Change'!N28)</f>
        <v>8.8174039999999998</v>
      </c>
      <c r="O28" s="274">
        <f>'Baseline Price'!AD28*(1+'Price Change'!O28)</f>
        <v>9.103155000000001</v>
      </c>
      <c r="P28" s="274">
        <f>'Baseline Price'!AE28*(1+'Price Change'!P28)</f>
        <v>9.198850000000002</v>
      </c>
      <c r="Q28" s="274">
        <f>'Baseline Price'!AF28*(1+'Price Change'!Q28)</f>
        <v>9.1895520000000008</v>
      </c>
      <c r="R28" s="274">
        <f>'Baseline Price'!AG28*(1+'Price Change'!R28)</f>
        <v>9.1920100000000016</v>
      </c>
      <c r="S28" s="274">
        <f>'Baseline Price'!AH28*(1+'Price Change'!S28)</f>
        <v>9.1855659999999997</v>
      </c>
      <c r="T28" s="274">
        <f>'Baseline Price'!AI28*(1+'Price Change'!T28)</f>
        <v>9.1820939999999993</v>
      </c>
      <c r="U28" s="274">
        <f>'Baseline Price'!AJ28*(1+'Price Change'!U28)</f>
        <v>9.1795590000000011</v>
      </c>
      <c r="V28" s="274">
        <f>'Baseline Price'!AK28*(1+'Price Change'!V28)</f>
        <v>9.1774750000000012</v>
      </c>
      <c r="W28" s="274">
        <f>'Baseline Price'!AL28*(1+'Price Change'!W28)</f>
        <v>9.1760970000000004</v>
      </c>
      <c r="X28" s="274">
        <f>'Baseline Price'!AM28*(1+'Price Change'!X28)</f>
        <v>9.1745950000000001</v>
      </c>
      <c r="Y28" s="274">
        <f>'Baseline Price'!AN28*(1+'Price Change'!Y28)</f>
        <v>9.1741780000000013</v>
      </c>
      <c r="Z28" s="274">
        <f>'Baseline Price'!AO28*(1+'Price Change'!Z28)</f>
        <v>9.1751880000000021</v>
      </c>
      <c r="AA28" s="274">
        <f>'Baseline Price'!AP28*(1+'Price Change'!AA28)</f>
        <v>9.1817729999999997</v>
      </c>
      <c r="AB28" s="274">
        <f>'Baseline Price'!AQ28*(1+'Price Change'!AB28)</f>
        <v>9.191336999999999</v>
      </c>
      <c r="AC28" s="274">
        <f>'Baseline Price'!AR28*(1+'Price Change'!AC28)</f>
        <v>9.1941180000000013</v>
      </c>
      <c r="AD28" s="274">
        <f>'Baseline Price'!AS28*(1+'Price Change'!AD28)</f>
        <v>9.2029549999999993</v>
      </c>
      <c r="AE28" s="274">
        <f>'Baseline Price'!AT28*(1+'Price Change'!AE28)</f>
        <v>9.2156270000000013</v>
      </c>
      <c r="AF28" s="274">
        <f>'Baseline Price'!AU28*(1+'Price Change'!AF28)</f>
        <v>9.2226829999999982</v>
      </c>
    </row>
    <row r="29" spans="1:32">
      <c r="A29" s="40" t="str">
        <f>'Price Change'!A29</f>
        <v xml:space="preserve">   Coal to Liquids</v>
      </c>
      <c r="B29" s="327" t="s">
        <v>329</v>
      </c>
      <c r="C29" s="327" t="s">
        <v>329</v>
      </c>
      <c r="D29" s="327" t="s">
        <v>329</v>
      </c>
      <c r="E29" s="327" t="s">
        <v>329</v>
      </c>
      <c r="F29" s="327" t="s">
        <v>329</v>
      </c>
      <c r="G29" s="327" t="s">
        <v>329</v>
      </c>
      <c r="H29" s="327" t="s">
        <v>329</v>
      </c>
      <c r="I29" s="327" t="s">
        <v>329</v>
      </c>
      <c r="J29" s="327" t="s">
        <v>329</v>
      </c>
      <c r="K29" s="327" t="s">
        <v>329</v>
      </c>
      <c r="L29" s="327" t="s">
        <v>329</v>
      </c>
      <c r="M29" s="327" t="s">
        <v>329</v>
      </c>
      <c r="N29" s="327" t="s">
        <v>329</v>
      </c>
      <c r="O29" s="327" t="s">
        <v>329</v>
      </c>
      <c r="P29" s="327" t="s">
        <v>329</v>
      </c>
      <c r="Q29" s="327" t="s">
        <v>329</v>
      </c>
      <c r="R29" s="327" t="s">
        <v>329</v>
      </c>
      <c r="S29" s="327" t="s">
        <v>329</v>
      </c>
      <c r="T29" s="327" t="s">
        <v>329</v>
      </c>
      <c r="U29" s="327" t="s">
        <v>329</v>
      </c>
      <c r="V29" s="327" t="s">
        <v>329</v>
      </c>
      <c r="W29" s="327" t="s">
        <v>329</v>
      </c>
      <c r="X29" s="327" t="s">
        <v>329</v>
      </c>
      <c r="Y29" s="327" t="s">
        <v>329</v>
      </c>
      <c r="Z29" s="327" t="s">
        <v>329</v>
      </c>
      <c r="AA29" s="327" t="s">
        <v>329</v>
      </c>
      <c r="AB29" s="327" t="s">
        <v>329</v>
      </c>
      <c r="AC29" s="327" t="s">
        <v>329</v>
      </c>
      <c r="AD29" s="327" t="s">
        <v>329</v>
      </c>
      <c r="AE29" s="327" t="s">
        <v>329</v>
      </c>
      <c r="AF29" s="327" t="s">
        <v>329</v>
      </c>
    </row>
    <row r="30" spans="1:32">
      <c r="A30" s="40" t="str">
        <f>'Price Change'!A30</f>
        <v xml:space="preserve">   Electricity</v>
      </c>
      <c r="B30" s="274">
        <f>'Baseline Price'!Q30+'Price Change'!B90</f>
        <v>12.878892181941783</v>
      </c>
      <c r="C30" s="274">
        <f>'Baseline Price'!R30+'Price Change'!C90</f>
        <v>12.432382616177053</v>
      </c>
      <c r="D30" s="274">
        <f>'Baseline Price'!S30+'Price Change'!D90</f>
        <v>13.117596042521814</v>
      </c>
      <c r="E30" s="274">
        <f>'Baseline Price'!T30+'Price Change'!E90</f>
        <v>13.366673596637577</v>
      </c>
      <c r="F30" s="274">
        <f>'Baseline Price'!U30+'Price Change'!F90</f>
        <v>13.32168329874585</v>
      </c>
      <c r="G30" s="274">
        <f>'Baseline Price'!V30+'Price Change'!G90</f>
        <v>13.87783284610985</v>
      </c>
      <c r="H30" s="274">
        <f>'Baseline Price'!W30+'Price Change'!H90</f>
        <v>14.006319313747806</v>
      </c>
      <c r="I30" s="274">
        <f>'Baseline Price'!X30+'Price Change'!I90</f>
        <v>14.076946130190496</v>
      </c>
      <c r="J30" s="274">
        <f>'Baseline Price'!Y30+'Price Change'!J90</f>
        <v>14.168713918850425</v>
      </c>
      <c r="K30" s="274">
        <f>'Baseline Price'!Z30+'Price Change'!K90</f>
        <v>14.48919659174857</v>
      </c>
      <c r="L30" s="274">
        <f>'Baseline Price'!AA30+'Price Change'!L90</f>
        <v>14.754958250830667</v>
      </c>
      <c r="M30" s="274">
        <f>'Baseline Price'!AB30+'Price Change'!M90</f>
        <v>14.93287290696815</v>
      </c>
      <c r="N30" s="274">
        <f>'Baseline Price'!AC30+'Price Change'!N90</f>
        <v>15.082683898639887</v>
      </c>
      <c r="O30" s="274">
        <f>'Baseline Price'!AD30+'Price Change'!O90</f>
        <v>15.090416639103639</v>
      </c>
      <c r="P30" s="274">
        <f>'Baseline Price'!AE30+'Price Change'!P90</f>
        <v>15.08796914026402</v>
      </c>
      <c r="Q30" s="274">
        <f>'Baseline Price'!AF30+'Price Change'!Q90</f>
        <v>15.100824081969989</v>
      </c>
      <c r="R30" s="274">
        <f>'Baseline Price'!AG30+'Price Change'!R90</f>
        <v>15.295630016820313</v>
      </c>
      <c r="S30" s="274">
        <f>'Baseline Price'!AH30+'Price Change'!S90</f>
        <v>15.291845056434381</v>
      </c>
      <c r="T30" s="274">
        <f>'Baseline Price'!AI30+'Price Change'!T90</f>
        <v>15.233583860479776</v>
      </c>
      <c r="U30" s="274">
        <f>'Baseline Price'!AJ30+'Price Change'!U90</f>
        <v>15.152044997695825</v>
      </c>
      <c r="V30" s="274">
        <f>'Baseline Price'!AK30+'Price Change'!V90</f>
        <v>15.057866521885853</v>
      </c>
      <c r="W30" s="274">
        <f>'Baseline Price'!AL30+'Price Change'!W90</f>
        <v>15.07183588496145</v>
      </c>
      <c r="X30" s="274">
        <f>'Baseline Price'!AM30+'Price Change'!X90</f>
        <v>15.029621165903324</v>
      </c>
      <c r="Y30" s="274">
        <f>'Baseline Price'!AN30+'Price Change'!Y90</f>
        <v>14.954169458891805</v>
      </c>
      <c r="Z30" s="274">
        <f>'Baseline Price'!AO30+'Price Change'!Z90</f>
        <v>14.88637874556548</v>
      </c>
      <c r="AA30" s="274">
        <f>'Baseline Price'!AP30+'Price Change'!AA90</f>
        <v>14.851625691205404</v>
      </c>
      <c r="AB30" s="274">
        <f>'Baseline Price'!AQ30+'Price Change'!AB90</f>
        <v>14.831207057783582</v>
      </c>
      <c r="AC30" s="274">
        <f>'Baseline Price'!AR30+'Price Change'!AC90</f>
        <v>14.783067016618405</v>
      </c>
      <c r="AD30" s="274">
        <f>'Baseline Price'!AS30+'Price Change'!AD90</f>
        <v>14.753188209816168</v>
      </c>
      <c r="AE30" s="274">
        <f>'Baseline Price'!AT30+'Price Change'!AE90</f>
        <v>14.691948548551803</v>
      </c>
      <c r="AF30" s="274">
        <f>'Baseline Price'!AU30+'Price Change'!AF90</f>
        <v>14.614209584544653</v>
      </c>
    </row>
    <row r="31" spans="1:32">
      <c r="A31" s="37"/>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row>
    <row r="32" spans="1:32" s="5" customFormat="1" ht="13">
      <c r="A32" s="250" t="str">
        <f>'Price Change'!A32</f>
        <v xml:space="preserve"> Transportation</v>
      </c>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1"/>
    </row>
    <row r="33" spans="1:32" s="396" customFormat="1" ht="12.9" customHeight="1">
      <c r="A33" s="253" t="s">
        <v>6</v>
      </c>
      <c r="B33" s="253">
        <v>2020</v>
      </c>
      <c r="C33" s="253">
        <v>2021</v>
      </c>
      <c r="D33" s="253">
        <v>2022</v>
      </c>
      <c r="E33" s="253">
        <v>2023</v>
      </c>
      <c r="F33" s="253">
        <v>2024</v>
      </c>
      <c r="G33" s="253">
        <v>2025</v>
      </c>
      <c r="H33" s="253">
        <v>2026</v>
      </c>
      <c r="I33" s="253">
        <v>2027</v>
      </c>
      <c r="J33" s="253">
        <v>2028</v>
      </c>
      <c r="K33" s="253">
        <v>2029</v>
      </c>
      <c r="L33" s="253">
        <v>2030</v>
      </c>
      <c r="M33" s="253">
        <v>2031</v>
      </c>
      <c r="N33" s="253">
        <v>2032</v>
      </c>
      <c r="O33" s="253">
        <v>2033</v>
      </c>
      <c r="P33" s="253">
        <v>2034</v>
      </c>
      <c r="Q33" s="253">
        <v>2035</v>
      </c>
      <c r="R33" s="253">
        <v>2036</v>
      </c>
      <c r="S33" s="253">
        <v>2037</v>
      </c>
      <c r="T33" s="253">
        <v>2038</v>
      </c>
      <c r="U33" s="253">
        <v>2039</v>
      </c>
      <c r="V33" s="253">
        <v>2040</v>
      </c>
      <c r="W33" s="253">
        <v>2041</v>
      </c>
      <c r="X33" s="253">
        <v>2042</v>
      </c>
      <c r="Y33" s="253">
        <v>2043</v>
      </c>
      <c r="Z33" s="253">
        <v>2044</v>
      </c>
      <c r="AA33" s="253">
        <v>2045</v>
      </c>
      <c r="AB33" s="253">
        <v>2046</v>
      </c>
      <c r="AC33" s="253">
        <v>2047</v>
      </c>
      <c r="AD33" s="253">
        <v>2048</v>
      </c>
      <c r="AE33" s="253">
        <v>2049</v>
      </c>
      <c r="AF33" s="253">
        <v>2050</v>
      </c>
    </row>
    <row r="34" spans="1:32">
      <c r="A34" s="40" t="str">
        <f>'Price Change'!A34</f>
        <v xml:space="preserve">   Liquefied Petroleum Gases 3/</v>
      </c>
      <c r="B34" s="274">
        <f>'Baseline Price'!Q34*(1+'Price Change'!B34)</f>
        <v>19.550688999999998</v>
      </c>
      <c r="C34" s="274">
        <f>'Baseline Price'!R34*(1+'Price Change'!C34)</f>
        <v>20.044926999999998</v>
      </c>
      <c r="D34" s="274">
        <f>'Baseline Price'!S34*(1+'Price Change'!D34)</f>
        <v>20.509563999999997</v>
      </c>
      <c r="E34" s="274">
        <f>'Baseline Price'!T34*(1+'Price Change'!E34)</f>
        <v>20.927277999999998</v>
      </c>
      <c r="F34" s="274">
        <f>'Baseline Price'!U34*(1+'Price Change'!F34)</f>
        <v>23.405052999999999</v>
      </c>
      <c r="G34" s="274">
        <f>'Baseline Price'!V34*(1+'Price Change'!G34)</f>
        <v>23.657492000000001</v>
      </c>
      <c r="H34" s="274">
        <f>'Baseline Price'!W34*(1+'Price Change'!H34)</f>
        <v>23.902089</v>
      </c>
      <c r="I34" s="274">
        <f>'Baseline Price'!X34*(1+'Price Change'!I34)</f>
        <v>24.130519</v>
      </c>
      <c r="J34" s="274">
        <f>'Baseline Price'!Y34*(1+'Price Change'!J34)</f>
        <v>24.405010999999998</v>
      </c>
      <c r="K34" s="274">
        <f>'Baseline Price'!Z34*(1+'Price Change'!K34)</f>
        <v>25.133870000000002</v>
      </c>
      <c r="L34" s="274">
        <f>'Baseline Price'!AA34*(1+'Price Change'!L34)</f>
        <v>25.416004999999998</v>
      </c>
      <c r="M34" s="274">
        <f>'Baseline Price'!AB34*(1+'Price Change'!M34)</f>
        <v>25.799153</v>
      </c>
      <c r="N34" s="274">
        <f>'Baseline Price'!AC34*(1+'Price Change'!N34)</f>
        <v>26.241253</v>
      </c>
      <c r="O34" s="274">
        <f>'Baseline Price'!AD34*(1+'Price Change'!O34)</f>
        <v>26.654187000000004</v>
      </c>
      <c r="P34" s="274">
        <f>'Baseline Price'!AE34*(1+'Price Change'!P34)</f>
        <v>26.890357999999996</v>
      </c>
      <c r="Q34" s="274">
        <f>'Baseline Price'!AF34*(1+'Price Change'!Q34)</f>
        <v>27.108792999999999</v>
      </c>
      <c r="R34" s="274">
        <f>'Baseline Price'!AG34*(1+'Price Change'!R34)</f>
        <v>27.338799999999999</v>
      </c>
      <c r="S34" s="274">
        <f>'Baseline Price'!AH34*(1+'Price Change'!S34)</f>
        <v>27.432083000000002</v>
      </c>
      <c r="T34" s="274">
        <f>'Baseline Price'!AI34*(1+'Price Change'!T34)</f>
        <v>27.774979999999996</v>
      </c>
      <c r="U34" s="274">
        <f>'Baseline Price'!AJ34*(1+'Price Change'!U34)</f>
        <v>27.921874999999996</v>
      </c>
      <c r="V34" s="274">
        <f>'Baseline Price'!AK34*(1+'Price Change'!V34)</f>
        <v>28.039362000000001</v>
      </c>
      <c r="W34" s="274">
        <f>'Baseline Price'!AL34*(1+'Price Change'!W34)</f>
        <v>28.217838</v>
      </c>
      <c r="X34" s="274">
        <f>'Baseline Price'!AM34*(1+'Price Change'!X34)</f>
        <v>28.359916000000002</v>
      </c>
      <c r="Y34" s="274">
        <f>'Baseline Price'!AN34*(1+'Price Change'!Y34)</f>
        <v>28.544731000000002</v>
      </c>
      <c r="Z34" s="274">
        <f>'Baseline Price'!AO34*(1+'Price Change'!Z34)</f>
        <v>28.683233000000001</v>
      </c>
      <c r="AA34" s="274">
        <f>'Baseline Price'!AP34*(1+'Price Change'!AA34)</f>
        <v>28.884257999999996</v>
      </c>
      <c r="AB34" s="274">
        <f>'Baseline Price'!AQ34*(1+'Price Change'!AB34)</f>
        <v>29.013692999999996</v>
      </c>
      <c r="AC34" s="274">
        <f>'Baseline Price'!AR34*(1+'Price Change'!AC34)</f>
        <v>29.174797000000002</v>
      </c>
      <c r="AD34" s="274">
        <f>'Baseline Price'!AS34*(1+'Price Change'!AD34)</f>
        <v>29.386596000000001</v>
      </c>
      <c r="AE34" s="274">
        <f>'Baseline Price'!AT34*(1+'Price Change'!AE34)</f>
        <v>29.583501000000002</v>
      </c>
      <c r="AF34" s="274">
        <f>'Baseline Price'!AU34*(1+'Price Change'!AF34)</f>
        <v>29.710208999999999</v>
      </c>
    </row>
    <row r="35" spans="1:32">
      <c r="A35" s="40" t="str">
        <f>'Price Change'!A35</f>
        <v xml:space="preserve">   E85 4/</v>
      </c>
      <c r="B35" s="274">
        <f>'Baseline Price'!Q35*(1+'Price Change'!B35)</f>
        <v>33.935108999999997</v>
      </c>
      <c r="C35" s="274">
        <f>'Baseline Price'!R35*(1+'Price Change'!C35)</f>
        <v>34.839098</v>
      </c>
      <c r="D35" s="274">
        <f>'Baseline Price'!S35*(1+'Price Change'!D35)</f>
        <v>33.903964000000002</v>
      </c>
      <c r="E35" s="274">
        <f>'Baseline Price'!T35*(1+'Price Change'!E35)</f>
        <v>31.587440999999998</v>
      </c>
      <c r="F35" s="274">
        <f>'Baseline Price'!U35*(1+'Price Change'!F35)</f>
        <v>31.428154000000003</v>
      </c>
      <c r="G35" s="274">
        <f>'Baseline Price'!V35*(1+'Price Change'!G35)</f>
        <v>29.306575000000002</v>
      </c>
      <c r="H35" s="274">
        <f>'Baseline Price'!W35*(1+'Price Change'!H35)</f>
        <v>28.774607</v>
      </c>
      <c r="I35" s="274">
        <f>'Baseline Price'!X35*(1+'Price Change'!I35)</f>
        <v>27.998611</v>
      </c>
      <c r="J35" s="274">
        <f>'Baseline Price'!Y35*(1+'Price Change'!J35)</f>
        <v>27.822561999999998</v>
      </c>
      <c r="K35" s="274">
        <f>'Baseline Price'!Z35*(1+'Price Change'!K35)</f>
        <v>28.039369999999998</v>
      </c>
      <c r="L35" s="274">
        <f>'Baseline Price'!AA35*(1+'Price Change'!L35)</f>
        <v>27.857257000000001</v>
      </c>
      <c r="M35" s="274">
        <f>'Baseline Price'!AB35*(1+'Price Change'!M35)</f>
        <v>28.664673999999998</v>
      </c>
      <c r="N35" s="274">
        <f>'Baseline Price'!AC35*(1+'Price Change'!N35)</f>
        <v>28.813206000000001</v>
      </c>
      <c r="O35" s="274">
        <f>'Baseline Price'!AD35*(1+'Price Change'!O35)</f>
        <v>28.513054999999998</v>
      </c>
      <c r="P35" s="274">
        <f>'Baseline Price'!AE35*(1+'Price Change'!P35)</f>
        <v>28.343021000000004</v>
      </c>
      <c r="Q35" s="274">
        <f>'Baseline Price'!AF35*(1+'Price Change'!Q35)</f>
        <v>28.089657000000003</v>
      </c>
      <c r="R35" s="274">
        <f>'Baseline Price'!AG35*(1+'Price Change'!R35)</f>
        <v>28.015745000000003</v>
      </c>
      <c r="S35" s="274">
        <f>'Baseline Price'!AH35*(1+'Price Change'!S35)</f>
        <v>28.384312000000001</v>
      </c>
      <c r="T35" s="274">
        <f>'Baseline Price'!AI35*(1+'Price Change'!T35)</f>
        <v>28.513560999999999</v>
      </c>
      <c r="U35" s="274">
        <f>'Baseline Price'!AJ35*(1+'Price Change'!U35)</f>
        <v>28.900303000000001</v>
      </c>
      <c r="V35" s="274">
        <f>'Baseline Price'!AK35*(1+'Price Change'!V35)</f>
        <v>29.422847999999995</v>
      </c>
      <c r="W35" s="274">
        <f>'Baseline Price'!AL35*(1+'Price Change'!W35)</f>
        <v>29.997524000000002</v>
      </c>
      <c r="X35" s="274">
        <f>'Baseline Price'!AM35*(1+'Price Change'!X35)</f>
        <v>30.578450999999998</v>
      </c>
      <c r="Y35" s="274">
        <f>'Baseline Price'!AN35*(1+'Price Change'!Y35)</f>
        <v>31.123701000000001</v>
      </c>
      <c r="Z35" s="274">
        <f>'Baseline Price'!AO35*(1+'Price Change'!Z35)</f>
        <v>31.967746999999996</v>
      </c>
      <c r="AA35" s="274">
        <f>'Baseline Price'!AP35*(1+'Price Change'!AA35)</f>
        <v>32.014865999999998</v>
      </c>
      <c r="AB35" s="274">
        <f>'Baseline Price'!AQ35*(1+'Price Change'!AB35)</f>
        <v>31.947464000000004</v>
      </c>
      <c r="AC35" s="274">
        <f>'Baseline Price'!AR35*(1+'Price Change'!AC35)</f>
        <v>32.531388999999997</v>
      </c>
      <c r="AD35" s="274">
        <f>'Baseline Price'!AS35*(1+'Price Change'!AD35)</f>
        <v>34.212224999999997</v>
      </c>
      <c r="AE35" s="274">
        <f>'Baseline Price'!AT35*(1+'Price Change'!AE35)</f>
        <v>36.230116000000002</v>
      </c>
      <c r="AF35" s="274">
        <f>'Baseline Price'!AU35*(1+'Price Change'!AF35)</f>
        <v>36.747621000000002</v>
      </c>
    </row>
    <row r="36" spans="1:32">
      <c r="A36" s="40" t="str">
        <f>'Price Change'!A36</f>
        <v xml:space="preserve">   Motor Gasoline 5/</v>
      </c>
      <c r="B36" s="274">
        <f>'Baseline Price'!Q36*(1+'Price Change'!B36)</f>
        <v>25.632628423340094</v>
      </c>
      <c r="C36" s="274">
        <f>'Baseline Price'!R36*(1+'Price Change'!C36)</f>
        <v>27.226602706618966</v>
      </c>
      <c r="D36" s="274">
        <f>'Baseline Price'!S36*(1+'Price Change'!D36)</f>
        <v>28.029658243423942</v>
      </c>
      <c r="E36" s="274">
        <f>'Baseline Price'!T36*(1+'Price Change'!E36)</f>
        <v>28.707029043212611</v>
      </c>
      <c r="F36" s="274">
        <f>'Baseline Price'!U36*(1+'Price Change'!F36)</f>
        <v>31.861373533691001</v>
      </c>
      <c r="G36" s="274">
        <f>'Baseline Price'!V36*(1+'Price Change'!G36)</f>
        <v>32.134583492356796</v>
      </c>
      <c r="H36" s="274">
        <f>'Baseline Price'!W36*(1+'Price Change'!H36)</f>
        <v>32.440392826902787</v>
      </c>
      <c r="I36" s="274">
        <f>'Baseline Price'!X36*(1+'Price Change'!I36)</f>
        <v>32.81185856371517</v>
      </c>
      <c r="J36" s="274">
        <f>'Baseline Price'!Y36*(1+'Price Change'!J36)</f>
        <v>33.300787303915278</v>
      </c>
      <c r="K36" s="274">
        <f>'Baseline Price'!Z36*(1+'Price Change'!K36)</f>
        <v>34.132401359976498</v>
      </c>
      <c r="L36" s="274">
        <f>'Baseline Price'!AA36*(1+'Price Change'!L36)</f>
        <v>34.480719566472331</v>
      </c>
      <c r="M36" s="274">
        <f>'Baseline Price'!AB36*(1+'Price Change'!M36)</f>
        <v>35.044555451405387</v>
      </c>
      <c r="N36" s="274">
        <f>'Baseline Price'!AC36*(1+'Price Change'!N36)</f>
        <v>35.390913372571561</v>
      </c>
      <c r="O36" s="274">
        <f>'Baseline Price'!AD36*(1+'Price Change'!O36)</f>
        <v>35.661724190083646</v>
      </c>
      <c r="P36" s="274">
        <f>'Baseline Price'!AE36*(1+'Price Change'!P36)</f>
        <v>35.910156096806666</v>
      </c>
      <c r="Q36" s="274">
        <f>'Baseline Price'!AF36*(1+'Price Change'!Q36)</f>
        <v>36.046493659564639</v>
      </c>
      <c r="R36" s="274">
        <f>'Baseline Price'!AG36*(1+'Price Change'!R36)</f>
        <v>36.080398326107776</v>
      </c>
      <c r="S36" s="274">
        <f>'Baseline Price'!AH36*(1+'Price Change'!S36)</f>
        <v>36.470288365209406</v>
      </c>
      <c r="T36" s="274">
        <f>'Baseline Price'!AI36*(1+'Price Change'!T36)</f>
        <v>36.57306144516793</v>
      </c>
      <c r="U36" s="274">
        <f>'Baseline Price'!AJ36*(1+'Price Change'!U36)</f>
        <v>36.76854023368675</v>
      </c>
      <c r="V36" s="274">
        <f>'Baseline Price'!AK36*(1+'Price Change'!V36)</f>
        <v>36.996247203116809</v>
      </c>
      <c r="W36" s="274">
        <f>'Baseline Price'!AL36*(1+'Price Change'!W36)</f>
        <v>37.170880809860641</v>
      </c>
      <c r="X36" s="274">
        <f>'Baseline Price'!AM36*(1+'Price Change'!X36)</f>
        <v>37.299858375158422</v>
      </c>
      <c r="Y36" s="274">
        <f>'Baseline Price'!AN36*(1+'Price Change'!Y36)</f>
        <v>37.379648378267667</v>
      </c>
      <c r="Z36" s="274">
        <f>'Baseline Price'!AO36*(1+'Price Change'!Z36)</f>
        <v>37.456359812469906</v>
      </c>
      <c r="AA36" s="274">
        <f>'Baseline Price'!AP36*(1+'Price Change'!AA36)</f>
        <v>37.579096603618943</v>
      </c>
      <c r="AB36" s="274">
        <f>'Baseline Price'!AQ36*(1+'Price Change'!AB36)</f>
        <v>37.48797434701477</v>
      </c>
      <c r="AC36" s="274">
        <f>'Baseline Price'!AR36*(1+'Price Change'!AC36)</f>
        <v>37.621110235698829</v>
      </c>
      <c r="AD36" s="274">
        <f>'Baseline Price'!AS36*(1+'Price Change'!AD36)</f>
        <v>37.804429804715959</v>
      </c>
      <c r="AE36" s="274">
        <f>'Baseline Price'!AT36*(1+'Price Change'!AE36)</f>
        <v>37.846192527791523</v>
      </c>
      <c r="AF36" s="274">
        <f>'Baseline Price'!AU36*(1+'Price Change'!AF36)</f>
        <v>37.948914862108722</v>
      </c>
    </row>
    <row r="37" spans="1:32">
      <c r="A37" s="40" t="str">
        <f>'Price Change'!A37</f>
        <v xml:space="preserve">   Jet Fuel 6/</v>
      </c>
      <c r="B37" s="274">
        <f>'Baseline Price'!Q37*(1+'Price Change'!B37)</f>
        <v>16.655777</v>
      </c>
      <c r="C37" s="274">
        <f>'Baseline Price'!R37*(1+'Price Change'!C37)</f>
        <v>18.258929999999999</v>
      </c>
      <c r="D37" s="274">
        <f>'Baseline Price'!S37*(1+'Price Change'!D37)</f>
        <v>18.930979000000001</v>
      </c>
      <c r="E37" s="274">
        <f>'Baseline Price'!T37*(1+'Price Change'!E37)</f>
        <v>19.509972000000001</v>
      </c>
      <c r="F37" s="274">
        <f>'Baseline Price'!U37*(1+'Price Change'!F37)</f>
        <v>20.100172000000001</v>
      </c>
      <c r="G37" s="274">
        <f>'Baseline Price'!V37*(1+'Price Change'!G37)</f>
        <v>20.224865000000001</v>
      </c>
      <c r="H37" s="274">
        <f>'Baseline Price'!W37*(1+'Price Change'!H37)</f>
        <v>20.325897000000001</v>
      </c>
      <c r="I37" s="274">
        <f>'Baseline Price'!X37*(1+'Price Change'!I37)</f>
        <v>20.659405</v>
      </c>
      <c r="J37" s="274">
        <f>'Baseline Price'!Y37*(1+'Price Change'!J37)</f>
        <v>20.953747</v>
      </c>
      <c r="K37" s="274">
        <f>'Baseline Price'!Z37*(1+'Price Change'!K37)</f>
        <v>21.510567000000002</v>
      </c>
      <c r="L37" s="274">
        <f>'Baseline Price'!AA37*(1+'Price Change'!L37)</f>
        <v>21.723246</v>
      </c>
      <c r="M37" s="274">
        <f>'Baseline Price'!AB37*(1+'Price Change'!M37)</f>
        <v>22.113056</v>
      </c>
      <c r="N37" s="274">
        <f>'Baseline Price'!AC37*(1+'Price Change'!N37)</f>
        <v>22.350823999999999</v>
      </c>
      <c r="O37" s="274">
        <f>'Baseline Price'!AD37*(1+'Price Change'!O37)</f>
        <v>22.687228999999999</v>
      </c>
      <c r="P37" s="274">
        <f>'Baseline Price'!AE37*(1+'Price Change'!P37)</f>
        <v>22.910995</v>
      </c>
      <c r="Q37" s="274">
        <f>'Baseline Price'!AF37*(1+'Price Change'!Q37)</f>
        <v>23.109155999999999</v>
      </c>
      <c r="R37" s="274">
        <f>'Baseline Price'!AG37*(1+'Price Change'!R37)</f>
        <v>23.296961</v>
      </c>
      <c r="S37" s="274">
        <f>'Baseline Price'!AH37*(1+'Price Change'!S37)</f>
        <v>23.794943</v>
      </c>
      <c r="T37" s="274">
        <f>'Baseline Price'!AI37*(1+'Price Change'!T37)</f>
        <v>24.056287999999999</v>
      </c>
      <c r="U37" s="274">
        <f>'Baseline Price'!AJ37*(1+'Price Change'!U37)</f>
        <v>24.244046999999998</v>
      </c>
      <c r="V37" s="274">
        <f>'Baseline Price'!AK37*(1+'Price Change'!V37)</f>
        <v>24.428225999999999</v>
      </c>
      <c r="W37" s="274">
        <f>'Baseline Price'!AL37*(1+'Price Change'!W37)</f>
        <v>24.646035999999999</v>
      </c>
      <c r="X37" s="274">
        <f>'Baseline Price'!AM37*(1+'Price Change'!X37)</f>
        <v>24.762561999999999</v>
      </c>
      <c r="Y37" s="274">
        <f>'Baseline Price'!AN37*(1+'Price Change'!Y37)</f>
        <v>24.976828000000001</v>
      </c>
      <c r="Z37" s="274">
        <f>'Baseline Price'!AO37*(1+'Price Change'!Z37)</f>
        <v>25.168385000000001</v>
      </c>
      <c r="AA37" s="274">
        <f>'Baseline Price'!AP37*(1+'Price Change'!AA37)</f>
        <v>25.326723000000001</v>
      </c>
      <c r="AB37" s="274">
        <f>'Baseline Price'!AQ37*(1+'Price Change'!AB37)</f>
        <v>25.416198999999999</v>
      </c>
      <c r="AC37" s="274">
        <f>'Baseline Price'!AR37*(1+'Price Change'!AC37)</f>
        <v>25.599374999999998</v>
      </c>
      <c r="AD37" s="274">
        <f>'Baseline Price'!AS37*(1+'Price Change'!AD37)</f>
        <v>25.859846000000001</v>
      </c>
      <c r="AE37" s="274">
        <f>'Baseline Price'!AT37*(1+'Price Change'!AE37)</f>
        <v>26.157774</v>
      </c>
      <c r="AF37" s="274">
        <f>'Baseline Price'!AU37*(1+'Price Change'!AF37)</f>
        <v>26.265492999999999</v>
      </c>
    </row>
    <row r="38" spans="1:32">
      <c r="A38" s="40" t="str">
        <f>'Price Change'!A38</f>
        <v xml:space="preserve">   Diesel Fuel (distillate fuel oil) 7/</v>
      </c>
      <c r="B38" s="274">
        <f>'Baseline Price'!Q38*(1+'Price Change'!B38)</f>
        <v>23.790500550890211</v>
      </c>
      <c r="C38" s="274">
        <f>'Baseline Price'!R38*(1+'Price Change'!C38)</f>
        <v>25.134704380227749</v>
      </c>
      <c r="D38" s="274">
        <f>'Baseline Price'!S38*(1+'Price Change'!D38)</f>
        <v>25.736508534554353</v>
      </c>
      <c r="E38" s="274">
        <f>'Baseline Price'!T38*(1+'Price Change'!E38)</f>
        <v>26.364712630292249</v>
      </c>
      <c r="F38" s="274">
        <f>'Baseline Price'!U38*(1+'Price Change'!F38)</f>
        <v>29.488915240779729</v>
      </c>
      <c r="G38" s="274">
        <f>'Baseline Price'!V38*(1+'Price Change'!G38)</f>
        <v>30.022115982088707</v>
      </c>
      <c r="H38" s="274">
        <f>'Baseline Price'!W38*(1+'Price Change'!H38)</f>
        <v>30.381729328302139</v>
      </c>
      <c r="I38" s="274">
        <f>'Baseline Price'!X38*(1+'Price Change'!I38)</f>
        <v>30.894424192175048</v>
      </c>
      <c r="J38" s="274">
        <f>'Baseline Price'!Y38*(1+'Price Change'!J38)</f>
        <v>31.428773953360725</v>
      </c>
      <c r="K38" s="274">
        <f>'Baseline Price'!Z38*(1+'Price Change'!K38)</f>
        <v>32.346699947816987</v>
      </c>
      <c r="L38" s="274">
        <f>'Baseline Price'!AA38*(1+'Price Change'!L38)</f>
        <v>32.773848336791104</v>
      </c>
      <c r="M38" s="274">
        <f>'Baseline Price'!AB38*(1+'Price Change'!M38)</f>
        <v>33.311110972478374</v>
      </c>
      <c r="N38" s="274">
        <f>'Baseline Price'!AC38*(1+'Price Change'!N38)</f>
        <v>33.641325160244818</v>
      </c>
      <c r="O38" s="274">
        <f>'Baseline Price'!AD38*(1+'Price Change'!O38)</f>
        <v>34.150523625896746</v>
      </c>
      <c r="P38" s="274">
        <f>'Baseline Price'!AE38*(1+'Price Change'!P38)</f>
        <v>34.485704240468742</v>
      </c>
      <c r="Q38" s="274">
        <f>'Baseline Price'!AF38*(1+'Price Change'!Q38)</f>
        <v>34.614795817118903</v>
      </c>
      <c r="R38" s="274">
        <f>'Baseline Price'!AG38*(1+'Price Change'!R38)</f>
        <v>34.752146863650651</v>
      </c>
      <c r="S38" s="274">
        <f>'Baseline Price'!AH38*(1+'Price Change'!S38)</f>
        <v>35.151387150715074</v>
      </c>
      <c r="T38" s="274">
        <f>'Baseline Price'!AI38*(1+'Price Change'!T38)</f>
        <v>35.313585870682665</v>
      </c>
      <c r="U38" s="274">
        <f>'Baseline Price'!AJ38*(1+'Price Change'!U38)</f>
        <v>35.462327489980474</v>
      </c>
      <c r="V38" s="274">
        <f>'Baseline Price'!AK38*(1+'Price Change'!V38)</f>
        <v>35.603761304909753</v>
      </c>
      <c r="W38" s="274">
        <f>'Baseline Price'!AL38*(1+'Price Change'!W38)</f>
        <v>35.762373488846059</v>
      </c>
      <c r="X38" s="274">
        <f>'Baseline Price'!AM38*(1+'Price Change'!X38)</f>
        <v>35.787546607218083</v>
      </c>
      <c r="Y38" s="274">
        <f>'Baseline Price'!AN38*(1+'Price Change'!Y38)</f>
        <v>35.865984529750101</v>
      </c>
      <c r="Z38" s="274">
        <f>'Baseline Price'!AO38*(1+'Price Change'!Z38)</f>
        <v>35.921205798803342</v>
      </c>
      <c r="AA38" s="274">
        <f>'Baseline Price'!AP38*(1+'Price Change'!AA38)</f>
        <v>35.999219599217362</v>
      </c>
      <c r="AB38" s="274">
        <f>'Baseline Price'!AQ38*(1+'Price Change'!AB38)</f>
        <v>35.95370569792501</v>
      </c>
      <c r="AC38" s="274">
        <f>'Baseline Price'!AR38*(1+'Price Change'!AC38)</f>
        <v>36.029344604242112</v>
      </c>
      <c r="AD38" s="274">
        <f>'Baseline Price'!AS38*(1+'Price Change'!AD38)</f>
        <v>36.082572404458915</v>
      </c>
      <c r="AE38" s="274">
        <f>'Baseline Price'!AT38*(1+'Price Change'!AE38)</f>
        <v>35.925796185395768</v>
      </c>
      <c r="AF38" s="274">
        <f>'Baseline Price'!AU38*(1+'Price Change'!AF38)</f>
        <v>35.99871292984151</v>
      </c>
    </row>
    <row r="39" spans="1:32">
      <c r="A39" s="40" t="str">
        <f>'Price Change'!A39</f>
        <v xml:space="preserve">   Residual Fuel Oil</v>
      </c>
      <c r="B39" s="274">
        <f>'Baseline Price'!Q39*(1+'Price Change'!B39)</f>
        <v>15.380401000000001</v>
      </c>
      <c r="C39" s="274">
        <f>'Baseline Price'!R39*(1+'Price Change'!C39)</f>
        <v>16.985220000000002</v>
      </c>
      <c r="D39" s="274">
        <f>'Baseline Price'!S39*(1+'Price Change'!D39)</f>
        <v>18.720980000000001</v>
      </c>
      <c r="E39" s="274">
        <f>'Baseline Price'!T39*(1+'Price Change'!E39)</f>
        <v>19.134377000000001</v>
      </c>
      <c r="F39" s="274">
        <f>'Baseline Price'!U39*(1+'Price Change'!F39)</f>
        <v>19.106483000000001</v>
      </c>
      <c r="G39" s="274">
        <f>'Baseline Price'!V39*(1+'Price Change'!G39)</f>
        <v>19.133807999999998</v>
      </c>
      <c r="H39" s="274">
        <f>'Baseline Price'!W39*(1+'Price Change'!H39)</f>
        <v>19.553170999999999</v>
      </c>
      <c r="I39" s="274">
        <f>'Baseline Price'!X39*(1+'Price Change'!I39)</f>
        <v>19.710277999999999</v>
      </c>
      <c r="J39" s="274">
        <f>'Baseline Price'!Y39*(1+'Price Change'!J39)</f>
        <v>19.886894000000002</v>
      </c>
      <c r="K39" s="274">
        <f>'Baseline Price'!Z39*(1+'Price Change'!K39)</f>
        <v>20.164287999999999</v>
      </c>
      <c r="L39" s="274">
        <f>'Baseline Price'!AA39*(1+'Price Change'!L39)</f>
        <v>20.338757000000001</v>
      </c>
      <c r="M39" s="274">
        <f>'Baseline Price'!AB39*(1+'Price Change'!M39)</f>
        <v>20.608881</v>
      </c>
      <c r="N39" s="274">
        <f>'Baseline Price'!AC39*(1+'Price Change'!N39)</f>
        <v>20.777021000000001</v>
      </c>
      <c r="O39" s="274">
        <f>'Baseline Price'!AD39*(1+'Price Change'!O39)</f>
        <v>20.970106000000001</v>
      </c>
      <c r="P39" s="274">
        <f>'Baseline Price'!AE39*(1+'Price Change'!P39)</f>
        <v>21.154682000000001</v>
      </c>
      <c r="Q39" s="274">
        <f>'Baseline Price'!AF39*(1+'Price Change'!Q39)</f>
        <v>21.319182999999999</v>
      </c>
      <c r="R39" s="274">
        <f>'Baseline Price'!AG39*(1+'Price Change'!R39)</f>
        <v>21.416967</v>
      </c>
      <c r="S39" s="274">
        <f>'Baseline Price'!AH39*(1+'Price Change'!S39)</f>
        <v>21.795977000000001</v>
      </c>
      <c r="T39" s="274">
        <f>'Baseline Price'!AI39*(1+'Price Change'!T39)</f>
        <v>21.921675</v>
      </c>
      <c r="U39" s="274">
        <f>'Baseline Price'!AJ39*(1+'Price Change'!U39)</f>
        <v>22.075838000000001</v>
      </c>
      <c r="V39" s="274">
        <f>'Baseline Price'!AK39*(1+'Price Change'!V39)</f>
        <v>22.220699</v>
      </c>
      <c r="W39" s="274">
        <f>'Baseline Price'!AL39*(1+'Price Change'!W39)</f>
        <v>22.411581000000002</v>
      </c>
      <c r="X39" s="274">
        <f>'Baseline Price'!AM39*(1+'Price Change'!X39)</f>
        <v>22.477058</v>
      </c>
      <c r="Y39" s="274">
        <f>'Baseline Price'!AN39*(1+'Price Change'!Y39)</f>
        <v>22.543178999999999</v>
      </c>
      <c r="Z39" s="274">
        <f>'Baseline Price'!AO39*(1+'Price Change'!Z39)</f>
        <v>22.553353999999999</v>
      </c>
      <c r="AA39" s="274">
        <f>'Baseline Price'!AP39*(1+'Price Change'!AA39)</f>
        <v>22.600245000000001</v>
      </c>
      <c r="AB39" s="274">
        <f>'Baseline Price'!AQ39*(1+'Price Change'!AB39)</f>
        <v>22.526717999999999</v>
      </c>
      <c r="AC39" s="274">
        <f>'Baseline Price'!AR39*(1+'Price Change'!AC39)</f>
        <v>22.623985000000001</v>
      </c>
      <c r="AD39" s="274">
        <f>'Baseline Price'!AS39*(1+'Price Change'!AD39)</f>
        <v>22.757549000000001</v>
      </c>
      <c r="AE39" s="274">
        <f>'Baseline Price'!AT39*(1+'Price Change'!AE39)</f>
        <v>22.785765000000001</v>
      </c>
      <c r="AF39" s="274">
        <f>'Baseline Price'!AU39*(1+'Price Change'!AF39)</f>
        <v>22.906047999999998</v>
      </c>
    </row>
    <row r="40" spans="1:32">
      <c r="A40" s="40" t="str">
        <f>'Price Change'!A40</f>
        <v xml:space="preserve">   Natural Gas 8/</v>
      </c>
      <c r="B40" s="274">
        <f>'Baseline Price'!Q40*(1+'Price Change'!B40)</f>
        <v>16.056594666666669</v>
      </c>
      <c r="C40" s="274">
        <f>'Baseline Price'!R40*(1+'Price Change'!C40)</f>
        <v>15.343852666666667</v>
      </c>
      <c r="D40" s="274">
        <f>'Baseline Price'!S40*(1+'Price Change'!D40)</f>
        <v>15.353142666666667</v>
      </c>
      <c r="E40" s="274">
        <f>'Baseline Price'!T40*(1+'Price Change'!E40)</f>
        <v>15.551522666666667</v>
      </c>
      <c r="F40" s="274">
        <f>'Baseline Price'!U40*(1+'Price Change'!F40)</f>
        <v>18.502529666666668</v>
      </c>
      <c r="G40" s="274">
        <f>'Baseline Price'!V40*(1+'Price Change'!G40)</f>
        <v>18.742067666666667</v>
      </c>
      <c r="H40" s="274">
        <f>'Baseline Price'!W40*(1+'Price Change'!H40)</f>
        <v>18.841780666666669</v>
      </c>
      <c r="I40" s="274">
        <f>'Baseline Price'!X40*(1+'Price Change'!I40)</f>
        <v>18.961506666666669</v>
      </c>
      <c r="J40" s="274">
        <f>'Baseline Price'!Y40*(1+'Price Change'!J40)</f>
        <v>19.029027666666668</v>
      </c>
      <c r="K40" s="274">
        <f>'Baseline Price'!Z40*(1+'Price Change'!K40)</f>
        <v>19.539270666666667</v>
      </c>
      <c r="L40" s="274">
        <f>'Baseline Price'!AA40*(1+'Price Change'!L40)</f>
        <v>19.60496366666667</v>
      </c>
      <c r="M40" s="274">
        <f>'Baseline Price'!AB40*(1+'Price Change'!M40)</f>
        <v>19.671853666666667</v>
      </c>
      <c r="N40" s="274">
        <f>'Baseline Price'!AC40*(1+'Price Change'!N40)</f>
        <v>19.774600666666668</v>
      </c>
      <c r="O40" s="274">
        <f>'Baseline Price'!AD40*(1+'Price Change'!O40)</f>
        <v>19.864407666666672</v>
      </c>
      <c r="P40" s="274">
        <f>'Baseline Price'!AE40*(1+'Price Change'!P40)</f>
        <v>19.875749333333335</v>
      </c>
      <c r="Q40" s="274">
        <f>'Baseline Price'!AF40*(1+'Price Change'!Q40)</f>
        <v>19.817151333333335</v>
      </c>
      <c r="R40" s="274">
        <f>'Baseline Price'!AG40*(1+'Price Change'!R40)</f>
        <v>19.871690333333333</v>
      </c>
      <c r="S40" s="274">
        <f>'Baseline Price'!AH40*(1+'Price Change'!S40)</f>
        <v>19.826083333333333</v>
      </c>
      <c r="T40" s="274">
        <f>'Baseline Price'!AI40*(1+'Price Change'!T40)</f>
        <v>19.838347333333335</v>
      </c>
      <c r="U40" s="274">
        <f>'Baseline Price'!AJ40*(1+'Price Change'!U40)</f>
        <v>19.844886333333335</v>
      </c>
      <c r="V40" s="274">
        <f>'Baseline Price'!AK40*(1+'Price Change'!V40)</f>
        <v>19.836568333333332</v>
      </c>
      <c r="W40" s="274">
        <f>'Baseline Price'!AL40*(1+'Price Change'!W40)</f>
        <v>19.852468333333334</v>
      </c>
      <c r="X40" s="274">
        <f>'Baseline Price'!AM40*(1+'Price Change'!X40)</f>
        <v>19.895703333333334</v>
      </c>
      <c r="Y40" s="274">
        <f>'Baseline Price'!AN40*(1+'Price Change'!Y40)</f>
        <v>19.912284333333332</v>
      </c>
      <c r="Z40" s="274">
        <f>'Baseline Price'!AO40*(1+'Price Change'!Z40)</f>
        <v>19.944078333333337</v>
      </c>
      <c r="AA40" s="274">
        <f>'Baseline Price'!AP40*(1+'Price Change'!AA40)</f>
        <v>19.979218333333332</v>
      </c>
      <c r="AB40" s="274">
        <f>'Baseline Price'!AQ40*(1+'Price Change'!AB40)</f>
        <v>20.023345333333335</v>
      </c>
      <c r="AC40" s="274">
        <f>'Baseline Price'!AR40*(1+'Price Change'!AC40)</f>
        <v>20.058114333333336</v>
      </c>
      <c r="AD40" s="274">
        <f>'Baseline Price'!AS40*(1+'Price Change'!AD40)</f>
        <v>20.136991333333334</v>
      </c>
      <c r="AE40" s="274">
        <f>'Baseline Price'!AT40*(1+'Price Change'!AE40)</f>
        <v>20.199416333333332</v>
      </c>
      <c r="AF40" s="274">
        <f>'Baseline Price'!AU40*(1+'Price Change'!AF40)</f>
        <v>20.285193333333332</v>
      </c>
    </row>
    <row r="41" spans="1:32">
      <c r="A41" s="40" t="str">
        <f>'Price Change'!A41</f>
        <v xml:space="preserve">   Electricity</v>
      </c>
      <c r="B41" s="274">
        <f>'Baseline Price'!Q41+'Price Change'!B90</f>
        <v>33.097636770827059</v>
      </c>
      <c r="C41" s="274">
        <f>'Baseline Price'!R41+'Price Change'!C90</f>
        <v>34.717589925667319</v>
      </c>
      <c r="D41" s="274">
        <f>'Baseline Price'!S41+'Price Change'!D90</f>
        <v>36.319364987903768</v>
      </c>
      <c r="E41" s="274">
        <f>'Baseline Price'!T41+'Price Change'!E90</f>
        <v>38.389515270848626</v>
      </c>
      <c r="F41" s="274">
        <f>'Baseline Price'!U41+'Price Change'!F90</f>
        <v>39.015015228354635</v>
      </c>
      <c r="G41" s="274">
        <f>'Baseline Price'!V41+'Price Change'!G90</f>
        <v>39.996871435001388</v>
      </c>
      <c r="H41" s="274">
        <f>'Baseline Price'!W41+'Price Change'!H90</f>
        <v>41.083579085524505</v>
      </c>
      <c r="I41" s="274">
        <f>'Baseline Price'!X41+'Price Change'!I90</f>
        <v>41.43708104268152</v>
      </c>
      <c r="J41" s="274">
        <f>'Baseline Price'!Y41+'Price Change'!J90</f>
        <v>41.698566927819861</v>
      </c>
      <c r="K41" s="274">
        <f>'Baseline Price'!Z41+'Price Change'!K90</f>
        <v>42.026096627309947</v>
      </c>
      <c r="L41" s="274">
        <f>'Baseline Price'!AA41+'Price Change'!L90</f>
        <v>42.344431057846073</v>
      </c>
      <c r="M41" s="274">
        <f>'Baseline Price'!AB41+'Price Change'!M90</f>
        <v>42.728250913760832</v>
      </c>
      <c r="N41" s="274">
        <f>'Baseline Price'!AC41+'Price Change'!N90</f>
        <v>42.863448685506604</v>
      </c>
      <c r="O41" s="274">
        <f>'Baseline Price'!AD41+'Price Change'!O90</f>
        <v>42.84883279934413</v>
      </c>
      <c r="P41" s="274">
        <f>'Baseline Price'!AE41+'Price Change'!P90</f>
        <v>42.796101169999325</v>
      </c>
      <c r="Q41" s="274">
        <f>'Baseline Price'!AF41+'Price Change'!Q90</f>
        <v>42.671554429339238</v>
      </c>
      <c r="R41" s="274">
        <f>'Baseline Price'!AG41+'Price Change'!R90</f>
        <v>42.483812069385401</v>
      </c>
      <c r="S41" s="274">
        <f>'Baseline Price'!AH41+'Price Change'!S90</f>
        <v>42.302635119947162</v>
      </c>
      <c r="T41" s="274">
        <f>'Baseline Price'!AI41+'Price Change'!T90</f>
        <v>42.04620300402285</v>
      </c>
      <c r="U41" s="274">
        <f>'Baseline Price'!AJ41+'Price Change'!U90</f>
        <v>41.729927229258642</v>
      </c>
      <c r="V41" s="274">
        <f>'Baseline Price'!AK41+'Price Change'!V90</f>
        <v>41.390354211066686</v>
      </c>
      <c r="W41" s="274">
        <f>'Baseline Price'!AL41+'Price Change'!W90</f>
        <v>41.099115438481405</v>
      </c>
      <c r="X41" s="274">
        <f>'Baseline Price'!AM41+'Price Change'!X90</f>
        <v>40.853329183687443</v>
      </c>
      <c r="Y41" s="274">
        <f>'Baseline Price'!AN41+'Price Change'!Y90</f>
        <v>40.524560573572742</v>
      </c>
      <c r="Z41" s="274">
        <f>'Baseline Price'!AO41+'Price Change'!Z90</f>
        <v>40.164929859981015</v>
      </c>
      <c r="AA41" s="274">
        <f>'Baseline Price'!AP41+'Price Change'!AA90</f>
        <v>39.985378149757182</v>
      </c>
      <c r="AB41" s="274">
        <f>'Baseline Price'!AQ41+'Price Change'!AB90</f>
        <v>39.732288735858354</v>
      </c>
      <c r="AC41" s="274">
        <f>'Baseline Price'!AR41+'Price Change'!AC90</f>
        <v>39.435633906993829</v>
      </c>
      <c r="AD41" s="274">
        <f>'Baseline Price'!AS41+'Price Change'!AD90</f>
        <v>39.078656646361821</v>
      </c>
      <c r="AE41" s="274">
        <f>'Baseline Price'!AT41+'Price Change'!AE90</f>
        <v>38.714524298278008</v>
      </c>
      <c r="AF41" s="274">
        <f>'Baseline Price'!AU41+'Price Change'!AF90</f>
        <v>38.356470552931626</v>
      </c>
    </row>
    <row r="42" spans="1:32">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row>
    <row r="43" spans="1:32" s="5" customFormat="1" ht="13">
      <c r="A43" s="250" t="s">
        <v>416</v>
      </c>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1"/>
    </row>
    <row r="44" spans="1:32" s="396" customFormat="1" ht="12.9" customHeight="1">
      <c r="A44" s="253" t="s">
        <v>6</v>
      </c>
      <c r="B44" s="253">
        <v>2020</v>
      </c>
      <c r="C44" s="253">
        <v>2021</v>
      </c>
      <c r="D44" s="253">
        <v>2022</v>
      </c>
      <c r="E44" s="253">
        <v>2023</v>
      </c>
      <c r="F44" s="253">
        <v>2024</v>
      </c>
      <c r="G44" s="253">
        <v>2025</v>
      </c>
      <c r="H44" s="253">
        <v>2026</v>
      </c>
      <c r="I44" s="253">
        <v>2027</v>
      </c>
      <c r="J44" s="253">
        <v>2028</v>
      </c>
      <c r="K44" s="253">
        <v>2029</v>
      </c>
      <c r="L44" s="253">
        <v>2030</v>
      </c>
      <c r="M44" s="253">
        <v>2031</v>
      </c>
      <c r="N44" s="253">
        <v>2032</v>
      </c>
      <c r="O44" s="253">
        <v>2033</v>
      </c>
      <c r="P44" s="253">
        <v>2034</v>
      </c>
      <c r="Q44" s="253">
        <v>2035</v>
      </c>
      <c r="R44" s="253">
        <v>2036</v>
      </c>
      <c r="S44" s="253">
        <v>2037</v>
      </c>
      <c r="T44" s="253">
        <v>2038</v>
      </c>
      <c r="U44" s="253">
        <v>2039</v>
      </c>
      <c r="V44" s="253">
        <v>2040</v>
      </c>
      <c r="W44" s="253">
        <v>2041</v>
      </c>
      <c r="X44" s="253">
        <v>2042</v>
      </c>
      <c r="Y44" s="253">
        <v>2043</v>
      </c>
      <c r="Z44" s="253">
        <v>2044</v>
      </c>
      <c r="AA44" s="253">
        <v>2045</v>
      </c>
      <c r="AB44" s="253">
        <v>2046</v>
      </c>
      <c r="AC44" s="253">
        <v>2047</v>
      </c>
      <c r="AD44" s="253">
        <v>2048</v>
      </c>
      <c r="AE44" s="253">
        <v>2049</v>
      </c>
      <c r="AF44" s="253">
        <v>2050</v>
      </c>
    </row>
    <row r="45" spans="1:32" s="396" customFormat="1">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row>
    <row r="46" spans="1:32" s="145" customFormat="1">
      <c r="A46" s="145" t="s">
        <v>1077</v>
      </c>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row>
    <row r="47" spans="1:32" s="145" customFormat="1">
      <c r="A47" s="46" t="s">
        <v>426</v>
      </c>
      <c r="B47" s="312">
        <f>'Baseline Price'!Q51*(1+'Price Change'!B47)</f>
        <v>32.076609554880008</v>
      </c>
      <c r="C47" s="312">
        <f>'Baseline Price'!R51*(1+'Price Change'!C47)</f>
        <v>35.746049152471116</v>
      </c>
      <c r="D47" s="312">
        <f>'Baseline Price'!S51*(1+'Price Change'!D47)</f>
        <v>38.687372294592002</v>
      </c>
      <c r="E47" s="312">
        <f>'Baseline Price'!T51*(1+'Price Change'!E47)</f>
        <v>41.665788591841192</v>
      </c>
      <c r="F47" s="312">
        <f>'Baseline Price'!U51*(1+'Price Change'!F47)</f>
        <v>44.698138392361159</v>
      </c>
      <c r="G47" s="312">
        <f>'Baseline Price'!V51*(1+'Price Change'!G47)</f>
        <v>47.761320765470451</v>
      </c>
      <c r="H47" s="312">
        <f>'Baseline Price'!W51*(1+'Price Change'!H47)</f>
        <v>50.778533214734694</v>
      </c>
      <c r="I47" s="312">
        <f>'Baseline Price'!X51*(1+'Price Change'!I47)</f>
        <v>53.853146636462355</v>
      </c>
      <c r="J47" s="312">
        <f>'Baseline Price'!Y51*(1+'Price Change'!J47)</f>
        <v>56.734259988181755</v>
      </c>
      <c r="K47" s="312">
        <f>'Baseline Price'!Z51*(1+'Price Change'!K47)</f>
        <v>59.868254500727097</v>
      </c>
      <c r="L47" s="312">
        <f>'Baseline Price'!AA51*(1+'Price Change'!L47)</f>
        <v>62.948534882569419</v>
      </c>
      <c r="M47" s="312">
        <f>'Baseline Price'!AB51*(1+'Price Change'!M47)</f>
        <v>65.997120514262505</v>
      </c>
      <c r="N47" s="312">
        <f>'Baseline Price'!AC51*(1+'Price Change'!N47)</f>
        <v>68.986001593422117</v>
      </c>
      <c r="O47" s="312">
        <f>'Baseline Price'!AD51*(1+'Price Change'!O47)</f>
        <v>72.028057203719783</v>
      </c>
      <c r="P47" s="312">
        <f>'Baseline Price'!AE51*(1+'Price Change'!P47)</f>
        <v>73.018919710703472</v>
      </c>
      <c r="Q47" s="312">
        <f>'Baseline Price'!AF51*(1+'Price Change'!Q47)</f>
        <v>73.142349713189205</v>
      </c>
      <c r="R47" s="312">
        <f>'Baseline Price'!AG51*(1+'Price Change'!R47)</f>
        <v>73.395151827661948</v>
      </c>
      <c r="S47" s="312">
        <f>'Baseline Price'!AH51*(1+'Price Change'!S47)</f>
        <v>73.528093404720437</v>
      </c>
      <c r="T47" s="312">
        <f>'Baseline Price'!AI51*(1+'Price Change'!T47)</f>
        <v>73.689443724377057</v>
      </c>
      <c r="U47" s="312">
        <f>'Baseline Price'!AJ51*(1+'Price Change'!U47)</f>
        <v>73.876252728734542</v>
      </c>
      <c r="V47" s="312">
        <f>'Baseline Price'!AK51*(1+'Price Change'!V47)</f>
        <v>73.997467563190625</v>
      </c>
      <c r="W47" s="312">
        <f>'Baseline Price'!AL51*(1+'Price Change'!W47)</f>
        <v>74.075565359268808</v>
      </c>
      <c r="X47" s="312">
        <f>'Baseline Price'!AM51*(1+'Price Change'!X47)</f>
        <v>74.174177081081197</v>
      </c>
      <c r="Y47" s="312">
        <f>'Baseline Price'!AN51*(1+'Price Change'!Y47)</f>
        <v>74.20448603890857</v>
      </c>
      <c r="Z47" s="312">
        <f>'Baseline Price'!AO51*(1+'Price Change'!Z47)</f>
        <v>74.218448946393991</v>
      </c>
      <c r="AA47" s="312">
        <f>'Baseline Price'!AP51*(1+'Price Change'!AA47)</f>
        <v>74.267371614726343</v>
      </c>
      <c r="AB47" s="312">
        <f>'Baseline Price'!AQ51*(1+'Price Change'!AB47)</f>
        <v>74.288158499554243</v>
      </c>
      <c r="AC47" s="312">
        <f>'Baseline Price'!AR51*(1+'Price Change'!AC47)</f>
        <v>74.278321473754374</v>
      </c>
      <c r="AD47" s="312">
        <f>'Baseline Price'!AS51*(1+'Price Change'!AD47)</f>
        <v>74.319695773303252</v>
      </c>
      <c r="AE47" s="312">
        <f>'Baseline Price'!AT51*(1+'Price Change'!AE47)</f>
        <v>74.340965585758468</v>
      </c>
      <c r="AF47" s="312">
        <f>'Baseline Price'!AU51*(1+'Price Change'!AF47)</f>
        <v>74.374256096763176</v>
      </c>
    </row>
    <row r="48" spans="1:32" s="145" customFormat="1">
      <c r="A48" s="46" t="s">
        <v>469</v>
      </c>
      <c r="B48" s="312">
        <f>'Baseline Price'!Q52*(1+'Price Change'!B48)</f>
        <v>31.264005208063672</v>
      </c>
      <c r="C48" s="312">
        <f>'Baseline Price'!R52*(1+'Price Change'!C48)</f>
        <v>32.297604923689754</v>
      </c>
      <c r="D48" s="312">
        <f>'Baseline Price'!S52*(1+'Price Change'!D48)</f>
        <v>33.897581323680789</v>
      </c>
      <c r="E48" s="312">
        <f>'Baseline Price'!T52*(1+'Price Change'!E48)</f>
        <v>36.158846170078938</v>
      </c>
      <c r="F48" s="312">
        <f>'Baseline Price'!U52*(1+'Price Change'!F48)</f>
        <v>38.043785308493092</v>
      </c>
      <c r="G48" s="312">
        <f>'Baseline Price'!V52*(1+'Price Change'!G48)</f>
        <v>41.061022718522523</v>
      </c>
      <c r="H48" s="312">
        <f>'Baseline Price'!W52*(1+'Price Change'!H48)</f>
        <v>42.907586037018639</v>
      </c>
      <c r="I48" s="312">
        <f>'Baseline Price'!X52*(1+'Price Change'!I48)</f>
        <v>43.590200444718256</v>
      </c>
      <c r="J48" s="312">
        <f>'Baseline Price'!Y52*(1+'Price Change'!J48)</f>
        <v>46.240550444182119</v>
      </c>
      <c r="K48" s="312">
        <f>'Baseline Price'!Z52*(1+'Price Change'!K48)</f>
        <v>46.761384590585095</v>
      </c>
      <c r="L48" s="312">
        <f>'Baseline Price'!AA52*(1+'Price Change'!L48)</f>
        <v>47.949477585834757</v>
      </c>
      <c r="M48" s="312">
        <f>'Baseline Price'!AB52*(1+'Price Change'!M48)</f>
        <v>49.105406072473869</v>
      </c>
      <c r="N48" s="312">
        <f>'Baseline Price'!AC52*(1+'Price Change'!N48)</f>
        <v>51.40660925763688</v>
      </c>
      <c r="O48" s="312">
        <f>'Baseline Price'!AD52*(1+'Price Change'!O48)</f>
        <v>53.147036461450114</v>
      </c>
      <c r="P48" s="312">
        <f>'Baseline Price'!AE52*(1+'Price Change'!P48)</f>
        <v>53.978872098989243</v>
      </c>
      <c r="Q48" s="312">
        <f>'Baseline Price'!AF52*(1+'Price Change'!Q48)</f>
        <v>54.433095151463547</v>
      </c>
      <c r="R48" s="312">
        <f>'Baseline Price'!AG52*(1+'Price Change'!R48)</f>
        <v>54.752881843738237</v>
      </c>
      <c r="S48" s="312">
        <f>'Baseline Price'!AH52*(1+'Price Change'!S48)</f>
        <v>54.82860951137922</v>
      </c>
      <c r="T48" s="312">
        <f>'Baseline Price'!AI52*(1+'Price Change'!T48)</f>
        <v>55.131068750243358</v>
      </c>
      <c r="U48" s="312">
        <f>'Baseline Price'!AJ52*(1+'Price Change'!U48)</f>
        <v>55.342624692491668</v>
      </c>
      <c r="V48" s="312">
        <f>'Baseline Price'!AK52*(1+'Price Change'!V48)</f>
        <v>56.050161119445519</v>
      </c>
      <c r="W48" s="312">
        <f>'Baseline Price'!AL52*(1+'Price Change'!W48)</f>
        <v>55.952223012174521</v>
      </c>
      <c r="X48" s="312">
        <f>'Baseline Price'!AM52*(1+'Price Change'!X48)</f>
        <v>56.403090422346985</v>
      </c>
      <c r="Y48" s="312">
        <f>'Baseline Price'!AN52*(1+'Price Change'!Y48)</f>
        <v>56.918775900748692</v>
      </c>
      <c r="Z48" s="312">
        <f>'Baseline Price'!AO52*(1+'Price Change'!Z48)</f>
        <v>57.89974450826972</v>
      </c>
      <c r="AA48" s="312">
        <f>'Baseline Price'!AP52*(1+'Price Change'!AA48)</f>
        <v>58.715594447728257</v>
      </c>
      <c r="AB48" s="312">
        <f>'Baseline Price'!AQ52*(1+'Price Change'!AB48)</f>
        <v>59.466671462127557</v>
      </c>
      <c r="AC48" s="312">
        <f>'Baseline Price'!AR52*(1+'Price Change'!AC48)</f>
        <v>60.312323417634367</v>
      </c>
      <c r="AD48" s="312">
        <f>'Baseline Price'!AS52*(1+'Price Change'!AD48)</f>
        <v>61.752563588805785</v>
      </c>
      <c r="AE48" s="312">
        <f>'Baseline Price'!AT52*(1+'Price Change'!AE48)</f>
        <v>62.635150181217675</v>
      </c>
      <c r="AF48" s="312">
        <f>'Baseline Price'!AU52*(1+'Price Change'!AF48)</f>
        <v>63.423522977881888</v>
      </c>
    </row>
    <row r="49" spans="1:32" s="145" customFormat="1">
      <c r="A49" s="46" t="s">
        <v>998</v>
      </c>
      <c r="B49" s="312">
        <f>'Baseline Price'!Q53*(1+'Price Change'!B49)</f>
        <v>31.264005208063672</v>
      </c>
      <c r="C49" s="312">
        <f>'Baseline Price'!R53*(1+'Price Change'!C49)</f>
        <v>32.297604923689754</v>
      </c>
      <c r="D49" s="312">
        <f>'Baseline Price'!S53*(1+'Price Change'!D49)</f>
        <v>33.897581323680789</v>
      </c>
      <c r="E49" s="312">
        <f>'Baseline Price'!T53*(1+'Price Change'!E49)</f>
        <v>36.158846170078938</v>
      </c>
      <c r="F49" s="312">
        <f>'Baseline Price'!U53*(1+'Price Change'!F49)</f>
        <v>38.043785308493092</v>
      </c>
      <c r="G49" s="312">
        <f>'Baseline Price'!V53*(1+'Price Change'!G49)</f>
        <v>41.061022718522523</v>
      </c>
      <c r="H49" s="312">
        <f>'Baseline Price'!W53*(1+'Price Change'!H49)</f>
        <v>42.907586037018639</v>
      </c>
      <c r="I49" s="312">
        <f>'Baseline Price'!X53*(1+'Price Change'!I49)</f>
        <v>43.590200444718256</v>
      </c>
      <c r="J49" s="312">
        <f>'Baseline Price'!Y53*(1+'Price Change'!J49)</f>
        <v>46.240550444182119</v>
      </c>
      <c r="K49" s="312">
        <f>'Baseline Price'!Z53*(1+'Price Change'!K49)</f>
        <v>46.761384590585095</v>
      </c>
      <c r="L49" s="312">
        <f>'Baseline Price'!AA53*(1+'Price Change'!L49)</f>
        <v>47.949477585834757</v>
      </c>
      <c r="M49" s="312">
        <f>'Baseline Price'!AB53*(1+'Price Change'!M49)</f>
        <v>49.105406072473869</v>
      </c>
      <c r="N49" s="312">
        <f>'Baseline Price'!AC53*(1+'Price Change'!N49)</f>
        <v>51.40660925763688</v>
      </c>
      <c r="O49" s="312">
        <f>'Baseline Price'!AD53*(1+'Price Change'!O49)</f>
        <v>53.147036461450114</v>
      </c>
      <c r="P49" s="312">
        <f>'Baseline Price'!AE53*(1+'Price Change'!P49)</f>
        <v>53.978872098989243</v>
      </c>
      <c r="Q49" s="312">
        <f>'Baseline Price'!AF53*(1+'Price Change'!Q49)</f>
        <v>54.433095151463547</v>
      </c>
      <c r="R49" s="312">
        <f>'Baseline Price'!AG53*(1+'Price Change'!R49)</f>
        <v>54.752881843738237</v>
      </c>
      <c r="S49" s="312">
        <f>'Baseline Price'!AH53*(1+'Price Change'!S49)</f>
        <v>54.82860951137922</v>
      </c>
      <c r="T49" s="312">
        <f>'Baseline Price'!AI53*(1+'Price Change'!T49)</f>
        <v>55.131068750243358</v>
      </c>
      <c r="U49" s="312">
        <f>'Baseline Price'!AJ53*(1+'Price Change'!U49)</f>
        <v>55.342624692491668</v>
      </c>
      <c r="V49" s="312">
        <f>'Baseline Price'!AK53*(1+'Price Change'!V49)</f>
        <v>56.050161119445519</v>
      </c>
      <c r="W49" s="312">
        <f>'Baseline Price'!AL53*(1+'Price Change'!W49)</f>
        <v>55.952223012174521</v>
      </c>
      <c r="X49" s="312">
        <f>'Baseline Price'!AM53*(1+'Price Change'!X49)</f>
        <v>56.403090422346985</v>
      </c>
      <c r="Y49" s="312">
        <f>'Baseline Price'!AN53*(1+'Price Change'!Y49)</f>
        <v>56.918775900748692</v>
      </c>
      <c r="Z49" s="312">
        <f>'Baseline Price'!AO53*(1+'Price Change'!Z49)</f>
        <v>57.89974450826972</v>
      </c>
      <c r="AA49" s="312">
        <f>'Baseline Price'!AP53*(1+'Price Change'!AA49)</f>
        <v>58.715594447728257</v>
      </c>
      <c r="AB49" s="312">
        <f>'Baseline Price'!AQ53*(1+'Price Change'!AB49)</f>
        <v>59.466671462127557</v>
      </c>
      <c r="AC49" s="312">
        <f>'Baseline Price'!AR53*(1+'Price Change'!AC49)</f>
        <v>60.312323417634367</v>
      </c>
      <c r="AD49" s="312">
        <f>'Baseline Price'!AS53*(1+'Price Change'!AD49)</f>
        <v>61.752563588805785</v>
      </c>
      <c r="AE49" s="312">
        <f>'Baseline Price'!AT53*(1+'Price Change'!AE49)</f>
        <v>62.635150181217675</v>
      </c>
      <c r="AF49" s="312">
        <f>'Baseline Price'!AU53*(1+'Price Change'!AF49)</f>
        <v>63.423522977881888</v>
      </c>
    </row>
    <row r="50" spans="1:32" s="145" customFormat="1">
      <c r="A50" s="46" t="s">
        <v>425</v>
      </c>
      <c r="B50" s="312">
        <f>'Baseline Price'!Q54*(1+'Price Change'!B50)</f>
        <v>176.37777235000189</v>
      </c>
      <c r="C50" s="312">
        <f>'Baseline Price'!R54*(1+'Price Change'!C50)</f>
        <v>176.93490682101648</v>
      </c>
      <c r="D50" s="312">
        <f>'Baseline Price'!S54*(1+'Price Change'!D50)</f>
        <v>174.90190012124364</v>
      </c>
      <c r="E50" s="312">
        <f>'Baseline Price'!T54*(1+'Price Change'!E50)</f>
        <v>177.4573469415441</v>
      </c>
      <c r="F50" s="312">
        <f>'Baseline Price'!U54*(1+'Price Change'!F50)</f>
        <v>182.24397540728862</v>
      </c>
      <c r="G50" s="312">
        <f>'Baseline Price'!V54*(1+'Price Change'!G50)</f>
        <v>186.32235687641779</v>
      </c>
      <c r="H50" s="312">
        <f>'Baseline Price'!W54*(1+'Price Change'!H50)</f>
        <v>192.56183338506867</v>
      </c>
      <c r="I50" s="312">
        <f>'Baseline Price'!X54*(1+'Price Change'!I50)</f>
        <v>200.35359969877206</v>
      </c>
      <c r="J50" s="312">
        <f>'Baseline Price'!Y54*(1+'Price Change'!J50)</f>
        <v>203.89806749187395</v>
      </c>
      <c r="K50" s="312">
        <f>'Baseline Price'!Z54*(1+'Price Change'!K50)</f>
        <v>210.45172207467351</v>
      </c>
      <c r="L50" s="312">
        <f>'Baseline Price'!AA54*(1+'Price Change'!L50)</f>
        <v>213.43519891781654</v>
      </c>
      <c r="M50" s="312">
        <f>'Baseline Price'!AB54*(1+'Price Change'!M50)</f>
        <v>217.45388729388318</v>
      </c>
      <c r="N50" s="312">
        <f>'Baseline Price'!AC54*(1+'Price Change'!N50)</f>
        <v>221.78037757063856</v>
      </c>
      <c r="O50" s="312">
        <f>'Baseline Price'!AD54*(1+'Price Change'!O50)</f>
        <v>225.08483979425665</v>
      </c>
      <c r="P50" s="312">
        <f>'Baseline Price'!AE54*(1+'Price Change'!P50)</f>
        <v>226.82821634291741</v>
      </c>
      <c r="Q50" s="312">
        <f>'Baseline Price'!AF54*(1+'Price Change'!Q50)</f>
        <v>228.81699729058067</v>
      </c>
      <c r="R50" s="312">
        <f>'Baseline Price'!AG54*(1+'Price Change'!R50)</f>
        <v>231.76938493995468</v>
      </c>
      <c r="S50" s="312">
        <f>'Baseline Price'!AH54*(1+'Price Change'!S50)</f>
        <v>233.51183912670899</v>
      </c>
      <c r="T50" s="312">
        <f>'Baseline Price'!AI54*(1+'Price Change'!T50)</f>
        <v>234.1644631595704</v>
      </c>
      <c r="U50" s="312">
        <f>'Baseline Price'!AJ54*(1+'Price Change'!U50)</f>
        <v>235.53910451750735</v>
      </c>
      <c r="V50" s="312">
        <f>'Baseline Price'!AK54*(1+'Price Change'!V50)</f>
        <v>236.57429381064912</v>
      </c>
      <c r="W50" s="312">
        <f>'Baseline Price'!AL54*(1+'Price Change'!W50)</f>
        <v>237.65639138048923</v>
      </c>
      <c r="X50" s="312">
        <f>'Baseline Price'!AM54*(1+'Price Change'!X50)</f>
        <v>241.26172974537045</v>
      </c>
      <c r="Y50" s="312">
        <f>'Baseline Price'!AN54*(1+'Price Change'!Y50)</f>
        <v>241.3384742605538</v>
      </c>
      <c r="Z50" s="312">
        <f>'Baseline Price'!AO54*(1+'Price Change'!Z50)</f>
        <v>240.06717317738747</v>
      </c>
      <c r="AA50" s="312">
        <f>'Baseline Price'!AP54*(1+'Price Change'!AA50)</f>
        <v>240.12325189615737</v>
      </c>
      <c r="AB50" s="312">
        <f>'Baseline Price'!AQ54*(1+'Price Change'!AB50)</f>
        <v>240.161328424441</v>
      </c>
      <c r="AC50" s="312">
        <f>'Baseline Price'!AR54*(1+'Price Change'!AC50)</f>
        <v>240.51065575060062</v>
      </c>
      <c r="AD50" s="312">
        <f>'Baseline Price'!AS54*(1+'Price Change'!AD50)</f>
        <v>240.69182019078065</v>
      </c>
      <c r="AE50" s="312">
        <f>'Baseline Price'!AT54*(1+'Price Change'!AE50)</f>
        <v>240.37744491462149</v>
      </c>
      <c r="AF50" s="312">
        <f>'Baseline Price'!AU54*(1+'Price Change'!AF50)</f>
        <v>240.47913994415171</v>
      </c>
    </row>
    <row r="51" spans="1:32">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row>
    <row r="52" spans="1:32">
      <c r="A52" s="84" t="s">
        <v>1183</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row>
    <row r="53" spans="1:32">
      <c r="A53" s="46" t="str">
        <f>'Baseline Price'!A46</f>
        <v xml:space="preserve">   Distillate Fuel Oil</v>
      </c>
      <c r="B53" s="274">
        <f>'Baseline Price'!Q46*(1+'Price Change'!B50)</f>
        <v>23.817983000000002</v>
      </c>
      <c r="C53" s="274">
        <f>'Baseline Price'!R46*(1+'Price Change'!C50)</f>
        <v>23.301997999999998</v>
      </c>
      <c r="D53" s="274">
        <f>'Baseline Price'!S46*(1+'Price Change'!D50)</f>
        <v>22.526325</v>
      </c>
      <c r="E53" s="274">
        <f>'Baseline Price'!T46*(1+'Price Change'!E50)</f>
        <v>22.253425</v>
      </c>
      <c r="F53" s="274">
        <f>'Baseline Price'!U46*(1+'Price Change'!F50)</f>
        <v>22.287898000000002</v>
      </c>
      <c r="G53" s="274">
        <f>'Baseline Price'!V46*(1+'Price Change'!G50)</f>
        <v>22.868804000000001</v>
      </c>
      <c r="H53" s="274">
        <f>'Baseline Price'!W46*(1+'Price Change'!H50)</f>
        <v>23.568339999999999</v>
      </c>
      <c r="I53" s="274">
        <f>'Baseline Price'!X46*(1+'Price Change'!I50)</f>
        <v>24.432126</v>
      </c>
      <c r="J53" s="274">
        <f>'Baseline Price'!Y46*(1+'Price Change'!J50)</f>
        <v>24.844279999999998</v>
      </c>
      <c r="K53" s="274">
        <f>'Baseline Price'!Z46*(1+'Price Change'!K50)</f>
        <v>25.639801999999996</v>
      </c>
      <c r="L53" s="274">
        <f>'Baseline Price'!AA46*(1+'Price Change'!L50)</f>
        <v>25.957115000000002</v>
      </c>
      <c r="M53" s="274">
        <f>'Baseline Price'!AB46*(1+'Price Change'!M50)</f>
        <v>26.395341000000002</v>
      </c>
      <c r="N53" s="274">
        <f>'Baseline Price'!AC46*(1+'Price Change'!N50)</f>
        <v>26.940452000000001</v>
      </c>
      <c r="O53" s="274">
        <f>'Baseline Price'!AD46*(1+'Price Change'!O50)</f>
        <v>27.420225999999996</v>
      </c>
      <c r="P53" s="274">
        <f>'Baseline Price'!AE46*(1+'Price Change'!P50)</f>
        <v>27.546035999999997</v>
      </c>
      <c r="Q53" s="274">
        <f>'Baseline Price'!AF46*(1+'Price Change'!Q50)</f>
        <v>27.784607999999999</v>
      </c>
      <c r="R53" s="274">
        <f>'Baseline Price'!AG46*(1+'Price Change'!R50)</f>
        <v>28.128880000000002</v>
      </c>
      <c r="S53" s="274">
        <f>'Baseline Price'!AH46*(1+'Price Change'!S50)</f>
        <v>28.089910999999997</v>
      </c>
      <c r="T53" s="274">
        <f>'Baseline Price'!AI46*(1+'Price Change'!T50)</f>
        <v>28.264330999999999</v>
      </c>
      <c r="U53" s="274">
        <f>'Baseline Price'!AJ46*(1+'Price Change'!U50)</f>
        <v>28.442360999999998</v>
      </c>
      <c r="V53" s="274">
        <f>'Baseline Price'!AK46*(1+'Price Change'!V50)</f>
        <v>28.550082000000003</v>
      </c>
      <c r="W53" s="274">
        <f>'Baseline Price'!AL46*(1+'Price Change'!W50)</f>
        <v>28.635770000000001</v>
      </c>
      <c r="X53" s="274">
        <f>'Baseline Price'!AM46*(1+'Price Change'!X50)</f>
        <v>28.910905</v>
      </c>
      <c r="Y53" s="274">
        <f>'Baseline Price'!AN46*(1+'Price Change'!Y50)</f>
        <v>28.96048</v>
      </c>
      <c r="Z53" s="274">
        <f>'Baseline Price'!AO46*(1+'Price Change'!Z50)</f>
        <v>28.928560999999998</v>
      </c>
      <c r="AA53" s="274">
        <f>'Baseline Price'!AP46*(1+'Price Change'!AA50)</f>
        <v>28.995331</v>
      </c>
      <c r="AB53" s="274">
        <f>'Baseline Price'!AQ46*(1+'Price Change'!AB50)</f>
        <v>29.016686000000004</v>
      </c>
      <c r="AC53" s="274">
        <f>'Baseline Price'!AR46*(1+'Price Change'!AC50)</f>
        <v>29.029999</v>
      </c>
      <c r="AD53" s="274">
        <f>'Baseline Price'!AS46*(1+'Price Change'!AD50)</f>
        <v>29.091521000000004</v>
      </c>
      <c r="AE53" s="274">
        <f>'Baseline Price'!AT46*(1+'Price Change'!AE50)</f>
        <v>29.037417000000001</v>
      </c>
      <c r="AF53" s="274">
        <f>'Baseline Price'!AU46*(1+'Price Change'!AF50)</f>
        <v>29.015011999999999</v>
      </c>
    </row>
    <row r="54" spans="1:32">
      <c r="A54" s="46" t="str">
        <f>'Baseline Price'!A47</f>
        <v xml:space="preserve">   Residual Fuel Oil</v>
      </c>
      <c r="B54" s="274">
        <f>'Baseline Price'!Q47*(1+'Price Change'!B50)</f>
        <v>16.33568293890152</v>
      </c>
      <c r="C54" s="274">
        <f>'Baseline Price'!R47*(1+'Price Change'!C50)</f>
        <v>16.347212560763502</v>
      </c>
      <c r="D54" s="274">
        <f>'Baseline Price'!S47*(1+'Price Change'!D50)</f>
        <v>16.189655751237655</v>
      </c>
      <c r="E54" s="274">
        <f>'Baseline Price'!T47*(1+'Price Change'!E50)</f>
        <v>16.41846429300827</v>
      </c>
      <c r="F54" s="274">
        <f>'Baseline Price'!U47*(1+'Price Change'!F50)</f>
        <v>16.826630619081431</v>
      </c>
      <c r="G54" s="274">
        <f>'Baseline Price'!V47*(1+'Price Change'!G50)</f>
        <v>17.210156878934246</v>
      </c>
      <c r="H54" s="274">
        <f>'Baseline Price'!W47*(1+'Price Change'!H50)</f>
        <v>17.776884147977658</v>
      </c>
      <c r="I54" s="274">
        <f>'Baseline Price'!X47*(1+'Price Change'!I50)</f>
        <v>18.492772197806705</v>
      </c>
      <c r="J54" s="274">
        <f>'Baseline Price'!Y47*(1+'Price Change'!J50)</f>
        <v>18.861125013598315</v>
      </c>
      <c r="K54" s="274">
        <f>'Baseline Price'!Z47*(1+'Price Change'!K50)</f>
        <v>19.439875763672152</v>
      </c>
      <c r="L54" s="274">
        <f>'Baseline Price'!AA47*(1+'Price Change'!L50)</f>
        <v>19.715465901888816</v>
      </c>
      <c r="M54" s="274">
        <f>'Baseline Price'!AB47*(1+'Price Change'!M50)</f>
        <v>20.086680743912911</v>
      </c>
      <c r="N54" s="274">
        <f>'Baseline Price'!AC47*(1+'Price Change'!N50)</f>
        <v>20.486327905949519</v>
      </c>
      <c r="O54" s="274">
        <f>'Baseline Price'!AD47*(1+'Price Change'!O50)</f>
        <v>20.791568150408484</v>
      </c>
      <c r="P54" s="274">
        <f>'Baseline Price'!AE47*(1+'Price Change'!P50)</f>
        <v>20.952607571617111</v>
      </c>
      <c r="Q54" s="274">
        <f>'Baseline Price'!AF47*(1+'Price Change'!Q50)</f>
        <v>21.13631552212756</v>
      </c>
      <c r="R54" s="274">
        <f>'Baseline Price'!AG47*(1+'Price Change'!R50)</f>
        <v>21.409033885010167</v>
      </c>
      <c r="S54" s="274">
        <f>'Baseline Price'!AH47*(1+'Price Change'!S50)</f>
        <v>21.569988105676391</v>
      </c>
      <c r="T54" s="274">
        <f>'Baseline Price'!AI47*(1+'Price Change'!T50)</f>
        <v>21.630272383676793</v>
      </c>
      <c r="U54" s="274">
        <f>'Baseline Price'!AJ47*(1+'Price Change'!U50)</f>
        <v>21.757250946524653</v>
      </c>
      <c r="V54" s="274">
        <f>'Baseline Price'!AK47*(1+'Price Change'!V50)</f>
        <v>21.852873595995867</v>
      </c>
      <c r="W54" s="274">
        <f>'Baseline Price'!AL47*(1+'Price Change'!W50)</f>
        <v>21.952829263331292</v>
      </c>
      <c r="X54" s="274">
        <f>'Baseline Price'!AM47*(1+'Price Change'!X50)</f>
        <v>22.28586208058913</v>
      </c>
      <c r="Y54" s="274">
        <f>'Baseline Price'!AN47*(1+'Price Change'!Y50)</f>
        <v>22.292951135627504</v>
      </c>
      <c r="Z54" s="274">
        <f>'Baseline Price'!AO47*(1+'Price Change'!Z50)</f>
        <v>22.175518335024396</v>
      </c>
      <c r="AA54" s="274">
        <f>'Baseline Price'!AP47*(1+'Price Change'!AA50)</f>
        <v>22.180698446240051</v>
      </c>
      <c r="AB54" s="274">
        <f>'Baseline Price'!AQ47*(1+'Price Change'!AB50)</f>
        <v>22.18421565661043</v>
      </c>
      <c r="AC54" s="274">
        <f>'Baseline Price'!AR47*(1+'Price Change'!AC50)</f>
        <v>22.216483769004345</v>
      </c>
      <c r="AD54" s="274">
        <f>'Baseline Price'!AS47*(1+'Price Change'!AD50)</f>
        <v>22.233218315888433</v>
      </c>
      <c r="AE54" s="274">
        <f>'Baseline Price'!AT47*(1+'Price Change'!AE50)</f>
        <v>22.20417879912204</v>
      </c>
      <c r="AF54" s="274">
        <f>'Baseline Price'!AU47*(1+'Price Change'!AF50)</f>
        <v>22.213572586544451</v>
      </c>
    </row>
    <row r="55" spans="1:32">
      <c r="A55" s="46" t="str">
        <f>'Baseline Price'!A48</f>
        <v xml:space="preserve">   Natural Gas</v>
      </c>
      <c r="B55" s="274">
        <f>'Baseline Price'!Q48*(1+'Price Change'!B48)</f>
        <v>4.0544776666666671</v>
      </c>
      <c r="C55" s="274">
        <f>'Baseline Price'!R48*(1+'Price Change'!C48)</f>
        <v>4.2095846666666672</v>
      </c>
      <c r="D55" s="274">
        <f>'Baseline Price'!S48*(1+'Price Change'!D48)</f>
        <v>4.4416086666666672</v>
      </c>
      <c r="E55" s="274">
        <f>'Baseline Price'!T48*(1+'Price Change'!E48)</f>
        <v>4.7570796666666668</v>
      </c>
      <c r="F55" s="274">
        <f>'Baseline Price'!U48*(1+'Price Change'!F48)</f>
        <v>5.0279336666666676</v>
      </c>
      <c r="G55" s="274">
        <f>'Baseline Price'!V48*(1+'Price Change'!G48)</f>
        <v>5.4542786666666672</v>
      </c>
      <c r="H55" s="274">
        <f>'Baseline Price'!W48*(1+'Price Change'!H48)</f>
        <v>5.726917666666667</v>
      </c>
      <c r="I55" s="274">
        <f>'Baseline Price'!X48*(1+'Price Change'!I48)</f>
        <v>5.8451976666666674</v>
      </c>
      <c r="J55" s="274">
        <f>'Baseline Price'!Y48*(1+'Price Change'!J48)</f>
        <v>6.0702886666666682</v>
      </c>
      <c r="K55" s="274">
        <f>'Baseline Price'!Z48*(1+'Price Change'!K48)</f>
        <v>6.2150776666666676</v>
      </c>
      <c r="L55" s="274">
        <f>'Baseline Price'!AA48*(1+'Price Change'!L48)</f>
        <v>6.3729876666666687</v>
      </c>
      <c r="M55" s="274">
        <f>'Baseline Price'!AB48*(1+'Price Change'!M48)</f>
        <v>6.5266226666666691</v>
      </c>
      <c r="N55" s="274">
        <f>'Baseline Price'!AC48*(1+'Price Change'!N48)</f>
        <v>6.8324766666666683</v>
      </c>
      <c r="O55" s="274">
        <f>'Baseline Price'!AD48*(1+'Price Change'!O48)</f>
        <v>7.0637976666666686</v>
      </c>
      <c r="P55" s="274">
        <f>'Baseline Price'!AE48*(1+'Price Change'!P48)</f>
        <v>7.1743573333333348</v>
      </c>
      <c r="Q55" s="274">
        <f>'Baseline Price'!AF48*(1+'Price Change'!Q48)</f>
        <v>7.2347283333333348</v>
      </c>
      <c r="R55" s="274">
        <f>'Baseline Price'!AG48*(1+'Price Change'!R48)</f>
        <v>7.2772313333333356</v>
      </c>
      <c r="S55" s="274">
        <f>'Baseline Price'!AH48*(1+'Price Change'!S48)</f>
        <v>7.2872963333333347</v>
      </c>
      <c r="T55" s="274">
        <f>'Baseline Price'!AI48*(1+'Price Change'!T48)</f>
        <v>7.3274963333333352</v>
      </c>
      <c r="U55" s="274">
        <f>'Baseline Price'!AJ48*(1+'Price Change'!U48)</f>
        <v>7.3556143333333344</v>
      </c>
      <c r="V55" s="274">
        <f>'Baseline Price'!AK48*(1+'Price Change'!V48)</f>
        <v>7.4496533333333348</v>
      </c>
      <c r="W55" s="274">
        <f>'Baseline Price'!AL48*(1+'Price Change'!W48)</f>
        <v>7.4366363333333352</v>
      </c>
      <c r="X55" s="274">
        <f>'Baseline Price'!AM48*(1+'Price Change'!X48)</f>
        <v>7.496561333333335</v>
      </c>
      <c r="Y55" s="274">
        <f>'Baseline Price'!AN48*(1+'Price Change'!Y48)</f>
        <v>7.5651013333333346</v>
      </c>
      <c r="Z55" s="274">
        <f>'Baseline Price'!AO48*(1+'Price Change'!Z48)</f>
        <v>7.6954823333333344</v>
      </c>
      <c r="AA55" s="274">
        <f>'Baseline Price'!AP48*(1+'Price Change'!AA48)</f>
        <v>7.8039173333333345</v>
      </c>
      <c r="AB55" s="274">
        <f>'Baseline Price'!AQ48*(1+'Price Change'!AB48)</f>
        <v>7.9037433333333347</v>
      </c>
      <c r="AC55" s="274">
        <f>'Baseline Price'!AR48*(1+'Price Change'!AC48)</f>
        <v>8.0161393333333351</v>
      </c>
      <c r="AD55" s="274">
        <f>'Baseline Price'!AS48*(1+'Price Change'!AD48)</f>
        <v>8.2075623333333354</v>
      </c>
      <c r="AE55" s="274">
        <f>'Baseline Price'!AT48*(1+'Price Change'!AE48)</f>
        <v>8.3248673333333354</v>
      </c>
      <c r="AF55" s="274">
        <f>'Baseline Price'!AU48*(1+'Price Change'!AF48)</f>
        <v>8.4296503333333348</v>
      </c>
    </row>
    <row r="56" spans="1:32">
      <c r="A56" s="46" t="str">
        <f>'Baseline Price'!A49</f>
        <v xml:space="preserve">   Steam Coal</v>
      </c>
      <c r="B56" s="274">
        <f>'Baseline Price'!Q49*(1+'Price Change'!B47)</f>
        <v>3.0567239999999996</v>
      </c>
      <c r="C56" s="274">
        <f>'Baseline Price'!R49*(1+'Price Change'!C47)</f>
        <v>3.4099179999999998</v>
      </c>
      <c r="D56" s="274">
        <f>'Baseline Price'!S49*(1+'Price Change'!D47)</f>
        <v>3.6889019999999997</v>
      </c>
      <c r="E56" s="274">
        <f>'Baseline Price'!T49*(1+'Price Change'!E47)</f>
        <v>3.9695279999999999</v>
      </c>
      <c r="F56" s="274">
        <f>'Baseline Price'!U49*(1+'Price Change'!F47)</f>
        <v>4.258013</v>
      </c>
      <c r="G56" s="274">
        <f>'Baseline Price'!V49*(1+'Price Change'!G47)</f>
        <v>4.5498689999999993</v>
      </c>
      <c r="H56" s="274">
        <f>'Baseline Price'!W49*(1+'Price Change'!H47)</f>
        <v>4.8362610000000004</v>
      </c>
      <c r="I56" s="274">
        <f>'Baseline Price'!X49*(1+'Price Change'!I47)</f>
        <v>5.1265029999999996</v>
      </c>
      <c r="J56" s="274">
        <f>'Baseline Price'!Y49*(1+'Price Change'!J47)</f>
        <v>5.4073740000000008</v>
      </c>
      <c r="K56" s="274">
        <f>'Baseline Price'!Z49*(1+'Price Change'!K47)</f>
        <v>5.7025930000000002</v>
      </c>
      <c r="L56" s="274">
        <f>'Baseline Price'!AA49*(1+'Price Change'!L47)</f>
        <v>5.995997</v>
      </c>
      <c r="M56" s="274">
        <f>'Baseline Price'!AB49*(1+'Price Change'!M47)</f>
        <v>6.2863819999999988</v>
      </c>
      <c r="N56" s="274">
        <f>'Baseline Price'!AC49*(1+'Price Change'!N47)</f>
        <v>6.5710799999999994</v>
      </c>
      <c r="O56" s="274">
        <f>'Baseline Price'!AD49*(1+'Price Change'!O47)</f>
        <v>6.860843</v>
      </c>
      <c r="P56" s="274">
        <f>'Baseline Price'!AE49*(1+'Price Change'!P47)</f>
        <v>6.9552250000000004</v>
      </c>
      <c r="Q56" s="274">
        <f>'Baseline Price'!AF49*(1+'Price Change'!Q47)</f>
        <v>6.9669820000000007</v>
      </c>
      <c r="R56" s="274">
        <f>'Baseline Price'!AG49*(1+'Price Change'!R47)</f>
        <v>6.9910620000000003</v>
      </c>
      <c r="S56" s="274">
        <f>'Baseline Price'!AH49*(1+'Price Change'!S47)</f>
        <v>7.0037250000000002</v>
      </c>
      <c r="T56" s="274">
        <f>'Baseline Price'!AI49*(1+'Price Change'!T47)</f>
        <v>7.0190939999999999</v>
      </c>
      <c r="U56" s="274">
        <f>'Baseline Price'!AJ49*(1+'Price Change'!U47)</f>
        <v>7.0368880000000003</v>
      </c>
      <c r="V56" s="274">
        <f>'Baseline Price'!AK49*(1+'Price Change'!V47)</f>
        <v>7.0484340000000003</v>
      </c>
      <c r="W56" s="274">
        <f>'Baseline Price'!AL49*(1+'Price Change'!W47)</f>
        <v>7.0558730000000001</v>
      </c>
      <c r="X56" s="274">
        <f>'Baseline Price'!AM49*(1+'Price Change'!X47)</f>
        <v>7.0652660000000003</v>
      </c>
      <c r="Y56" s="274">
        <f>'Baseline Price'!AN49*(1+'Price Change'!Y47)</f>
        <v>7.0681530000000006</v>
      </c>
      <c r="Z56" s="274">
        <f>'Baseline Price'!AO49*(1+'Price Change'!Z47)</f>
        <v>7.0694830000000008</v>
      </c>
      <c r="AA56" s="274">
        <f>'Baseline Price'!AP49*(1+'Price Change'!AA47)</f>
        <v>7.0741430000000003</v>
      </c>
      <c r="AB56" s="274">
        <f>'Baseline Price'!AQ49*(1+'Price Change'!AB47)</f>
        <v>7.0761230000000008</v>
      </c>
      <c r="AC56" s="274">
        <f>'Baseline Price'!AR49*(1+'Price Change'!AC47)</f>
        <v>7.0751860000000004</v>
      </c>
      <c r="AD56" s="274">
        <f>'Baseline Price'!AS49*(1+'Price Change'!AD47)</f>
        <v>7.0791269999999997</v>
      </c>
      <c r="AE56" s="274">
        <f>'Baseline Price'!AT49*(1+'Price Change'!AE47)</f>
        <v>7.0811530000000005</v>
      </c>
      <c r="AF56" s="274">
        <f>'Baseline Price'!AU49*(1+'Price Change'!AF47)</f>
        <v>7.0843240000000005</v>
      </c>
    </row>
    <row r="57" spans="1:32" customFormat="1"/>
    <row r="58" spans="1:32" customFormat="1" ht="14.4" customHeight="1"/>
    <row r="70" spans="2:2">
      <c r="B7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B117"/>
  <sheetViews>
    <sheetView zoomScale="105" zoomScaleNormal="105" workbookViewId="0">
      <selection activeCell="H95" sqref="H95"/>
    </sheetView>
  </sheetViews>
  <sheetFormatPr defaultColWidth="9.33203125" defaultRowHeight="12.9" customHeight="1"/>
  <cols>
    <col min="1" max="1" width="1.6640625" style="40" customWidth="1"/>
    <col min="2" max="2" width="30.5546875" style="40" customWidth="1"/>
    <col min="3" max="3" width="11.109375" style="40" customWidth="1"/>
    <col min="4" max="4" width="11.88671875" style="40" customWidth="1"/>
    <col min="5" max="5" width="10.88671875" style="40" customWidth="1"/>
    <col min="6" max="6" width="12.88671875" style="40" customWidth="1"/>
    <col min="7" max="7" width="13.33203125" style="40" customWidth="1"/>
    <col min="8" max="8" width="20.33203125" style="40" customWidth="1"/>
    <col min="9" max="9" width="10.6640625" style="40" customWidth="1"/>
    <col min="10" max="11" width="10" style="40" customWidth="1"/>
    <col min="12" max="14" width="10.44140625" style="40" customWidth="1"/>
    <col min="15" max="17" width="9.6640625" style="40" customWidth="1"/>
    <col min="18" max="18" width="8.6640625" style="40" customWidth="1"/>
    <col min="19" max="19" width="8.33203125" style="40" customWidth="1"/>
    <col min="20" max="20" width="11.109375" style="40" customWidth="1"/>
    <col min="21" max="21" width="11.88671875" style="40" customWidth="1"/>
    <col min="22" max="16384" width="9.33203125" style="40"/>
  </cols>
  <sheetData>
    <row r="1" spans="2:18" ht="26.15" customHeight="1">
      <c r="B1" s="492" t="s">
        <v>1493</v>
      </c>
      <c r="C1" s="38"/>
      <c r="D1" s="38"/>
      <c r="E1" s="38"/>
      <c r="F1" s="38"/>
      <c r="G1" s="38"/>
    </row>
    <row r="3" spans="2:18" ht="12.9" customHeight="1">
      <c r="B3" s="251" t="s">
        <v>492</v>
      </c>
      <c r="C3" s="240"/>
      <c r="D3" s="241"/>
      <c r="F3" s="552"/>
      <c r="G3" s="60"/>
      <c r="I3" s="34"/>
      <c r="J3" s="34"/>
      <c r="K3" s="34"/>
      <c r="L3" s="34"/>
      <c r="M3" s="34"/>
      <c r="N3" s="34"/>
      <c r="O3" s="34"/>
      <c r="P3" s="34"/>
      <c r="Q3" s="34"/>
      <c r="R3" s="34"/>
    </row>
    <row r="4" spans="2:18" ht="12.9" customHeight="1">
      <c r="B4" s="242" t="s">
        <v>491</v>
      </c>
      <c r="C4" s="242" t="s">
        <v>278</v>
      </c>
      <c r="D4" s="242" t="s">
        <v>279</v>
      </c>
      <c r="F4" s="552"/>
      <c r="G4" s="60"/>
    </row>
    <row r="5" spans="2:18" ht="12.9" customHeight="1">
      <c r="B5" s="38" t="s">
        <v>493</v>
      </c>
      <c r="C5" s="75">
        <v>2020</v>
      </c>
      <c r="D5" s="262"/>
    </row>
    <row r="6" spans="2:18" ht="12.9" customHeight="1">
      <c r="B6" s="38" t="s">
        <v>1488</v>
      </c>
      <c r="C6" s="93">
        <v>10</v>
      </c>
      <c r="D6" s="263"/>
    </row>
    <row r="7" spans="2:18" ht="12.9" customHeight="1">
      <c r="B7" s="38" t="s">
        <v>494</v>
      </c>
      <c r="C7" s="93">
        <v>3</v>
      </c>
      <c r="D7" s="263"/>
    </row>
    <row r="8" spans="2:18" ht="12.9" customHeight="1">
      <c r="B8" s="38" t="s">
        <v>495</v>
      </c>
      <c r="C8" s="93">
        <v>50</v>
      </c>
      <c r="D8" s="263"/>
    </row>
    <row r="9" spans="2:18" ht="12.9" customHeight="1">
      <c r="B9" s="151" t="s">
        <v>1013</v>
      </c>
      <c r="C9" s="161">
        <v>0</v>
      </c>
      <c r="D9" s="264"/>
    </row>
    <row r="11" spans="2:18" ht="12.9" customHeight="1">
      <c r="B11" s="251" t="s">
        <v>1263</v>
      </c>
      <c r="C11" s="240"/>
      <c r="D11" s="241"/>
    </row>
    <row r="12" spans="2:18" ht="12.9" customHeight="1">
      <c r="B12" s="242" t="s">
        <v>491</v>
      </c>
      <c r="C12" s="242" t="s">
        <v>278</v>
      </c>
      <c r="D12" s="242" t="s">
        <v>279</v>
      </c>
    </row>
    <row r="13" spans="2:18" ht="12.9" customHeight="1">
      <c r="B13" s="38" t="s">
        <v>496</v>
      </c>
      <c r="C13" s="79">
        <v>0</v>
      </c>
      <c r="D13" s="265"/>
      <c r="Q13" s="495" t="s">
        <v>1497</v>
      </c>
    </row>
    <row r="14" spans="2:18" ht="12.9" customHeight="1">
      <c r="B14" s="38" t="s">
        <v>497</v>
      </c>
      <c r="C14" s="87">
        <v>0.45</v>
      </c>
      <c r="D14" s="265"/>
      <c r="Q14" s="495" t="s">
        <v>1430</v>
      </c>
    </row>
    <row r="15" spans="2:18" ht="12.9" customHeight="1">
      <c r="B15" s="38" t="s">
        <v>498</v>
      </c>
      <c r="C15" s="87">
        <v>0.45</v>
      </c>
      <c r="D15" s="265"/>
      <c r="Q15" s="495" t="s">
        <v>1429</v>
      </c>
    </row>
    <row r="16" spans="2:18" ht="12.9" customHeight="1">
      <c r="B16" s="38" t="s">
        <v>499</v>
      </c>
      <c r="C16" s="79">
        <v>0.1</v>
      </c>
      <c r="D16" s="265"/>
      <c r="Q16" s="495" t="s">
        <v>1417</v>
      </c>
    </row>
    <row r="17" spans="2:15" ht="12.9" customHeight="1">
      <c r="B17" s="38" t="s">
        <v>500</v>
      </c>
      <c r="C17" s="79">
        <v>0</v>
      </c>
      <c r="D17" s="265"/>
    </row>
    <row r="18" spans="2:15" ht="12.9" customHeight="1">
      <c r="B18" s="38" t="s">
        <v>297</v>
      </c>
      <c r="C18" s="79">
        <v>0</v>
      </c>
      <c r="D18" s="265"/>
    </row>
    <row r="19" spans="2:15" ht="12.9" customHeight="1">
      <c r="B19" s="57" t="s">
        <v>501</v>
      </c>
      <c r="C19" s="79">
        <f>SUM(C13:C18)</f>
        <v>1</v>
      </c>
      <c r="D19" s="88">
        <f>IF(SUM(D13:D18)=1,"valid", SUM(D13:D18))</f>
        <v>0</v>
      </c>
    </row>
    <row r="20" spans="2:15" ht="12.9" customHeight="1">
      <c r="B20" s="57"/>
      <c r="C20" s="76"/>
      <c r="D20" s="76"/>
    </row>
    <row r="21" spans="2:15" ht="12.9" customHeight="1">
      <c r="B21" s="251" t="s">
        <v>502</v>
      </c>
      <c r="C21" s="240"/>
      <c r="D21" s="241"/>
    </row>
    <row r="22" spans="2:15" ht="12.9" customHeight="1">
      <c r="B22" s="242" t="s">
        <v>491</v>
      </c>
      <c r="C22" s="242" t="s">
        <v>278</v>
      </c>
      <c r="D22" s="242" t="s">
        <v>279</v>
      </c>
    </row>
    <row r="23" spans="2:15" ht="12.9" customHeight="1">
      <c r="B23" s="90" t="s">
        <v>505</v>
      </c>
      <c r="C23" s="82" t="s">
        <v>314</v>
      </c>
      <c r="D23" s="266" t="s">
        <v>314</v>
      </c>
    </row>
    <row r="24" spans="2:15" ht="12.9" customHeight="1">
      <c r="B24" s="389" t="s">
        <v>1282</v>
      </c>
      <c r="C24" s="386" t="str">
        <f>IF(parameters!$B$33="B",'consumption scenario B'!C2,IF(parameters!$B$33="C",'consumption scenario C'!C2,'consumption scenario A'!C2))</f>
        <v>reference case: AEO 2019</v>
      </c>
    </row>
    <row r="25" spans="2:15" ht="12.9" customHeight="1">
      <c r="B25" s="389" t="s">
        <v>1281</v>
      </c>
      <c r="C25" s="75">
        <v>2018</v>
      </c>
      <c r="D25" s="262"/>
      <c r="E25" s="377"/>
      <c r="F25" s="377"/>
    </row>
    <row r="26" spans="2:15" ht="12.9" customHeight="1">
      <c r="B26" s="89" t="s">
        <v>1490</v>
      </c>
      <c r="C26" s="81" t="s">
        <v>350</v>
      </c>
      <c r="D26" s="266" t="s">
        <v>350</v>
      </c>
    </row>
    <row r="27" spans="2:15" ht="12.9" customHeight="1">
      <c r="B27" s="38" t="s">
        <v>503</v>
      </c>
      <c r="C27" s="77" t="s">
        <v>490</v>
      </c>
      <c r="D27" s="266" t="s">
        <v>307</v>
      </c>
    </row>
    <row r="28" spans="2:15" ht="12.9" customHeight="1">
      <c r="B28" s="38" t="s">
        <v>504</v>
      </c>
      <c r="C28" s="77" t="s">
        <v>490</v>
      </c>
      <c r="D28" s="266" t="s">
        <v>307</v>
      </c>
      <c r="G28" s="60"/>
    </row>
    <row r="29" spans="2:15" ht="12.9" customHeight="1">
      <c r="B29" s="38" t="s">
        <v>1489</v>
      </c>
      <c r="C29" s="77" t="s">
        <v>490</v>
      </c>
      <c r="D29" s="266" t="s">
        <v>307</v>
      </c>
      <c r="E29" s="119"/>
      <c r="F29" s="399"/>
      <c r="G29" s="60"/>
    </row>
    <row r="30" spans="2:15" ht="12.9" customHeight="1">
      <c r="B30" s="50" t="s">
        <v>1265</v>
      </c>
      <c r="C30" s="119"/>
      <c r="D30" s="119"/>
      <c r="E30" s="119"/>
      <c r="F30" s="119"/>
      <c r="H30" s="553" t="s">
        <v>1419</v>
      </c>
      <c r="I30" s="553"/>
      <c r="J30" s="553"/>
      <c r="K30" s="553"/>
      <c r="L30" s="553"/>
      <c r="M30" s="553"/>
      <c r="N30" s="553"/>
      <c r="O30" s="553"/>
    </row>
    <row r="31" spans="2:15" ht="12.9" customHeight="1">
      <c r="B31" s="385" t="s">
        <v>1264</v>
      </c>
      <c r="C31" s="87">
        <v>0.25</v>
      </c>
      <c r="D31" s="265"/>
      <c r="E31" s="377"/>
      <c r="F31" s="377"/>
      <c r="H31" s="553"/>
      <c r="I31" s="553"/>
      <c r="J31" s="553"/>
      <c r="K31" s="553"/>
      <c r="L31" s="553"/>
      <c r="M31" s="553"/>
      <c r="N31" s="553"/>
      <c r="O31" s="553"/>
    </row>
    <row r="32" spans="2:15" ht="12.9" customHeight="1">
      <c r="B32" s="385" t="s">
        <v>872</v>
      </c>
      <c r="C32" s="79">
        <v>0.5</v>
      </c>
      <c r="D32" s="265"/>
      <c r="E32" s="377"/>
      <c r="F32" s="377"/>
    </row>
    <row r="33" spans="2:28" ht="12.9" customHeight="1">
      <c r="B33" s="385" t="s">
        <v>873</v>
      </c>
      <c r="C33" s="79">
        <v>0.125</v>
      </c>
      <c r="D33" s="265"/>
      <c r="E33" s="377"/>
      <c r="F33" s="377"/>
      <c r="H33" s="250" t="s">
        <v>1463</v>
      </c>
      <c r="I33" s="240"/>
      <c r="J33" s="240"/>
      <c r="K33" s="240"/>
      <c r="L33" s="240"/>
      <c r="M33" s="240"/>
      <c r="N33" s="240"/>
      <c r="O33" s="240"/>
      <c r="P33" s="240"/>
      <c r="Q33" s="240"/>
      <c r="R33" s="240"/>
      <c r="S33" s="240"/>
      <c r="T33" s="240"/>
      <c r="U33" s="240"/>
      <c r="V33" s="240"/>
      <c r="W33" s="240"/>
    </row>
    <row r="34" spans="2:28" ht="12.9" customHeight="1">
      <c r="B34" s="385" t="s">
        <v>871</v>
      </c>
      <c r="C34" s="79">
        <v>0.125</v>
      </c>
      <c r="D34" s="265"/>
      <c r="E34" s="377"/>
      <c r="F34" s="377"/>
      <c r="H34" s="253"/>
      <c r="I34" s="255">
        <v>2020</v>
      </c>
      <c r="J34" s="255"/>
      <c r="K34" s="255"/>
      <c r="L34" s="255"/>
      <c r="M34" s="255"/>
      <c r="N34" s="256">
        <v>2035</v>
      </c>
      <c r="O34" s="256"/>
      <c r="P34" s="256"/>
      <c r="Q34" s="256"/>
      <c r="R34" s="256"/>
      <c r="S34" s="256">
        <v>2050</v>
      </c>
      <c r="T34" s="256"/>
      <c r="U34" s="256"/>
      <c r="V34" s="256"/>
      <c r="W34" s="256"/>
    </row>
    <row r="35" spans="2:28" ht="12.9" customHeight="1">
      <c r="B35" s="385" t="s">
        <v>1266</v>
      </c>
      <c r="C35" s="79">
        <f>SUM(C30:C34)</f>
        <v>1</v>
      </c>
      <c r="D35" s="88">
        <f>IF(SUM(D31:D34)=1,"valid", SUM(D31:D34))</f>
        <v>0</v>
      </c>
      <c r="E35" s="377"/>
      <c r="F35" s="377"/>
      <c r="H35" s="254" t="s">
        <v>526</v>
      </c>
      <c r="I35" s="242" t="s">
        <v>524</v>
      </c>
      <c r="J35" s="242" t="s">
        <v>525</v>
      </c>
      <c r="K35" s="505" t="s">
        <v>1447</v>
      </c>
      <c r="L35" s="505" t="s">
        <v>1446</v>
      </c>
      <c r="M35" s="242" t="s">
        <v>290</v>
      </c>
      <c r="N35" s="242" t="s">
        <v>524</v>
      </c>
      <c r="O35" s="242" t="s">
        <v>525</v>
      </c>
      <c r="P35" s="505" t="s">
        <v>1447</v>
      </c>
      <c r="Q35" s="505" t="s">
        <v>1446</v>
      </c>
      <c r="R35" s="242" t="s">
        <v>290</v>
      </c>
      <c r="S35" s="422" t="s">
        <v>524</v>
      </c>
      <c r="T35" s="422" t="s">
        <v>525</v>
      </c>
      <c r="U35" s="505" t="s">
        <v>1447</v>
      </c>
      <c r="V35" s="505" t="s">
        <v>1446</v>
      </c>
      <c r="W35" s="422" t="s">
        <v>290</v>
      </c>
    </row>
    <row r="36" spans="2:28" ht="12.9" customHeight="1">
      <c r="B36" s="377"/>
      <c r="C36" s="377"/>
      <c r="D36" s="377"/>
      <c r="E36" s="377"/>
      <c r="F36" s="377"/>
      <c r="H36" s="229" t="s">
        <v>331</v>
      </c>
      <c r="I36" s="268">
        <f>'Baseline Emissions'!Q14</f>
        <v>10.039612662994315</v>
      </c>
      <c r="J36" s="268">
        <f>'Adjusted Emissions'!B14</f>
        <v>9.9088654765189847</v>
      </c>
      <c r="K36" s="509">
        <f>-('Adjusted Emissions'!B14-'Adjusted Emissions'!B93)</f>
        <v>0.13074718647533423</v>
      </c>
      <c r="L36" s="268">
        <f>I36-J36</f>
        <v>0.13074718647533068</v>
      </c>
      <c r="M36" s="429">
        <f>(J36-I36)/I36</f>
        <v>-1.3023130559335277E-2</v>
      </c>
      <c r="N36" s="268">
        <f>'Baseline Emissions'!AF14</f>
        <v>7.8537095472799709</v>
      </c>
      <c r="O36" s="268">
        <f>'Adjusted Emissions'!Q14</f>
        <v>5.1886072833006951</v>
      </c>
      <c r="P36" s="509">
        <f>-('Adjusted Emissions'!Q14-'Adjusted Emissions'!Q93)</f>
        <v>0.42454510870756135</v>
      </c>
      <c r="Q36" s="268">
        <f>N36-O36</f>
        <v>2.6651022639792759</v>
      </c>
      <c r="R36" s="429">
        <f>(O36-N36)/N36</f>
        <v>-0.33934311524193034</v>
      </c>
      <c r="S36" s="268">
        <f>'Baseline Emissions'!AU14</f>
        <v>8.000037946075528</v>
      </c>
      <c r="T36" s="268">
        <f>'Adjusted Emissions'!AF14</f>
        <v>3.9373258802216755</v>
      </c>
      <c r="U36" s="509">
        <f>-('Adjusted Emissions'!AF14-'Adjusted Emissions'!AF93)</f>
        <v>0.44360840375406507</v>
      </c>
      <c r="V36" s="268">
        <f>S36-T36</f>
        <v>4.0627120658538525</v>
      </c>
      <c r="W36" s="269">
        <f>(T36-S36)/S36</f>
        <v>-0.5078365994309868</v>
      </c>
      <c r="X36"/>
      <c r="Y36"/>
      <c r="Z36"/>
      <c r="AA36"/>
    </row>
    <row r="37" spans="2:28" ht="12.9" customHeight="1">
      <c r="B37" s="251" t="s">
        <v>1229</v>
      </c>
      <c r="C37" s="240"/>
      <c r="D37" s="240"/>
      <c r="E37" s="240"/>
      <c r="F37" s="241"/>
      <c r="H37" s="229" t="s">
        <v>332</v>
      </c>
      <c r="I37" s="268">
        <f>'Baseline Emissions'!Q27</f>
        <v>8.4524754950033767</v>
      </c>
      <c r="J37" s="268">
        <f>'Adjusted Emissions'!B27</f>
        <v>8.3346180424220186</v>
      </c>
      <c r="K37" s="509">
        <f>-('Adjusted Emissions'!B27-'Adjusted Emissions'!B94)</f>
        <v>0.11785745258135982</v>
      </c>
      <c r="L37" s="268">
        <f>I37-J37</f>
        <v>0.11785745258135805</v>
      </c>
      <c r="M37" s="430">
        <f>(J37-I37)/I37</f>
        <v>-1.3943542652212204E-2</v>
      </c>
      <c r="N37" s="268">
        <f>'Baseline Emissions'!AF27</f>
        <v>7.3418254579888913</v>
      </c>
      <c r="O37" s="268">
        <f>'Adjusted Emissions'!Q27</f>
        <v>4.7764622998207367</v>
      </c>
      <c r="P37" s="509">
        <f>-('Adjusted Emissions'!Q27-'Adjusted Emissions'!Q94)</f>
        <v>0.41971828312408466</v>
      </c>
      <c r="Q37" s="268">
        <f>N37-O37</f>
        <v>2.5653631581681546</v>
      </c>
      <c r="R37" s="430">
        <f>(O37-N37)/N37</f>
        <v>-0.34941761730070758</v>
      </c>
      <c r="S37" s="268">
        <f>'Baseline Emissions'!AU27</f>
        <v>8.7539466607499481</v>
      </c>
      <c r="T37" s="268">
        <f>'Adjusted Emissions'!AF27</f>
        <v>4.2711130254352865</v>
      </c>
      <c r="U37" s="509">
        <f>-('Adjusted Emissions'!AF27-'Adjusted Emissions'!AF94)</f>
        <v>0.51268424169805105</v>
      </c>
      <c r="V37" s="268">
        <f>S37-T37</f>
        <v>4.4828336353146616</v>
      </c>
      <c r="W37" s="269">
        <f>(T37-S37)/S37</f>
        <v>-0.51209286611424454</v>
      </c>
      <c r="X37"/>
      <c r="Y37"/>
      <c r="Z37"/>
      <c r="AA37"/>
      <c r="AB37" s="83"/>
    </row>
    <row r="38" spans="2:28" ht="12.9" customHeight="1">
      <c r="B38" s="253"/>
      <c r="C38" s="253" t="s">
        <v>515</v>
      </c>
      <c r="D38" s="253"/>
      <c r="E38" s="253" t="s">
        <v>517</v>
      </c>
      <c r="F38" s="253" t="s">
        <v>519</v>
      </c>
      <c r="H38" s="229" t="s">
        <v>333</v>
      </c>
      <c r="I38" s="268">
        <f>'Baseline Emissions'!Q50</f>
        <v>13.896317254718019</v>
      </c>
      <c r="J38" s="268">
        <f>'Adjusted Emissions'!B50</f>
        <v>13.744581975807215</v>
      </c>
      <c r="K38" s="509">
        <f>-('Adjusted Emissions'!B50-'Adjusted Emissions'!B95)</f>
        <v>0.15173527891080596</v>
      </c>
      <c r="L38" s="268">
        <f>I38-J38</f>
        <v>0.15173527891080418</v>
      </c>
      <c r="M38" s="430">
        <f>(J38-I38)/I38</f>
        <v>-1.0919100084541295E-2</v>
      </c>
      <c r="N38" s="268">
        <f>'Baseline Emissions'!AF50</f>
        <v>13.758810799000344</v>
      </c>
      <c r="O38" s="268">
        <f>'Adjusted Emissions'!Q50</f>
        <v>9.0121275395216909</v>
      </c>
      <c r="P38" s="509">
        <f>-('Adjusted Emissions'!Q50-'Adjusted Emissions'!Q95)</f>
        <v>3.1347320178483944</v>
      </c>
      <c r="Q38" s="268">
        <f>N38-O38</f>
        <v>4.7466832594786528</v>
      </c>
      <c r="R38" s="430">
        <f>(O38-N38)/N38</f>
        <v>-0.34499226196376842</v>
      </c>
      <c r="S38" s="268">
        <f>'Baseline Emissions'!AU50</f>
        <v>15.999592249351011</v>
      </c>
      <c r="T38" s="268">
        <f>'Adjusted Emissions'!AF50</f>
        <v>9.9883735697743017</v>
      </c>
      <c r="U38" s="509">
        <f>-('Adjusted Emissions'!AF50-'Adjusted Emissions'!AF95)</f>
        <v>3.1118915335110682</v>
      </c>
      <c r="V38" s="268">
        <f>S38-T38</f>
        <v>6.0112186795767091</v>
      </c>
      <c r="W38" s="269">
        <f>(T38-S38)/S38</f>
        <v>-0.37571074224223067</v>
      </c>
      <c r="X38"/>
      <c r="Y38"/>
      <c r="Z38"/>
      <c r="AA38"/>
    </row>
    <row r="39" spans="2:28" ht="12.9" customHeight="1">
      <c r="B39" s="254" t="s">
        <v>506</v>
      </c>
      <c r="C39" s="254" t="s">
        <v>516</v>
      </c>
      <c r="D39" s="254" t="s">
        <v>507</v>
      </c>
      <c r="E39" s="254" t="s">
        <v>518</v>
      </c>
      <c r="F39" s="254" t="s">
        <v>520</v>
      </c>
      <c r="H39" s="229" t="s">
        <v>514</v>
      </c>
      <c r="I39" s="268">
        <f>'Baseline Emissions'!Q75</f>
        <v>43.026669221837956</v>
      </c>
      <c r="J39" s="268">
        <f>'Adjusted Emissions'!B75</f>
        <v>42.951251178020684</v>
      </c>
      <c r="K39" s="510">
        <f>-('Adjusted Emissions'!B75-'Adjusted Emissions'!B96)</f>
        <v>6.0322242910380908E-2</v>
      </c>
      <c r="L39" s="268">
        <f>I39-J39</f>
        <v>7.5418043817272462E-2</v>
      </c>
      <c r="M39" s="430">
        <f>(J39-I39)/I39</f>
        <v>-1.7528208708982389E-3</v>
      </c>
      <c r="N39" s="268">
        <f>'Baseline Emissions'!AF75</f>
        <v>40.860488036206497</v>
      </c>
      <c r="O39" s="268">
        <f>'Adjusted Emissions'!Q75</f>
        <v>38.784619460850529</v>
      </c>
      <c r="P39" s="510">
        <f>-('Adjusted Emissions'!Q75-'Adjusted Emissions'!Q96)</f>
        <v>1.8708847797703285</v>
      </c>
      <c r="Q39" s="268">
        <f>N39-O39</f>
        <v>2.0758685753559689</v>
      </c>
      <c r="R39" s="430">
        <f>(O39-N39)/N39</f>
        <v>-5.0803812561331645E-2</v>
      </c>
      <c r="S39" s="268">
        <f>'Baseline Emissions'!AU75</f>
        <v>42.431488893504564</v>
      </c>
      <c r="T39" s="268">
        <f>'Adjusted Emissions'!AF75</f>
        <v>40.057330589398155</v>
      </c>
      <c r="U39" s="510">
        <f>-('Adjusted Emissions'!AF75-'Adjusted Emissions'!AF96)</f>
        <v>1.9968115854790724</v>
      </c>
      <c r="V39" s="268">
        <f>S39-T39</f>
        <v>2.3741583041064089</v>
      </c>
      <c r="W39" s="269">
        <f>(T39-S39)/S39</f>
        <v>-5.5952745614586394E-2</v>
      </c>
      <c r="X39"/>
      <c r="Y39"/>
      <c r="Z39"/>
      <c r="AA39"/>
    </row>
    <row r="40" spans="2:28" ht="12.9" customHeight="1">
      <c r="B40" s="119" t="s">
        <v>512</v>
      </c>
      <c r="C40" s="119"/>
      <c r="D40" s="119"/>
      <c r="E40" s="119"/>
      <c r="F40" s="91"/>
      <c r="H40" s="90" t="s">
        <v>527</v>
      </c>
      <c r="I40" s="275">
        <f>'Baseline Emissions'!Q88</f>
        <v>75.415074634553662</v>
      </c>
      <c r="J40" s="275">
        <f>'Adjusted Emissions'!B88</f>
        <v>74.939316672768911</v>
      </c>
      <c r="K40" s="509">
        <f>SUM(K36:K39)</f>
        <v>0.46066216087788092</v>
      </c>
      <c r="L40" s="275">
        <f>I40-J40</f>
        <v>0.47575796178475116</v>
      </c>
      <c r="M40" s="431">
        <f>(J40-I40)/I40</f>
        <v>-6.3085260352811279E-3</v>
      </c>
      <c r="N40" s="275">
        <f>'Baseline Emissions'!AF88</f>
        <v>69.8148338404757</v>
      </c>
      <c r="O40" s="275">
        <f>'Adjusted Emissions'!Q88</f>
        <v>57.761816583493655</v>
      </c>
      <c r="P40" s="509">
        <f>SUM(P36:P39)</f>
        <v>5.8498801894503689</v>
      </c>
      <c r="Q40" s="275">
        <f>N40-O40</f>
        <v>12.053017256982045</v>
      </c>
      <c r="R40" s="431">
        <f>(O40-N40)/N40</f>
        <v>-0.17264264045263994</v>
      </c>
      <c r="S40" s="275">
        <f>'Baseline Emissions'!AU88</f>
        <v>75.185065749681058</v>
      </c>
      <c r="T40" s="275">
        <f>'Adjusted Emissions'!AF88</f>
        <v>58.254143064829421</v>
      </c>
      <c r="U40" s="509">
        <f>SUM(U36:U39)</f>
        <v>6.0649957644422567</v>
      </c>
      <c r="V40" s="275">
        <f>S40-T40</f>
        <v>16.930922684851637</v>
      </c>
      <c r="W40" s="276">
        <f>(T40-S40)/S40</f>
        <v>-0.22518996979028991</v>
      </c>
      <c r="X40"/>
      <c r="Y40"/>
      <c r="Z40"/>
      <c r="AA40"/>
    </row>
    <row r="41" spans="2:28" ht="12.9" customHeight="1">
      <c r="B41" s="46" t="s">
        <v>469</v>
      </c>
      <c r="C41" s="266">
        <v>30</v>
      </c>
      <c r="D41" s="266">
        <v>2050</v>
      </c>
      <c r="E41" s="265">
        <v>0.15</v>
      </c>
      <c r="F41" s="91" t="str">
        <f>IF(AND(C41&gt;0,D41-C41&gt;=parameters!$B$158,D41&lt;=parameters!$B$159,E41&gt;0,E41&lt;=1),"o.k.","no")</f>
        <v>o.k.</v>
      </c>
      <c r="H41" s="57" t="s">
        <v>528</v>
      </c>
      <c r="I41" s="268">
        <f>'Baseline Emissions'!Q90</f>
        <v>73.400000000000006</v>
      </c>
      <c r="J41" s="268">
        <f>I41</f>
        <v>73.400000000000006</v>
      </c>
      <c r="K41" s="511"/>
      <c r="L41" s="268"/>
      <c r="M41" s="430"/>
      <c r="N41" s="268">
        <f>'Baseline Emissions'!AF91</f>
        <v>55.050000000000004</v>
      </c>
      <c r="O41" s="268">
        <f>N41</f>
        <v>55.050000000000004</v>
      </c>
      <c r="P41" s="511"/>
      <c r="Q41" s="268"/>
      <c r="R41" s="430"/>
      <c r="S41" s="268">
        <f>'Baseline Emissions'!AU92</f>
        <v>36.700000000000003</v>
      </c>
      <c r="T41" s="268">
        <f>S41</f>
        <v>36.700000000000003</v>
      </c>
      <c r="U41" s="511"/>
      <c r="V41" s="268"/>
      <c r="W41" s="269"/>
      <c r="X41"/>
      <c r="Y41"/>
      <c r="Z41"/>
      <c r="AA41"/>
    </row>
    <row r="42" spans="2:28" ht="12.9" customHeight="1">
      <c r="B42" s="46" t="s">
        <v>423</v>
      </c>
      <c r="C42" s="266">
        <v>30</v>
      </c>
      <c r="D42" s="266">
        <v>2050</v>
      </c>
      <c r="E42" s="264">
        <v>7.4999999999999997E-2</v>
      </c>
      <c r="F42" s="91" t="str">
        <f>IF(AND(C42&gt;0,D42-C42&gt;=parameters!$B$158,D42&lt;=parameters!$B$159,E42&gt;0,E42&lt;=1),"o.k.","no")</f>
        <v>o.k.</v>
      </c>
      <c r="H42" s="178" t="s">
        <v>529</v>
      </c>
      <c r="I42" s="268">
        <f>'Baseline Emissions'!Q83</f>
        <v>12.773614321160141</v>
      </c>
      <c r="J42" s="268">
        <f>'Adjusted Emissions'!B83</f>
        <v>12.460640928305878</v>
      </c>
      <c r="K42" s="509">
        <f>-('Adjusted Emissions'!B83-'Adjusted Emissions'!B97)</f>
        <v>0.31573187283386872</v>
      </c>
      <c r="L42" s="268">
        <f>I42-J42</f>
        <v>0.3129733928542624</v>
      </c>
      <c r="M42" s="430">
        <f>(J42-I42)/I42</f>
        <v>-2.4501553357204945E-2</v>
      </c>
      <c r="N42" s="268">
        <f>'Baseline Emissions'!AF83</f>
        <v>8.1563615776401512</v>
      </c>
      <c r="O42" s="268">
        <f>'Adjusted Emissions'!Q83</f>
        <v>2.6924518173411087</v>
      </c>
      <c r="P42" s="509">
        <f>-('Adjusted Emissions'!Q83-'Adjusted Emissions'!Q97)</f>
        <v>1.261161918380882E-3</v>
      </c>
      <c r="Q42" s="268">
        <f>N42-O42</f>
        <v>5.4639097602990425</v>
      </c>
      <c r="R42" s="430">
        <f>(O42-N42)/N42</f>
        <v>-0.66989548075919103</v>
      </c>
      <c r="S42" s="268">
        <f>'Baseline Emissions'!AU83</f>
        <v>9.3719385237987431</v>
      </c>
      <c r="T42" s="268">
        <f>'Adjusted Emissions'!AF83</f>
        <v>0</v>
      </c>
      <c r="U42" s="509">
        <v>0</v>
      </c>
      <c r="V42" s="268">
        <f>S42-T42</f>
        <v>9.3719385237987431</v>
      </c>
      <c r="W42" s="269">
        <f>(T42-S42)/S42</f>
        <v>-1</v>
      </c>
      <c r="X42"/>
      <c r="Y42"/>
      <c r="Z42"/>
      <c r="AA42"/>
    </row>
    <row r="43" spans="2:28" ht="12.9" customHeight="1">
      <c r="B43" s="119" t="s">
        <v>513</v>
      </c>
      <c r="C43" s="119"/>
      <c r="D43" s="119"/>
      <c r="E43" s="85"/>
      <c r="F43" s="91"/>
      <c r="H43" s="178" t="s">
        <v>1052</v>
      </c>
      <c r="I43" s="268">
        <f>I40*10^6/ramps!$C123</f>
        <v>9.9833023981114302</v>
      </c>
      <c r="J43" s="268">
        <f>J40*10^6/ramps!$C123</f>
        <v>9.92032247501486</v>
      </c>
      <c r="L43" s="268">
        <f>I43-J43</f>
        <v>6.297992309657019E-2</v>
      </c>
      <c r="M43" s="430">
        <f>(J43-I43)/I43</f>
        <v>-6.3085260352810993E-3</v>
      </c>
      <c r="N43" s="268">
        <f>N40*10^6/ramps!$R123</f>
        <v>8.0294725073094249</v>
      </c>
      <c r="O43" s="268">
        <f>O40*10^6/ramps!$R123</f>
        <v>6.6432431722056471</v>
      </c>
      <c r="Q43" s="268">
        <f>N43-O43</f>
        <v>1.3862293351037778</v>
      </c>
      <c r="R43" s="430">
        <f>(O43-N43)/N43</f>
        <v>-0.17264264045263986</v>
      </c>
      <c r="S43" s="268">
        <f>S40*10^6/ramps!$AG123</f>
        <v>7.8164880192962549</v>
      </c>
      <c r="T43" s="268">
        <f>T40*10^6/ramps!$AG123</f>
        <v>6.0562933183647685</v>
      </c>
      <c r="V43" s="268">
        <f>S43-T43</f>
        <v>1.7601947009314864</v>
      </c>
      <c r="W43" s="269">
        <f>(T43-S43)/S43</f>
        <v>-0.22518996979028988</v>
      </c>
      <c r="X43"/>
      <c r="Y43"/>
      <c r="Z43"/>
      <c r="AA43"/>
    </row>
    <row r="44" spans="2:28" ht="12.9" customHeight="1">
      <c r="B44" s="46" t="s">
        <v>469</v>
      </c>
      <c r="C44" s="266">
        <v>30</v>
      </c>
      <c r="D44" s="266">
        <v>2050</v>
      </c>
      <c r="E44" s="265">
        <v>0.15</v>
      </c>
      <c r="F44" s="91" t="str">
        <f>IF(AND(C44&gt;0,D44-C44&gt;=parameters!$B$158,D44&lt;=parameters!$B$159,E44&gt;0,E44&lt;=1),"o.k.","no")</f>
        <v>o.k.</v>
      </c>
      <c r="H44" s="229" t="s">
        <v>922</v>
      </c>
      <c r="I44" s="229"/>
      <c r="J44" s="229"/>
      <c r="K44" s="229"/>
      <c r="L44" s="229"/>
      <c r="M44" s="229"/>
      <c r="N44" s="229"/>
      <c r="O44" s="229"/>
      <c r="Q44"/>
      <c r="R44"/>
      <c r="S44"/>
      <c r="T44"/>
      <c r="U44"/>
    </row>
    <row r="45" spans="2:28" ht="12.9" customHeight="1">
      <c r="B45" s="46" t="s">
        <v>423</v>
      </c>
      <c r="C45" s="266">
        <v>30</v>
      </c>
      <c r="D45" s="266">
        <v>2050</v>
      </c>
      <c r="E45" s="264">
        <v>7.4999999999999997E-2</v>
      </c>
      <c r="F45" s="91" t="str">
        <f>IF(AND(C45&gt;0,D45-C45&gt;=parameters!$B$158,D45&lt;=parameters!$B$159,E45&gt;0,E45&lt;=1),"o.k.","no")</f>
        <v>o.k.</v>
      </c>
      <c r="H45" s="229"/>
      <c r="I45" s="146"/>
      <c r="J45" s="229"/>
      <c r="K45" s="229"/>
      <c r="L45" s="229"/>
      <c r="M45" s="229"/>
      <c r="N45" s="229"/>
      <c r="O45" s="229"/>
      <c r="Q45"/>
      <c r="R45"/>
      <c r="S45"/>
      <c r="T45"/>
      <c r="U45"/>
    </row>
    <row r="46" spans="2:28" ht="12.9" customHeight="1">
      <c r="B46" s="119" t="s">
        <v>257</v>
      </c>
      <c r="C46" s="119"/>
      <c r="D46" s="119"/>
      <c r="E46" s="85"/>
      <c r="F46" s="91"/>
      <c r="H46" s="250" t="s">
        <v>1476</v>
      </c>
      <c r="I46" s="240" t="s">
        <v>1477</v>
      </c>
      <c r="J46" s="240"/>
      <c r="K46" s="240"/>
      <c r="M46" s="240" t="s">
        <v>1214</v>
      </c>
      <c r="N46" s="240"/>
      <c r="O46" s="240"/>
      <c r="P46" s="240"/>
      <c r="Q46" s="240"/>
      <c r="S46" s="76"/>
      <c r="T46" s="76"/>
    </row>
    <row r="47" spans="2:28" ht="12.9" customHeight="1">
      <c r="B47" s="46" t="s">
        <v>469</v>
      </c>
      <c r="C47" s="266"/>
      <c r="D47" s="266"/>
      <c r="E47" s="265"/>
      <c r="F47" s="91" t="str">
        <f>IF(AND(C47&gt;0,D47-C47&gt;=parameters!$B$158,D47&lt;=parameters!$B$159,E47&gt;0,E47&lt;=1),"o.k.","no")</f>
        <v>no</v>
      </c>
      <c r="H47" s="242" t="s">
        <v>532</v>
      </c>
      <c r="I47" s="242">
        <v>2020</v>
      </c>
      <c r="J47" s="242">
        <v>2035</v>
      </c>
      <c r="K47" s="422">
        <v>2050</v>
      </c>
      <c r="M47" s="382" t="s">
        <v>1262</v>
      </c>
      <c r="N47" s="242"/>
      <c r="O47" s="422">
        <v>2020</v>
      </c>
      <c r="P47" s="242">
        <v>2035</v>
      </c>
      <c r="Q47" s="422">
        <v>2050</v>
      </c>
      <c r="R47" s="204"/>
      <c r="S47" s="205"/>
      <c r="T47" s="78"/>
    </row>
    <row r="48" spans="2:28" ht="12.9" customHeight="1">
      <c r="B48" s="46" t="s">
        <v>425</v>
      </c>
      <c r="C48" s="266"/>
      <c r="D48" s="266"/>
      <c r="E48" s="265"/>
      <c r="F48" s="91" t="str">
        <f>IF(AND(C48&gt;0,D48-C48&gt;=parameters!$B$158,D48&lt;=parameters!$B$159,E48&gt;0,E48&lt;=1),"o.k.","no")</f>
        <v>no</v>
      </c>
      <c r="H48" s="229" t="s">
        <v>331</v>
      </c>
      <c r="I48" s="270">
        <f>Revenue!B14</f>
        <v>86.473772029268446</v>
      </c>
      <c r="J48" s="270">
        <f>Revenue!Q14</f>
        <v>256.00779489614013</v>
      </c>
      <c r="K48" s="270">
        <f>Revenue!AF14</f>
        <v>196.86653227403005</v>
      </c>
      <c r="M48" s="50" t="s">
        <v>537</v>
      </c>
      <c r="N48" s="229"/>
      <c r="O48" s="271">
        <f>($I$52*parameters!$B$16)/ramps!C117</f>
        <v>0</v>
      </c>
      <c r="P48" s="271">
        <f>($J$52*parameters!$B$16)/ramps!R117</f>
        <v>0</v>
      </c>
      <c r="Q48" s="271">
        <f>($K$52*parameters!$B$16)/ramps!AG117</f>
        <v>0</v>
      </c>
      <c r="R48" s="204"/>
      <c r="S48" s="205"/>
      <c r="T48" s="206"/>
    </row>
    <row r="49" spans="1:26" ht="12.9" customHeight="1">
      <c r="A49" s="228"/>
      <c r="B49" s="46" t="s">
        <v>426</v>
      </c>
      <c r="C49" s="266"/>
      <c r="D49" s="266"/>
      <c r="E49" s="265"/>
      <c r="F49" s="91" t="str">
        <f>IF(AND(C49&gt;0,D49-C49&gt;=parameters!$B$158,D49&lt;=parameters!$B$159,E49&gt;0,E49&lt;=1),"o.k.","no")</f>
        <v>no</v>
      </c>
      <c r="H49" s="229" t="s">
        <v>332</v>
      </c>
      <c r="I49" s="270">
        <f>Revenue!B27</f>
        <v>72.095451268091637</v>
      </c>
      <c r="J49" s="270">
        <f>Revenue!Q27</f>
        <v>235.45373100146531</v>
      </c>
      <c r="K49" s="270">
        <f>Revenue!AF27</f>
        <v>213.5582527076873</v>
      </c>
      <c r="M49" s="50" t="s">
        <v>538</v>
      </c>
      <c r="N49" s="229"/>
      <c r="O49" s="271">
        <f>($I$52*parameters!$B$17)/ramps!C118</f>
        <v>2.7450449456435835E-2</v>
      </c>
      <c r="P49" s="271">
        <f>($J$52*parameters!$B$17)/ramps!R118</f>
        <v>6.6158887868531954E-2</v>
      </c>
      <c r="Q49" s="271">
        <f>($K$52*parameters!$B$17)/ramps!AG118</f>
        <v>4.347815681340747E-2</v>
      </c>
      <c r="R49" s="202"/>
      <c r="S49" s="203"/>
      <c r="T49" s="206"/>
    </row>
    <row r="50" spans="1:26" ht="12.9" customHeight="1">
      <c r="B50" s="46" t="s">
        <v>423</v>
      </c>
      <c r="C50" s="266"/>
      <c r="D50" s="266"/>
      <c r="E50" s="265"/>
      <c r="F50" s="91" t="str">
        <f>IF(AND(C50&gt;0,D50-C50&gt;=parameters!$B$158,D50&lt;=parameters!$B$159,E50&gt;0,E50&lt;=1),"o.k.","no")</f>
        <v>no</v>
      </c>
      <c r="H50" s="229" t="s">
        <v>333</v>
      </c>
      <c r="I50" s="270">
        <f>Revenue!B49</f>
        <v>127.83272497367898</v>
      </c>
      <c r="J50" s="270">
        <f>Revenue!Q49</f>
        <v>443.40797852818326</v>
      </c>
      <c r="K50" s="270">
        <f>Revenue!AF49</f>
        <v>494.31899252629762</v>
      </c>
      <c r="M50" s="50" t="s">
        <v>539</v>
      </c>
      <c r="N50" s="229"/>
      <c r="O50" s="271">
        <f>($I$52*parameters!$B$18)/ramps!C119</f>
        <v>6.8262355522350299E-2</v>
      </c>
      <c r="P50" s="271">
        <f>($J$52*parameters!$B$18)/ramps!R119</f>
        <v>0.16452049471219896</v>
      </c>
      <c r="Q50" s="271">
        <f>($K$52*parameters!$B$18)/ramps!AG119</f>
        <v>0.10811922779491977</v>
      </c>
      <c r="R50" s="57"/>
      <c r="S50" s="78"/>
      <c r="T50" s="78"/>
    </row>
    <row r="51" spans="1:26" ht="12.9" customHeight="1">
      <c r="B51" s="84" t="s">
        <v>514</v>
      </c>
      <c r="C51" s="119"/>
      <c r="D51" s="119"/>
      <c r="E51" s="85"/>
      <c r="F51" s="91"/>
      <c r="G51" s="86"/>
      <c r="H51" s="229" t="s">
        <v>514</v>
      </c>
      <c r="I51" s="270">
        <f>Revenue!B64</f>
        <v>326.86011719889416</v>
      </c>
      <c r="J51" s="270">
        <f>Revenue!Q64</f>
        <v>1298.4344179019379</v>
      </c>
      <c r="K51" s="270">
        <f>Revenue!AF64</f>
        <v>1312.9100176476359</v>
      </c>
      <c r="M51" s="50" t="s">
        <v>533</v>
      </c>
      <c r="N51" s="229"/>
      <c r="O51" s="272">
        <f>($I$52*parameters!$B$19)*1000000/ramps!C121</f>
        <v>21.658778949679078</v>
      </c>
      <c r="P51" s="272">
        <f>($J$52*parameters!$B$19)*1000000/ramps!R121</f>
        <v>68.870359645556647</v>
      </c>
      <c r="Q51" s="272">
        <f>($K$52*parameters!$B$19)*1000000/ramps!AG121</f>
        <v>59.713829669524408</v>
      </c>
      <c r="R51" s="57"/>
      <c r="S51" s="78"/>
      <c r="T51" s="78"/>
    </row>
    <row r="52" spans="1:26" ht="12.9" customHeight="1">
      <c r="B52" s="46" t="s">
        <v>334</v>
      </c>
      <c r="C52" s="266"/>
      <c r="D52" s="266"/>
      <c r="E52" s="265"/>
      <c r="F52" s="91" t="str">
        <f>IF(AND(C52&gt;0,D52-C52&gt;=parameters!$B$158,D52&lt;=parameters!$B$159,E52&gt;0,E52&lt;=1),"o.k.","no")</f>
        <v>no</v>
      </c>
      <c r="G52" s="86"/>
      <c r="H52" s="57" t="s">
        <v>527</v>
      </c>
      <c r="I52" s="277">
        <f>Revenue!B84</f>
        <v>613.26206546993319</v>
      </c>
      <c r="J52" s="277">
        <f>Revenue!Q84</f>
        <v>2233.3039223277265</v>
      </c>
      <c r="K52" s="277">
        <f>Revenue!AF84</f>
        <v>2217.6537951556511</v>
      </c>
      <c r="M52" s="50" t="s">
        <v>534</v>
      </c>
      <c r="N52" s="229"/>
      <c r="O52" s="272">
        <f>$I$52*parameters!$B$20</f>
        <v>0</v>
      </c>
      <c r="P52" s="272">
        <f>$J$52*parameters!$B$20</f>
        <v>0</v>
      </c>
      <c r="Q52" s="272">
        <f>$K$52*parameters!$B$20</f>
        <v>0</v>
      </c>
      <c r="T52" s="78"/>
    </row>
    <row r="53" spans="1:26" ht="12.9" customHeight="1">
      <c r="B53" s="46" t="s">
        <v>335</v>
      </c>
      <c r="C53" s="266"/>
      <c r="D53" s="266"/>
      <c r="E53" s="265"/>
      <c r="F53" s="91" t="str">
        <f>IF(AND(C53&gt;0,D53-C53&gt;=parameters!$B$158,D53&lt;=parameters!$B$159,E53&gt;0,E53&lt;=1),"o.k.","no")</f>
        <v>no</v>
      </c>
      <c r="G53" s="31"/>
      <c r="H53" s="111" t="s">
        <v>530</v>
      </c>
      <c r="I53" s="270">
        <f>I48+Revenue!B55+Revenue!B54</f>
        <v>301.74707590206276</v>
      </c>
      <c r="J53" s="270">
        <f>J48+Revenue!Q55+Revenue!Q54</f>
        <v>1037.8272609899934</v>
      </c>
      <c r="K53" s="270">
        <f>K48+Revenue!AF55+Revenue!AF54</f>
        <v>953.36990681470979</v>
      </c>
      <c r="M53" s="50" t="s">
        <v>535</v>
      </c>
      <c r="N53" s="229"/>
      <c r="O53" s="272">
        <f>$I$52*parameters!$B$21</f>
        <v>0</v>
      </c>
      <c r="P53" s="272">
        <f>$J$52*parameters!$B$21</f>
        <v>0</v>
      </c>
      <c r="Q53" s="272">
        <f>$K$52*parameters!$B$21</f>
        <v>0</v>
      </c>
    </row>
    <row r="54" spans="1:26" ht="12.9" customHeight="1">
      <c r="B54" s="46" t="s">
        <v>457</v>
      </c>
      <c r="C54" s="266"/>
      <c r="D54" s="266"/>
      <c r="E54" s="265"/>
      <c r="F54" s="91" t="str">
        <f>IF(AND(C54&gt;0,D54-C54&gt;=parameters!$B$158,D54&lt;=parameters!$B$159,E54&gt;0,E54&lt;=1),"o.k.","no")</f>
        <v>no</v>
      </c>
      <c r="G54" s="31"/>
      <c r="H54" s="111" t="s">
        <v>531</v>
      </c>
      <c r="I54" s="270">
        <f>I52-I53</f>
        <v>311.51498956787043</v>
      </c>
      <c r="J54" s="270">
        <f>J52-J53</f>
        <v>1195.476661337733</v>
      </c>
      <c r="K54" s="270">
        <f>K52-K53</f>
        <v>1264.2838883409413</v>
      </c>
      <c r="L54" s="229"/>
      <c r="M54" s="229"/>
      <c r="N54" s="229"/>
      <c r="O54" s="229"/>
    </row>
    <row r="55" spans="1:26" ht="12.9" customHeight="1">
      <c r="B55" s="119"/>
      <c r="C55" s="119"/>
      <c r="D55" s="119"/>
      <c r="E55" s="119"/>
      <c r="F55" s="119"/>
      <c r="H55" s="229"/>
      <c r="I55" s="229"/>
      <c r="J55" s="229"/>
      <c r="K55" s="229"/>
      <c r="L55" s="229"/>
      <c r="M55" s="229"/>
      <c r="N55" s="229"/>
      <c r="O55" s="229"/>
      <c r="P55"/>
    </row>
    <row r="56" spans="1:26" ht="12.9" customHeight="1">
      <c r="B56" s="251" t="s">
        <v>523</v>
      </c>
      <c r="C56" s="240"/>
      <c r="D56" s="240"/>
      <c r="E56" s="240"/>
      <c r="F56" s="241"/>
      <c r="H56" s="250" t="s">
        <v>1473</v>
      </c>
      <c r="I56" s="525"/>
      <c r="J56" s="523" t="s">
        <v>1474</v>
      </c>
      <c r="K56" s="240"/>
      <c r="L56" s="240"/>
      <c r="M56" s="240"/>
      <c r="N56" s="240"/>
      <c r="O56" s="240"/>
      <c r="P56" s="240"/>
      <c r="Q56" s="240"/>
    </row>
    <row r="57" spans="1:26" ht="12.9" customHeight="1">
      <c r="B57" s="253"/>
      <c r="C57" s="253" t="s">
        <v>515</v>
      </c>
      <c r="D57" s="253"/>
      <c r="E57" s="253" t="s">
        <v>521</v>
      </c>
      <c r="F57" s="253" t="s">
        <v>519</v>
      </c>
      <c r="H57" s="253"/>
      <c r="I57" s="524">
        <v>2020</v>
      </c>
      <c r="J57" s="255"/>
      <c r="K57" s="255"/>
      <c r="L57" s="256">
        <v>2035</v>
      </c>
      <c r="M57" s="256"/>
      <c r="N57" s="256"/>
      <c r="O57" s="256">
        <v>2050</v>
      </c>
      <c r="P57" s="256"/>
      <c r="Q57" s="256"/>
      <c r="W57" s="84"/>
      <c r="Z57" s="85"/>
    </row>
    <row r="58" spans="1:26" ht="12.9" customHeight="1">
      <c r="B58" s="254" t="s">
        <v>508</v>
      </c>
      <c r="C58" s="254" t="s">
        <v>516</v>
      </c>
      <c r="D58" s="254" t="s">
        <v>507</v>
      </c>
      <c r="E58" s="254" t="s">
        <v>518</v>
      </c>
      <c r="F58" s="254" t="s">
        <v>520</v>
      </c>
      <c r="H58" s="254" t="s">
        <v>526</v>
      </c>
      <c r="I58" s="242" t="s">
        <v>524</v>
      </c>
      <c r="J58" s="242" t="s">
        <v>525</v>
      </c>
      <c r="K58" s="242" t="s">
        <v>290</v>
      </c>
      <c r="L58" s="242" t="s">
        <v>524</v>
      </c>
      <c r="M58" s="242" t="s">
        <v>525</v>
      </c>
      <c r="N58" s="242" t="s">
        <v>290</v>
      </c>
      <c r="O58" s="422" t="s">
        <v>524</v>
      </c>
      <c r="P58" s="422" t="s">
        <v>525</v>
      </c>
      <c r="Q58" s="422" t="s">
        <v>290</v>
      </c>
      <c r="W58" s="84"/>
      <c r="Z58" s="85"/>
    </row>
    <row r="59" spans="1:26" ht="12.9" customHeight="1">
      <c r="B59" s="84" t="s">
        <v>449</v>
      </c>
      <c r="C59" s="266"/>
      <c r="D59" s="266"/>
      <c r="E59" s="265"/>
      <c r="F59" s="91" t="str">
        <f>IF(AND(C59&gt;0,D59-C59&gt;=parameters!$B$158,D59&lt;=parameters!$B$159,E59&gt;0,E59&lt;=1),"o.k.","no")</f>
        <v>no</v>
      </c>
      <c r="H59" s="229" t="s">
        <v>331</v>
      </c>
      <c r="I59" s="268">
        <f>'Baseline expend'!B12</f>
        <v>4.3548663939948202</v>
      </c>
      <c r="J59" s="268">
        <f>'Adjusted expend'!B12</f>
        <v>4.4475701177991187</v>
      </c>
      <c r="K59" s="429">
        <f>(J59-I59)/I59</f>
        <v>2.1287386435582284E-2</v>
      </c>
      <c r="L59" s="268">
        <f>'Baseline expend'!Q12</f>
        <v>4.9868613757687825</v>
      </c>
      <c r="M59" s="268">
        <f>'Adjusted expend'!Q12</f>
        <v>4.8920845703164577</v>
      </c>
      <c r="N59" s="429">
        <f>(M59-L59)/L59</f>
        <v>-1.9005301794199937E-2</v>
      </c>
      <c r="O59" s="432">
        <f>'Baseline expend'!AF12</f>
        <v>5.6681335848533916</v>
      </c>
      <c r="P59" s="432">
        <f>'Adjusted expend'!AF12</f>
        <v>5.2520540415996191</v>
      </c>
      <c r="Q59" s="269">
        <f>(P59-O59)/O59</f>
        <v>-7.3406799085617272E-2</v>
      </c>
    </row>
    <row r="60" spans="1:26" ht="12.9" customHeight="1">
      <c r="A60" s="228"/>
      <c r="B60" s="84" t="s">
        <v>450</v>
      </c>
      <c r="C60" s="266">
        <v>5</v>
      </c>
      <c r="D60" s="266">
        <v>2025</v>
      </c>
      <c r="E60" s="265">
        <v>0.2</v>
      </c>
      <c r="F60" s="91" t="str">
        <f>IF(AND(C60&gt;0,D60-C60&gt;=parameters!$B$158,D60&lt;=parameters!$B$159,E60&gt;0,E60&lt;=1),"o.k.","no")</f>
        <v>o.k.</v>
      </c>
      <c r="H60" s="229" t="s">
        <v>332</v>
      </c>
      <c r="I60" s="268">
        <f>'Baseline expend'!B21</f>
        <v>3.1941278283666024</v>
      </c>
      <c r="J60" s="268">
        <f>'Adjusted expend'!B21</f>
        <v>3.2716743172236535</v>
      </c>
      <c r="K60" s="430">
        <f>(J60-I60)/I60</f>
        <v>2.4277828885986234E-2</v>
      </c>
      <c r="L60" s="268">
        <f>'Baseline expend'!Q21</f>
        <v>3.9434357693058448</v>
      </c>
      <c r="M60" s="268">
        <f>'Adjusted expend'!Q21</f>
        <v>3.8979094206554028</v>
      </c>
      <c r="N60" s="430">
        <f>(M60-L60)/L60</f>
        <v>-1.1544843459807623E-2</v>
      </c>
      <c r="O60" s="432">
        <f>'Baseline expend'!AF21</f>
        <v>4.6826030623474253</v>
      </c>
      <c r="P60" s="432">
        <f>'Adjusted expend'!AF21</f>
        <v>4.3754587029348864</v>
      </c>
      <c r="Q60" s="269">
        <f t="shared" ref="Q60:Q62" si="0">(P60-O60)/O60</f>
        <v>-6.5592653343237911E-2</v>
      </c>
    </row>
    <row r="61" spans="1:26" ht="12.9" customHeight="1">
      <c r="B61" s="84" t="s">
        <v>451</v>
      </c>
      <c r="C61" s="266"/>
      <c r="D61" s="266"/>
      <c r="E61" s="265"/>
      <c r="F61" s="91" t="str">
        <f>IF(AND(C61&gt;0,D61-C61&gt;=parameters!$B$158,D61&lt;=parameters!$B$159,E61&gt;0,E61&lt;=1),"o.k.","no")</f>
        <v>no</v>
      </c>
      <c r="H61" s="229" t="s">
        <v>333</v>
      </c>
      <c r="I61" s="268">
        <f>'Baseline expend'!B35</f>
        <v>2.6417323066707539</v>
      </c>
      <c r="J61" s="268">
        <f>'Adjusted expend'!B35</f>
        <v>2.7199590976071608</v>
      </c>
      <c r="K61" s="430">
        <f>(J61-I61)/I61</f>
        <v>2.9611929542926452E-2</v>
      </c>
      <c r="L61" s="268">
        <f>'Baseline expend'!Q35</f>
        <v>3.5642961823386989</v>
      </c>
      <c r="M61" s="268">
        <f>'Adjusted expend'!Q35</f>
        <v>3.2660362205725413</v>
      </c>
      <c r="N61" s="430">
        <f>(M61-L61)/L61</f>
        <v>-8.3679903831800961E-2</v>
      </c>
      <c r="O61" s="432">
        <f>'Baseline expend'!AF35</f>
        <v>4.3703205034844519</v>
      </c>
      <c r="P61" s="432">
        <f>'Adjusted expend'!AF35</f>
        <v>4.0588592907737775</v>
      </c>
      <c r="Q61" s="269">
        <f t="shared" si="0"/>
        <v>-7.1267361847339727E-2</v>
      </c>
    </row>
    <row r="62" spans="1:26" ht="12.9" customHeight="1">
      <c r="B62" s="84" t="s">
        <v>452</v>
      </c>
      <c r="C62" s="266"/>
      <c r="D62" s="266"/>
      <c r="E62" s="265"/>
      <c r="F62" s="91" t="str">
        <f>IF(AND(C62&gt;0,D62-C62&gt;=parameters!$B$158,D62&lt;=parameters!$B$159,E62&gt;0,E62&lt;=1),"o.k.","no")</f>
        <v>no</v>
      </c>
      <c r="H62" s="229" t="s">
        <v>514</v>
      </c>
      <c r="I62" s="268">
        <f>'Baseline expend'!B47</f>
        <v>13.45838972071739</v>
      </c>
      <c r="J62" s="268">
        <f>'Adjusted expend'!B47</f>
        <v>13.76157532039444</v>
      </c>
      <c r="K62" s="430">
        <f>(J62-I62)/I62</f>
        <v>2.2527628190937034E-2</v>
      </c>
      <c r="L62" s="268">
        <f>'Baseline expend'!Q47</f>
        <v>16.664179549926086</v>
      </c>
      <c r="M62" s="268">
        <f>'Adjusted expend'!Q47</f>
        <v>17.137699851952426</v>
      </c>
      <c r="N62" s="430">
        <f>(M62-L62)/L62</f>
        <v>2.8415458475328347E-2</v>
      </c>
      <c r="O62" s="433">
        <f>'Baseline expend'!AF47</f>
        <v>18.413244558779642</v>
      </c>
      <c r="P62" s="433">
        <f>'Adjusted expend'!AF47</f>
        <v>18.824883016885742</v>
      </c>
      <c r="Q62" s="434">
        <f t="shared" si="0"/>
        <v>2.2355563507129261E-2</v>
      </c>
    </row>
    <row r="63" spans="1:26" ht="12.9" customHeight="1">
      <c r="B63" s="84" t="s">
        <v>919</v>
      </c>
      <c r="C63" s="266">
        <v>30</v>
      </c>
      <c r="D63" s="266">
        <v>2050</v>
      </c>
      <c r="E63" s="265">
        <v>0.35</v>
      </c>
      <c r="F63" s="91" t="str">
        <f>IF(AND(C63&gt;0,D63-C63&gt;=parameters!$B$158,D63&lt;=parameters!$B$159,E63&gt;0,E63&lt;=1),"o.k.","no")</f>
        <v>o.k.</v>
      </c>
      <c r="H63" s="57" t="s">
        <v>527</v>
      </c>
      <c r="I63" s="278">
        <f>'Baseline expend'!B51</f>
        <v>23.649116249749568</v>
      </c>
      <c r="J63" s="278">
        <f>'Adjusted expend'!B51</f>
        <v>24.200778853024374</v>
      </c>
      <c r="K63" s="435">
        <f>(J63-I63)/I63</f>
        <v>2.3326985983277419E-2</v>
      </c>
      <c r="L63" s="278">
        <f>'Baseline expend'!Q51</f>
        <v>29.158772877339413</v>
      </c>
      <c r="M63" s="278">
        <f>'Adjusted expend'!Q51</f>
        <v>29.19373006349683</v>
      </c>
      <c r="N63" s="435">
        <f>(M63-L63)/L63</f>
        <v>1.1988565604070306E-3</v>
      </c>
      <c r="O63" s="278">
        <f>'Baseline expend'!AF51</f>
        <v>33.134301709464907</v>
      </c>
      <c r="P63" s="278">
        <f>'Adjusted expend'!AF51</f>
        <v>32.511255052194024</v>
      </c>
      <c r="Q63" s="279">
        <f>(P63-O63)/O63</f>
        <v>-1.8803675500211565E-2</v>
      </c>
    </row>
    <row r="64" spans="1:26" ht="12.9" customHeight="1">
      <c r="B64" s="84" t="s">
        <v>454</v>
      </c>
      <c r="C64" s="266"/>
      <c r="D64" s="266"/>
      <c r="E64" s="265"/>
      <c r="F64" s="91" t="str">
        <f>IF(AND(C64&gt;0,D64-C64&gt;=parameters!$B$158,D64&lt;=parameters!$B$159,E64&gt;0,E64&lt;=1),"o.k.","no")</f>
        <v>no</v>
      </c>
      <c r="H64" s="428" t="s">
        <v>1381</v>
      </c>
      <c r="I64" s="437">
        <f>I63*1000000000/ramps!$C123</f>
        <v>3130.6244820868528</v>
      </c>
      <c r="J64" s="437">
        <f>J63*1000000000/ramps!$C123</f>
        <v>3203.6525154993979</v>
      </c>
      <c r="K64" s="438"/>
      <c r="L64" s="437">
        <f>L63*1000000000/ramps!$R123</f>
        <v>3353.5790645932625</v>
      </c>
      <c r="M64" s="437">
        <f>M63*1000000000/ramps!$R123</f>
        <v>3357.5995248556942</v>
      </c>
      <c r="N64" s="438"/>
      <c r="O64" s="437">
        <f>O63*1000000000/ramps!$AG123</f>
        <v>3444.7515574710869</v>
      </c>
      <c r="P64" s="437">
        <f>P63*1000000000/ramps!$AG123</f>
        <v>3379.9775670055519</v>
      </c>
      <c r="Q64" s="437"/>
      <c r="R64" s="427"/>
      <c r="W64" s="84"/>
      <c r="Z64" s="85"/>
    </row>
    <row r="65" spans="1:26" ht="12.9" customHeight="1">
      <c r="B65" s="84" t="s">
        <v>455</v>
      </c>
      <c r="C65" s="266"/>
      <c r="D65" s="266"/>
      <c r="E65" s="265"/>
      <c r="F65" s="91" t="str">
        <f>IF(AND(C65&gt;0,D65-C65&gt;=parameters!$B$158,D65&lt;=parameters!$B$159,E65&gt;0,E65&lt;=1),"o.k.","no")</f>
        <v>no</v>
      </c>
      <c r="H65" s="229"/>
      <c r="I65" s="229"/>
      <c r="J65" s="229"/>
      <c r="K65" s="229"/>
      <c r="L65" s="229"/>
      <c r="M65" s="229"/>
      <c r="N65" s="229"/>
      <c r="O65" s="229"/>
      <c r="W65" s="84"/>
      <c r="Z65" s="85"/>
    </row>
    <row r="66" spans="1:26" ht="12.9" customHeight="1">
      <c r="A66" s="228"/>
      <c r="B66" s="119"/>
      <c r="C66" s="119"/>
      <c r="D66" s="119"/>
      <c r="E66" s="119"/>
      <c r="F66" s="119"/>
      <c r="H66" s="250" t="s">
        <v>1213</v>
      </c>
      <c r="I66" s="240"/>
      <c r="J66" s="240"/>
      <c r="K66" s="240"/>
      <c r="L66" s="240"/>
      <c r="M66" s="240"/>
      <c r="N66" s="240"/>
      <c r="O66" s="240"/>
      <c r="P66" s="240"/>
      <c r="Q66" s="240"/>
      <c r="R66" s="240"/>
    </row>
    <row r="67" spans="1:26" ht="12.9" customHeight="1">
      <c r="B67" s="251" t="s">
        <v>1307</v>
      </c>
      <c r="C67" s="240"/>
      <c r="D67" s="240"/>
      <c r="E67" s="240"/>
      <c r="F67" s="241"/>
      <c r="H67" s="258"/>
      <c r="I67" s="261"/>
      <c r="J67" s="255">
        <v>2020</v>
      </c>
      <c r="K67" s="255"/>
      <c r="L67" s="256"/>
      <c r="M67" s="256">
        <v>2035</v>
      </c>
      <c r="N67" s="256"/>
      <c r="O67" s="256"/>
      <c r="P67" s="256">
        <v>2050</v>
      </c>
      <c r="Q67" s="256"/>
      <c r="R67" s="256"/>
    </row>
    <row r="68" spans="1:26" ht="12.9" customHeight="1">
      <c r="B68" s="253"/>
      <c r="C68" s="253" t="s">
        <v>1293</v>
      </c>
      <c r="D68" s="253"/>
      <c r="E68" s="253" t="s">
        <v>1295</v>
      </c>
      <c r="F68" s="253" t="s">
        <v>519</v>
      </c>
      <c r="H68" s="259" t="s">
        <v>536</v>
      </c>
      <c r="I68" s="257"/>
      <c r="J68" s="242" t="s">
        <v>524</v>
      </c>
      <c r="K68" s="242" t="s">
        <v>525</v>
      </c>
      <c r="L68" s="242" t="s">
        <v>290</v>
      </c>
      <c r="M68" s="242" t="s">
        <v>524</v>
      </c>
      <c r="N68" s="242" t="s">
        <v>525</v>
      </c>
      <c r="O68" s="242" t="s">
        <v>290</v>
      </c>
      <c r="P68" s="422" t="s">
        <v>524</v>
      </c>
      <c r="Q68" s="422" t="s">
        <v>525</v>
      </c>
      <c r="R68" s="422" t="s">
        <v>290</v>
      </c>
    </row>
    <row r="69" spans="1:26" ht="12.9" customHeight="1">
      <c r="B69" s="254" t="s">
        <v>536</v>
      </c>
      <c r="C69" s="254" t="s">
        <v>1294</v>
      </c>
      <c r="D69" s="254" t="s">
        <v>507</v>
      </c>
      <c r="E69" s="254" t="s">
        <v>1420</v>
      </c>
      <c r="F69" s="254" t="s">
        <v>520</v>
      </c>
      <c r="H69" s="229" t="s">
        <v>1053</v>
      </c>
      <c r="I69" s="229"/>
      <c r="J69" s="268">
        <f>'Baseline Price'!Q10/10</f>
        <v>1.1971395</v>
      </c>
      <c r="K69" s="268">
        <f>'Adjusted price'!B10/10</f>
        <v>1.2501961666666668</v>
      </c>
      <c r="L69" s="429">
        <f t="shared" ref="L69:L76" si="1">(K69-J69)/J69</f>
        <v>4.4319535581832152E-2</v>
      </c>
      <c r="M69" s="268">
        <f>'Baseline Price'!AF10/10</f>
        <v>1.4443552</v>
      </c>
      <c r="N69" s="268">
        <f>'Adjusted price'!Q10/10</f>
        <v>1.7096385333333335</v>
      </c>
      <c r="O69" s="429">
        <f t="shared" ref="O69:O76" si="2">(N69-M69)/M69</f>
        <v>0.18366904022870104</v>
      </c>
      <c r="P69" s="268">
        <f>'Baseline Price'!AU10/10</f>
        <v>1.5578808</v>
      </c>
      <c r="Q69" s="268">
        <f>'Adjusted price'!AF10/10</f>
        <v>1.8231641333333335</v>
      </c>
      <c r="R69" s="269">
        <f t="shared" ref="R69:R70" si="3">(Q69-P69)/P69</f>
        <v>0.17028474407883681</v>
      </c>
      <c r="S69" s="80"/>
      <c r="T69" s="80"/>
    </row>
    <row r="70" spans="1:26" ht="12.9" customHeight="1">
      <c r="B70" s="84" t="s">
        <v>426</v>
      </c>
      <c r="C70" s="266">
        <v>2020</v>
      </c>
      <c r="D70" s="266">
        <v>2026</v>
      </c>
      <c r="E70" s="265">
        <v>0</v>
      </c>
      <c r="F70" s="91" t="str">
        <f>IF(AND(C70&gt;=parameters!$B$158,D70&lt;=parameters!$B$159,C70&lt;D70,E70&lt;1,ISNUMBER(E70)),"o.k.","no")</f>
        <v>o.k.</v>
      </c>
      <c r="H70" s="229" t="s">
        <v>857</v>
      </c>
      <c r="I70" s="229"/>
      <c r="J70" s="268">
        <f>'Baseline Price'!Q11*100/mmBtuTOkWh</f>
        <v>9.0824904468847407</v>
      </c>
      <c r="K70" s="268">
        <f>'Adjusted price'!B11*100/mmBtuTOkWh</f>
        <v>9.2143229520252845</v>
      </c>
      <c r="L70" s="430">
        <f t="shared" si="1"/>
        <v>1.4515017209378055E-2</v>
      </c>
      <c r="M70" s="268">
        <f>'Baseline Price'!AF11*100/mmBtuTOkWh</f>
        <v>11.50178094704567</v>
      </c>
      <c r="N70" s="268">
        <f>'Adjusted price'!Q11*100/mmBtuTOkWh</f>
        <v>11.558265891568695</v>
      </c>
      <c r="O70" s="430">
        <f t="shared" si="2"/>
        <v>4.9109737685912955E-3</v>
      </c>
      <c r="P70" s="268">
        <f>'Baseline Price'!AU11*100/mmBtuTOkWh</f>
        <v>12.831115191591861</v>
      </c>
      <c r="Q70" s="268">
        <f>'Adjusted price'!AF11*100/mmBtuTOkWh</f>
        <v>12.827859258347484</v>
      </c>
      <c r="R70" s="269">
        <f t="shared" si="3"/>
        <v>-2.5375294319785298E-4</v>
      </c>
      <c r="S70" s="85"/>
    </row>
    <row r="71" spans="1:26" ht="12.9" customHeight="1">
      <c r="B71" s="84" t="s">
        <v>469</v>
      </c>
      <c r="C71" s="266">
        <v>2029</v>
      </c>
      <c r="D71" s="266">
        <v>2045</v>
      </c>
      <c r="E71" s="265">
        <v>0</v>
      </c>
      <c r="F71" s="91" t="str">
        <f>IF(AND(C71&gt;=parameters!$B$158,D71&lt;=parameters!$B$159,C71&lt;D71,E71&lt;1,ISNUMBER(E71)),"o.k.","no")</f>
        <v>o.k.</v>
      </c>
      <c r="H71" s="229" t="s">
        <v>555</v>
      </c>
      <c r="I71" s="229"/>
      <c r="J71" s="268">
        <f>'Baseline Price'!Q26</f>
        <v>4.8021380000000002</v>
      </c>
      <c r="K71" s="268">
        <f>'Adjusted price'!B26</f>
        <v>5.3327046666666673</v>
      </c>
      <c r="L71" s="430">
        <f>(K71-J71)/J71</f>
        <v>0.11048551013458319</v>
      </c>
      <c r="M71" s="268">
        <f>'Baseline Price'!AF26</f>
        <v>5.7127290000000004</v>
      </c>
      <c r="N71" s="268">
        <f>'Adjusted price'!Q26</f>
        <v>8.3655623333333349</v>
      </c>
      <c r="O71" s="430">
        <f>(N71-M71)/M71</f>
        <v>0.46437233996804927</v>
      </c>
      <c r="P71" s="268">
        <f>'Baseline Price'!AU26</f>
        <v>6.8125</v>
      </c>
      <c r="Q71" s="268">
        <f>'Adjusted price'!AF26</f>
        <v>9.4653333333333336</v>
      </c>
      <c r="R71" s="269">
        <f>(Q71-P71)/P71</f>
        <v>0.38940672782874619</v>
      </c>
      <c r="S71" s="85"/>
    </row>
    <row r="72" spans="1:26" ht="12.9" customHeight="1">
      <c r="B72" s="226" t="s">
        <v>425</v>
      </c>
      <c r="C72" s="266">
        <v>2025</v>
      </c>
      <c r="D72" s="266">
        <v>2045</v>
      </c>
      <c r="E72" s="265">
        <v>0</v>
      </c>
      <c r="F72" s="91" t="str">
        <f>IF(AND(C72&gt;=parameters!$B$158,D72&lt;=parameters!$B$159,C72&lt;D72,E72&lt;1,ISNUMBER(E72)),"o.k.","no")</f>
        <v>o.k.</v>
      </c>
      <c r="H72" s="229" t="s">
        <v>858</v>
      </c>
      <c r="I72" s="229"/>
      <c r="J72" s="268">
        <f>'Baseline Price'!Q30*100/mmBtuTOkWh</f>
        <v>4.2655698617196469</v>
      </c>
      <c r="K72" s="268">
        <f>'Adjusted price'!B30*100/mmBtuTOkWh</f>
        <v>4.3974023668601907</v>
      </c>
      <c r="L72" s="430">
        <f>(K72-J72)/J72</f>
        <v>3.0906188250166427E-2</v>
      </c>
      <c r="M72" s="268">
        <f>'Baseline Price'!AF30*100/mmBtuTOkWh</f>
        <v>5.0995796161154718</v>
      </c>
      <c r="N72" s="268">
        <f>'Adjusted price'!Q30*100/mmBtuTOkWh</f>
        <v>5.1560645606384945</v>
      </c>
      <c r="O72" s="430">
        <f>(N72-M72)/M72</f>
        <v>1.1076392325461764E-2</v>
      </c>
      <c r="P72" s="268">
        <f>'Baseline Price'!AU30*100/mmBtuTOkWh</f>
        <v>4.9931695771349975</v>
      </c>
      <c r="Q72" s="268">
        <f>'Adjusted price'!AF30*100/mmBtuTOkWh</f>
        <v>4.9899136438906204</v>
      </c>
      <c r="R72" s="269">
        <f>(Q72-P72)/P72</f>
        <v>-6.5207744180908068E-4</v>
      </c>
    </row>
    <row r="73" spans="1:26" ht="12.9" customHeight="1">
      <c r="B73" s="396"/>
      <c r="C73" s="396"/>
      <c r="D73" s="396"/>
      <c r="E73" s="396"/>
      <c r="F73" s="396"/>
      <c r="H73" s="229" t="s">
        <v>1084</v>
      </c>
      <c r="I73" s="229"/>
      <c r="J73" s="273">
        <f>'Baseline Price'!Q25*parameters!$B$160</f>
        <v>56.802823650000001</v>
      </c>
      <c r="K73" s="273">
        <f>'Adjusted price'!B25*parameters!$B$160</f>
        <v>56.802823650000001</v>
      </c>
      <c r="L73" s="430">
        <f t="shared" si="1"/>
        <v>0</v>
      </c>
      <c r="M73" s="273">
        <f>'Baseline Price'!AF25*parameters!$B$160</f>
        <v>79.269878550000001</v>
      </c>
      <c r="N73" s="273">
        <f>'Adjusted price'!Q25*parameters!$B$160</f>
        <v>79.269878550000001</v>
      </c>
      <c r="O73" s="430">
        <f t="shared" si="2"/>
        <v>0</v>
      </c>
      <c r="P73" s="273">
        <f>'Baseline Price'!AU25*parameters!$B$160</f>
        <v>85.149826050000001</v>
      </c>
      <c r="Q73" s="273">
        <f>'Adjusted price'!AF25*parameters!$B$160</f>
        <v>85.149826050000001</v>
      </c>
      <c r="R73" s="269">
        <f t="shared" ref="R73:R76" si="4">(Q73-P73)/P73</f>
        <v>0</v>
      </c>
    </row>
    <row r="74" spans="1:26" s="119" customFormat="1" ht="12.9" customHeight="1">
      <c r="B74" s="251" t="s">
        <v>1308</v>
      </c>
      <c r="C74" s="240"/>
      <c r="D74" s="240"/>
      <c r="E74" s="240"/>
      <c r="F74" s="241"/>
      <c r="H74" s="229" t="s">
        <v>860</v>
      </c>
      <c r="I74" s="229"/>
      <c r="J74" s="268">
        <f>'Baseline Price'!Q36*parameters!$B$74</f>
        <v>3.0990329708247741</v>
      </c>
      <c r="K74" s="268">
        <f>'Adjusted price'!B36*parameters!$B$74</f>
        <v>3.1871610181581076</v>
      </c>
      <c r="L74" s="430">
        <f t="shared" si="1"/>
        <v>2.8437273227809232E-2</v>
      </c>
      <c r="M74" s="268">
        <f>'Baseline Price'!AF36*parameters!$B$74</f>
        <v>4.041380784963601</v>
      </c>
      <c r="N74" s="268">
        <f>'Adjusted price'!Q36*parameters!$B$74</f>
        <v>4.4820210216302678</v>
      </c>
      <c r="O74" s="430">
        <f t="shared" si="2"/>
        <v>0.10903210068848672</v>
      </c>
      <c r="P74" s="268">
        <f>'Baseline Price'!AU36*parameters!$B$74</f>
        <v>4.2779278372879324</v>
      </c>
      <c r="Q74" s="268">
        <f>'Adjusted price'!AF36*parameters!$B$74</f>
        <v>4.7185680739545992</v>
      </c>
      <c r="R74" s="269">
        <f t="shared" si="4"/>
        <v>0.10300319533814728</v>
      </c>
    </row>
    <row r="75" spans="1:26" s="119" customFormat="1" ht="12.9" customHeight="1">
      <c r="B75" s="253"/>
      <c r="C75" s="253" t="s">
        <v>515</v>
      </c>
      <c r="D75" s="253"/>
      <c r="E75" s="253"/>
      <c r="F75" s="253" t="s">
        <v>519</v>
      </c>
      <c r="H75" s="229" t="s">
        <v>861</v>
      </c>
      <c r="I75" s="229"/>
      <c r="J75" s="268">
        <f>'Baseline Price'!Q38*parameters!$B$83</f>
        <v>3.1678454956812971</v>
      </c>
      <c r="K75" s="268">
        <f>'Adjusted price'!B38*parameters!$B$83</f>
        <v>3.2683389656812971</v>
      </c>
      <c r="L75" s="430">
        <f t="shared" si="1"/>
        <v>3.1722970749994611E-2</v>
      </c>
      <c r="M75" s="268">
        <f>'Baseline Price'!AF38*parameters!$B$83</f>
        <v>4.2529132993557948</v>
      </c>
      <c r="N75" s="268">
        <f>'Adjusted price'!Q38*parameters!$B$83</f>
        <v>4.7553806493557946</v>
      </c>
      <c r="O75" s="430">
        <f t="shared" si="2"/>
        <v>0.11814662435655826</v>
      </c>
      <c r="P75" s="268">
        <f>'Baseline Price'!AU38*parameters!$B$83</f>
        <v>4.4430358323016268</v>
      </c>
      <c r="Q75" s="268">
        <f>'Adjusted price'!AF38*parameters!$B$83</f>
        <v>4.9455031823016267</v>
      </c>
      <c r="R75" s="269">
        <f t="shared" si="4"/>
        <v>0.11309099655397256</v>
      </c>
    </row>
    <row r="76" spans="1:26" s="119" customFormat="1" ht="12.9" customHeight="1">
      <c r="B76" s="254" t="s">
        <v>536</v>
      </c>
      <c r="C76" s="254" t="s">
        <v>516</v>
      </c>
      <c r="D76" s="254" t="s">
        <v>507</v>
      </c>
      <c r="E76" s="254" t="s">
        <v>911</v>
      </c>
      <c r="F76" s="254" t="s">
        <v>520</v>
      </c>
      <c r="G76"/>
      <c r="H76" s="229" t="s">
        <v>1026</v>
      </c>
      <c r="I76" s="229"/>
      <c r="J76" s="274">
        <f>'Baseline Price'!Q37*parameters!B86</f>
        <v>2.2485298950000003</v>
      </c>
      <c r="K76" s="274">
        <f>'Adjusted price'!B37*parameters!B86</f>
        <v>2.2485298950000003</v>
      </c>
      <c r="L76" s="430">
        <f t="shared" si="1"/>
        <v>0</v>
      </c>
      <c r="M76" s="274">
        <f>'Baseline Price'!AF37*parameters!B86</f>
        <v>3.1197360600000001</v>
      </c>
      <c r="N76" s="274">
        <f>'Adjusted price'!Q37*parameters!B86</f>
        <v>3.1197360600000001</v>
      </c>
      <c r="O76" s="430">
        <f t="shared" si="2"/>
        <v>0</v>
      </c>
      <c r="P76" s="274">
        <f>'Baseline Price'!AU37*parameters!B86</f>
        <v>3.545841555</v>
      </c>
      <c r="Q76" s="274">
        <f>'Adjusted price'!AF37*parameters!B86</f>
        <v>3.545841555</v>
      </c>
      <c r="R76" s="269">
        <f t="shared" si="4"/>
        <v>0</v>
      </c>
    </row>
    <row r="77" spans="1:26" s="127" customFormat="1" ht="12.9" customHeight="1">
      <c r="B77" s="84" t="s">
        <v>334</v>
      </c>
      <c r="C77" s="266"/>
      <c r="D77" s="266"/>
      <c r="E77" s="267"/>
      <c r="F77" s="91" t="str">
        <f>IF(AND(C77&gt;0,D77-C77&gt;=parameters!$B$158,D77&lt;=parameters!$B$159,E77&gt;0),"o.k.","no")</f>
        <v>no</v>
      </c>
      <c r="G77"/>
      <c r="H77"/>
      <c r="I77"/>
      <c r="J77"/>
      <c r="K77"/>
      <c r="L77"/>
      <c r="M77"/>
      <c r="N77"/>
      <c r="O77"/>
      <c r="P77"/>
      <c r="Q77" s="119"/>
      <c r="R77" s="119"/>
    </row>
    <row r="78" spans="1:26" s="127" customFormat="1" ht="12.9" customHeight="1">
      <c r="B78" s="84" t="s">
        <v>335</v>
      </c>
      <c r="C78" s="266"/>
      <c r="D78" s="266"/>
      <c r="E78" s="267"/>
      <c r="F78" s="91" t="str">
        <f>IF(AND(C78&gt;0,D78-C78&gt;=parameters!$B$158,D78&lt;=parameters!$B$159,E78&gt;0),"o.k.","no")</f>
        <v>no</v>
      </c>
      <c r="G78"/>
      <c r="H78"/>
      <c r="I78"/>
      <c r="J78"/>
      <c r="K78"/>
      <c r="L78"/>
      <c r="M78"/>
      <c r="N78"/>
      <c r="O78"/>
      <c r="P78"/>
    </row>
    <row r="79" spans="1:26" s="127" customFormat="1" ht="12.9" customHeight="1">
      <c r="B79" s="119"/>
      <c r="C79" s="119"/>
      <c r="D79" s="119"/>
      <c r="E79" s="119"/>
      <c r="F79" s="119"/>
      <c r="G79"/>
      <c r="H79"/>
      <c r="I79"/>
      <c r="J79"/>
      <c r="K79"/>
      <c r="L79"/>
      <c r="M79"/>
      <c r="N79"/>
      <c r="O79"/>
      <c r="P79"/>
    </row>
    <row r="80" spans="1:26" s="127" customFormat="1" ht="12.9" customHeight="1">
      <c r="B80" s="251" t="s">
        <v>1309</v>
      </c>
      <c r="C80" s="240"/>
      <c r="D80" s="240"/>
      <c r="E80" s="240"/>
      <c r="F80" s="241"/>
      <c r="G80"/>
      <c r="H80"/>
      <c r="I80"/>
      <c r="J80"/>
      <c r="K80"/>
      <c r="L80"/>
      <c r="M80"/>
      <c r="N80"/>
      <c r="O80"/>
      <c r="P80"/>
    </row>
    <row r="81" spans="2:18" s="127" customFormat="1" ht="12.9" customHeight="1">
      <c r="B81" s="253"/>
      <c r="C81" s="253" t="s">
        <v>515</v>
      </c>
      <c r="D81" s="253"/>
      <c r="E81" s="253" t="s">
        <v>522</v>
      </c>
      <c r="F81" s="253" t="s">
        <v>519</v>
      </c>
      <c r="G81"/>
      <c r="H81"/>
      <c r="I81"/>
      <c r="J81"/>
      <c r="K81"/>
      <c r="L81"/>
      <c r="M81"/>
      <c r="N81"/>
      <c r="O81"/>
      <c r="P81"/>
    </row>
    <row r="82" spans="2:18" customFormat="1" ht="12.9" customHeight="1">
      <c r="B82" s="254" t="s">
        <v>509</v>
      </c>
      <c r="C82" s="254" t="s">
        <v>516</v>
      </c>
      <c r="D82" s="254" t="s">
        <v>507</v>
      </c>
      <c r="E82" s="254" t="s">
        <v>518</v>
      </c>
      <c r="F82" s="254" t="s">
        <v>520</v>
      </c>
      <c r="Q82" s="127"/>
      <c r="R82" s="127"/>
    </row>
    <row r="83" spans="2:18" s="226" customFormat="1" ht="12.9" customHeight="1">
      <c r="B83" s="84" t="s">
        <v>510</v>
      </c>
      <c r="C83" s="266"/>
      <c r="D83" s="266"/>
      <c r="E83" s="265"/>
      <c r="F83" s="91" t="str">
        <f>IF(AND(C83&gt;0,D83-C83&gt;=parameters!$B$158,D83&lt;=parameters!$B$159,E83&gt;0,E83&lt;=1),"o.k.","no")</f>
        <v>no</v>
      </c>
      <c r="H83"/>
      <c r="I83"/>
      <c r="J83"/>
      <c r="K83"/>
      <c r="L83"/>
      <c r="M83"/>
      <c r="N83"/>
      <c r="O83"/>
      <c r="P83"/>
      <c r="Q83"/>
      <c r="R83"/>
    </row>
    <row r="84" spans="2:18" s="226" customFormat="1" ht="12.9" customHeight="1">
      <c r="B84" s="84" t="s">
        <v>511</v>
      </c>
      <c r="C84" s="266"/>
      <c r="D84" s="266"/>
      <c r="E84" s="265"/>
      <c r="F84" s="91" t="str">
        <f>IF(AND(C84&gt;0,D84-C84&gt;=parameters!$B$158,D84&lt;=parameters!$B$159,E84&gt;0,E84&lt;=1),"o.k.","no")</f>
        <v>no</v>
      </c>
      <c r="G84" s="228"/>
      <c r="J84" s="110"/>
    </row>
    <row r="85" spans="2:18" s="226" customFormat="1" ht="12.9" customHeight="1">
      <c r="B85" s="127"/>
      <c r="C85" s="127"/>
      <c r="D85" s="127"/>
      <c r="E85" s="127"/>
      <c r="F85" s="127"/>
      <c r="H85" s="291"/>
      <c r="K85" s="291"/>
      <c r="L85" s="84"/>
      <c r="M85" s="84"/>
    </row>
    <row r="86" spans="2:18" s="227" customFormat="1" ht="12.9" customHeight="1">
      <c r="B86" s="251" t="s">
        <v>1326</v>
      </c>
      <c r="C86" s="240"/>
      <c r="D86" s="240"/>
      <c r="E86" s="240"/>
      <c r="F86" s="241"/>
      <c r="H86" s="226"/>
      <c r="I86" s="226"/>
      <c r="J86" s="226"/>
      <c r="K86" s="226"/>
      <c r="L86" s="226"/>
      <c r="M86" s="226"/>
      <c r="N86" s="226"/>
      <c r="O86" s="226"/>
      <c r="P86" s="226"/>
      <c r="Q86" s="226"/>
      <c r="R86" s="226"/>
    </row>
    <row r="87" spans="2:18" s="227" customFormat="1" ht="12.9" customHeight="1">
      <c r="B87" s="253"/>
      <c r="C87" s="253" t="s">
        <v>515</v>
      </c>
      <c r="D87" s="253"/>
      <c r="E87" s="253" t="s">
        <v>402</v>
      </c>
      <c r="F87" s="253" t="s">
        <v>519</v>
      </c>
    </row>
    <row r="88" spans="2:18" s="227" customFormat="1" ht="12.9" customHeight="1">
      <c r="B88" s="254"/>
      <c r="C88" s="254" t="s">
        <v>516</v>
      </c>
      <c r="D88" s="254" t="s">
        <v>507</v>
      </c>
      <c r="E88" s="254" t="s">
        <v>941</v>
      </c>
      <c r="F88" s="254" t="s">
        <v>520</v>
      </c>
    </row>
    <row r="89" spans="2:18" s="396" customFormat="1" ht="12.9" customHeight="1">
      <c r="B89" s="84" t="s">
        <v>1324</v>
      </c>
      <c r="C89" s="266"/>
      <c r="D89" s="266"/>
      <c r="E89" s="265"/>
      <c r="F89" s="91" t="str">
        <f>IF(AND(C89&gt;0,D89-C89&gt;=parameters!$B$158,D89&lt;=parameters!$B$159,E89&gt;0,E89&lt;=1),"o.k.","no")</f>
        <v>no</v>
      </c>
      <c r="H89" s="227"/>
      <c r="I89" s="227"/>
      <c r="J89" s="227"/>
      <c r="K89" s="227"/>
      <c r="L89" s="227"/>
      <c r="M89" s="227"/>
      <c r="N89" s="227"/>
      <c r="O89" s="227"/>
      <c r="P89" s="227"/>
      <c r="Q89" s="227"/>
      <c r="R89" s="227"/>
    </row>
    <row r="90" spans="2:18" s="402" customFormat="1" ht="12.9" customHeight="1">
      <c r="B90" s="84" t="s">
        <v>1325</v>
      </c>
      <c r="C90" s="266"/>
      <c r="D90" s="266"/>
      <c r="E90" s="265"/>
      <c r="F90" s="91" t="str">
        <f>IF(AND(C90&gt;0,D90-C90&gt;=parameters!$B$158,D90&lt;=parameters!$B$159,E90&gt;0,E90&lt;=1),"o.k.","no")</f>
        <v>no</v>
      </c>
      <c r="H90" s="396"/>
      <c r="I90" s="396"/>
      <c r="J90" s="396"/>
      <c r="K90" s="396"/>
      <c r="L90" s="396"/>
      <c r="M90" s="396"/>
      <c r="N90" s="396"/>
      <c r="O90" s="396"/>
      <c r="P90" s="396"/>
      <c r="Q90" s="396"/>
      <c r="R90" s="396"/>
    </row>
    <row r="91" spans="2:18" s="227" customFormat="1" ht="12.9" customHeight="1">
      <c r="B91"/>
      <c r="C91"/>
      <c r="D91"/>
      <c r="E91"/>
      <c r="F91"/>
      <c r="H91" s="402"/>
      <c r="I91" s="402"/>
      <c r="J91" s="402"/>
      <c r="K91" s="402"/>
      <c r="L91" s="402"/>
      <c r="M91" s="402"/>
      <c r="N91" s="402"/>
      <c r="O91" s="402"/>
      <c r="P91" s="402"/>
      <c r="Q91" s="402"/>
      <c r="R91" s="402"/>
    </row>
    <row r="92" spans="2:18" s="227" customFormat="1" ht="12.9" customHeight="1">
      <c r="B92" s="251" t="s">
        <v>1449</v>
      </c>
      <c r="C92" s="240"/>
      <c r="D92" s="240"/>
      <c r="E92" s="240"/>
      <c r="F92" s="240"/>
      <c r="G92"/>
    </row>
    <row r="93" spans="2:18" s="119" customFormat="1" ht="12.9" customHeight="1">
      <c r="B93" s="471"/>
      <c r="C93" s="471" t="s">
        <v>1236</v>
      </c>
      <c r="D93" s="471" t="s">
        <v>1238</v>
      </c>
      <c r="E93" s="471" t="s">
        <v>1405</v>
      </c>
      <c r="F93" s="471" t="s">
        <v>519</v>
      </c>
      <c r="G93"/>
      <c r="H93"/>
      <c r="I93"/>
      <c r="J93" s="227"/>
      <c r="K93" s="227"/>
      <c r="L93" s="227"/>
      <c r="M93" s="227"/>
      <c r="N93" s="227"/>
      <c r="O93" s="227"/>
      <c r="P93" s="227"/>
      <c r="Q93" s="227"/>
      <c r="R93" s="227"/>
    </row>
    <row r="94" spans="2:18" ht="12.9" customHeight="1">
      <c r="B94" s="254"/>
      <c r="C94" s="254" t="s">
        <v>1237</v>
      </c>
      <c r="D94" s="254" t="s">
        <v>1237</v>
      </c>
      <c r="E94" s="471" t="s">
        <v>1416</v>
      </c>
      <c r="F94" s="254" t="s">
        <v>520</v>
      </c>
      <c r="G94"/>
      <c r="H94"/>
      <c r="I94"/>
      <c r="J94" s="489"/>
      <c r="K94"/>
      <c r="L94"/>
      <c r="M94"/>
      <c r="N94"/>
      <c r="O94"/>
      <c r="P94"/>
      <c r="Q94" s="119"/>
      <c r="R94" s="119"/>
    </row>
    <row r="95" spans="2:18" ht="12.9" customHeight="1">
      <c r="B95" s="84" t="s">
        <v>1345</v>
      </c>
      <c r="C95" s="266">
        <v>2020</v>
      </c>
      <c r="D95" s="266">
        <v>2021</v>
      </c>
      <c r="E95" s="265">
        <v>5.5E-2</v>
      </c>
      <c r="F95" s="91" t="str">
        <f>IF(AND(C95&gt;=parameters!$B$158,D95&lt;=parameters!$B$159,E95&gt;0,E95&lt;=0.5),"o.k.","no")</f>
        <v>o.k.</v>
      </c>
      <c r="G95"/>
      <c r="H95"/>
      <c r="I95"/>
      <c r="J95"/>
      <c r="K95"/>
      <c r="L95"/>
      <c r="M95"/>
      <c r="N95"/>
      <c r="O95"/>
      <c r="P95"/>
    </row>
    <row r="96" spans="2:18" s="408" customFormat="1" ht="12.9" customHeight="1">
      <c r="B96" s="84" t="s">
        <v>1346</v>
      </c>
      <c r="C96" s="266">
        <v>2022</v>
      </c>
      <c r="D96" s="266">
        <v>2023</v>
      </c>
      <c r="E96" s="265">
        <v>0.05</v>
      </c>
      <c r="F96" s="91" t="str">
        <f>IF(AND(C96&gt;=parameters!$B$158,D96&lt;=parameters!$B$159,E96&gt;0,E96&lt;=0.5),"o.k.","no")</f>
        <v>o.k.</v>
      </c>
      <c r="G96"/>
      <c r="H96" s="40"/>
      <c r="I96" s="40"/>
      <c r="J96" s="40"/>
      <c r="K96" s="40"/>
      <c r="L96" s="40"/>
      <c r="M96" s="40"/>
      <c r="N96" s="40"/>
      <c r="O96" s="40"/>
      <c r="P96" s="40"/>
      <c r="Q96" s="40"/>
      <c r="R96" s="40"/>
    </row>
    <row r="97" spans="2:18" s="408" customFormat="1" ht="12.9" customHeight="1">
      <c r="B97" s="84" t="s">
        <v>1347</v>
      </c>
      <c r="C97" s="266">
        <v>2024</v>
      </c>
      <c r="D97" s="266">
        <v>2025</v>
      </c>
      <c r="E97" s="265">
        <v>0.04</v>
      </c>
      <c r="F97" s="91" t="str">
        <f>IF(AND(C97&gt;=parameters!$B$158,D97&lt;=parameters!$B$159,E97&gt;0,E97&lt;=0.5),"o.k.","no")</f>
        <v>o.k.</v>
      </c>
      <c r="G97"/>
    </row>
    <row r="98" spans="2:18" ht="12.9" customHeight="1">
      <c r="B98" s="413" t="s">
        <v>1355</v>
      </c>
      <c r="C98" s="412" t="str">
        <f>IF(AND(COUNTIF(F95:F97,"o.k.")&gt;0,F98="no"),"Segments may not overlap!","")</f>
        <v/>
      </c>
      <c r="D98" s="412"/>
      <c r="E98" s="412"/>
      <c r="F98" s="91" t="str">
        <f>IF(COUNTIF('Adjusted Consumption'!$B$88:$AF$88,TRUE)&gt;0,"no","o.k.")</f>
        <v>o.k.</v>
      </c>
      <c r="H98" s="408"/>
      <c r="I98" s="408"/>
      <c r="J98" s="408"/>
      <c r="K98" s="408"/>
      <c r="L98" s="408"/>
      <c r="M98" s="408"/>
      <c r="N98" s="408"/>
      <c r="O98" s="408"/>
      <c r="P98" s="408"/>
      <c r="Q98" s="408"/>
      <c r="R98" s="408"/>
    </row>
    <row r="99" spans="2:18" s="497" customFormat="1" ht="12.9" customHeight="1">
      <c r="B99" s="413" t="s">
        <v>1457</v>
      </c>
      <c r="C99" s="266" t="s">
        <v>307</v>
      </c>
      <c r="D99" s="412"/>
      <c r="E99" s="412"/>
      <c r="F99" s="91"/>
    </row>
    <row r="100" spans="2:18" ht="12.9" customHeight="1">
      <c r="B100" s="227"/>
      <c r="C100" s="227"/>
      <c r="D100" s="227"/>
      <c r="E100" s="227"/>
      <c r="F100" s="227"/>
    </row>
    <row r="101" spans="2:18" ht="12.9" customHeight="1">
      <c r="B101" s="114" t="s">
        <v>272</v>
      </c>
      <c r="C101" s="32"/>
      <c r="D101" s="32"/>
      <c r="E101" s="32"/>
      <c r="F101" s="32"/>
    </row>
    <row r="102" spans="2:18" ht="12.9" customHeight="1">
      <c r="B102" s="92" t="s">
        <v>925</v>
      </c>
      <c r="C102" s="86"/>
      <c r="D102" s="86"/>
    </row>
    <row r="103" spans="2:18" ht="12.9" customHeight="1">
      <c r="B103" s="16" t="s">
        <v>924</v>
      </c>
      <c r="P103" s="39"/>
    </row>
    <row r="104" spans="2:18" ht="12.9" customHeight="1">
      <c r="B104" s="40" t="s">
        <v>920</v>
      </c>
      <c r="C104" s="31"/>
      <c r="D104" s="31"/>
    </row>
    <row r="105" spans="2:18" ht="12.9" customHeight="1">
      <c r="B105" s="40" t="s">
        <v>923</v>
      </c>
    </row>
    <row r="106" spans="2:18" ht="12.9" customHeight="1">
      <c r="B106" s="16" t="s">
        <v>921</v>
      </c>
    </row>
    <row r="107" spans="2:18" ht="12.9" customHeight="1">
      <c r="B107" s="5" t="s">
        <v>1054</v>
      </c>
    </row>
    <row r="108" spans="2:18" ht="12.9" customHeight="1">
      <c r="B108" s="16" t="s">
        <v>1327</v>
      </c>
    </row>
    <row r="109" spans="2:18" ht="12.9" customHeight="1">
      <c r="B109" s="5" t="s">
        <v>940</v>
      </c>
    </row>
    <row r="110" spans="2:18" ht="12.9" customHeight="1">
      <c r="B110" s="16" t="s">
        <v>1079</v>
      </c>
    </row>
    <row r="111" spans="2:18" ht="12.9" customHeight="1">
      <c r="B111" s="5" t="s">
        <v>1232</v>
      </c>
    </row>
    <row r="112" spans="2:18" ht="12.9" customHeight="1">
      <c r="B112" s="16" t="s">
        <v>1283</v>
      </c>
    </row>
    <row r="113" spans="2:2" ht="12.9" customHeight="1">
      <c r="B113" s="16" t="s">
        <v>1328</v>
      </c>
    </row>
    <row r="114" spans="2:2" ht="12.9" customHeight="1">
      <c r="B114" s="16" t="s">
        <v>1356</v>
      </c>
    </row>
    <row r="115" spans="2:2" ht="12.9" customHeight="1">
      <c r="B115" s="16" t="s">
        <v>1454</v>
      </c>
    </row>
    <row r="116" spans="2:2" ht="12.9" customHeight="1">
      <c r="B116" s="16" t="s">
        <v>1455</v>
      </c>
    </row>
    <row r="117" spans="2:2" ht="12.9" customHeight="1">
      <c r="B117" s="16" t="s">
        <v>1464</v>
      </c>
    </row>
  </sheetData>
  <mergeCells count="2">
    <mergeCell ref="F3:F4"/>
    <mergeCell ref="H30:O31"/>
  </mergeCells>
  <phoneticPr fontId="7"/>
  <conditionalFormatting sqref="D19">
    <cfRule type="containsText" dxfId="10" priority="18" operator="containsText" text="valid">
      <formula>NOT(ISERROR(SEARCH("valid",D19)))</formula>
    </cfRule>
  </conditionalFormatting>
  <conditionalFormatting sqref="F40:F54">
    <cfRule type="containsText" dxfId="9" priority="17" operator="containsText" text="o.k.">
      <formula>NOT(ISERROR(SEARCH("o.k.",F40)))</formula>
    </cfRule>
  </conditionalFormatting>
  <conditionalFormatting sqref="F77:F78">
    <cfRule type="containsText" dxfId="8" priority="11" operator="containsText" text="o.k.">
      <formula>NOT(ISERROR(SEARCH("o.k.",F77)))</formula>
    </cfRule>
  </conditionalFormatting>
  <conditionalFormatting sqref="F59:F65">
    <cfRule type="containsText" dxfId="7" priority="12" operator="containsText" text="o.k.">
      <formula>NOT(ISERROR(SEARCH("o.k.",F59)))</formula>
    </cfRule>
  </conditionalFormatting>
  <conditionalFormatting sqref="F83:F84">
    <cfRule type="containsText" dxfId="6" priority="10" operator="containsText" text="o.k.">
      <formula>NOT(ISERROR(SEARCH("o.k.",F83)))</formula>
    </cfRule>
  </conditionalFormatting>
  <conditionalFormatting sqref="F89">
    <cfRule type="containsText" dxfId="5" priority="9" operator="containsText" text="o.k.">
      <formula>NOT(ISERROR(SEARCH("o.k.",F89)))</formula>
    </cfRule>
  </conditionalFormatting>
  <conditionalFormatting sqref="F95:F97">
    <cfRule type="containsText" dxfId="4" priority="7" operator="containsText" text="o.k.">
      <formula>NOT(ISERROR(SEARCH("o.k.",F95)))</formula>
    </cfRule>
  </conditionalFormatting>
  <conditionalFormatting sqref="D35">
    <cfRule type="containsText" dxfId="3" priority="6" operator="containsText" text="valid">
      <formula>NOT(ISERROR(SEARCH("valid",D35)))</formula>
    </cfRule>
  </conditionalFormatting>
  <conditionalFormatting sqref="F70:F72">
    <cfRule type="containsText" dxfId="2" priority="3" operator="containsText" text="o.k.">
      <formula>NOT(ISERROR(SEARCH("o.k.",F70)))</formula>
    </cfRule>
  </conditionalFormatting>
  <conditionalFormatting sqref="F90">
    <cfRule type="containsText" dxfId="1" priority="2" operator="containsText" text="o.k.">
      <formula>NOT(ISERROR(SEARCH("o.k.",F90)))</formula>
    </cfRule>
  </conditionalFormatting>
  <conditionalFormatting sqref="F98:F99">
    <cfRule type="containsText" dxfId="0" priority="1" operator="containsText" text="o.k.">
      <formula>NOT(ISERROR(SEARCH("o.k.",F98)))</formula>
    </cfRule>
  </conditionalFormatting>
  <dataValidations count="6">
    <dataValidation type="whole" allowBlank="1" showErrorMessage="1" errorTitle="First Year" error="Carbon tax must take effect in or after 2014." sqref="D5 D25">
      <formula1>2014</formula1>
      <formula2>2040</formula2>
    </dataValidation>
    <dataValidation type="list" allowBlank="1" showErrorMessage="1" errorTitle="Jet Fuel Exemption" error="Your value must be &quot;Yes&quot; or &quot;No&quot; (first letter capitalized)." sqref="D27 C99">
      <formula1>"Yes,No"</formula1>
    </dataValidation>
    <dataValidation type="list" allowBlank="1" showErrorMessage="1" errorTitle="Marine Fuel Exemption" error="Your value must be &quot;Yes&quot; or &quot;No&quot; (first letter capitalized)." sqref="D28:D29">
      <formula1>"Yes,No"</formula1>
    </dataValidation>
    <dataValidation type="list" allowBlank="1" showErrorMessage="1" errorTitle="electric methodology" error="Choose either &quot;A&quot; or &quot;B&quot; electric methodology. See footnote (a) for explanation." sqref="D23">
      <formula1>"A,B,C"</formula1>
    </dataValidation>
    <dataValidation type="list" allowBlank="1" showInputMessage="1" showErrorMessage="1" sqref="C26">
      <formula1>lookupBoolean</formula1>
    </dataValidation>
    <dataValidation type="list" allowBlank="1" showErrorMessage="1" errorTitle="electric methodology" error="Choose either &quot;A&quot; or &quot;B&quot; electric methodology. See footnote (a) for explanation." sqref="D26">
      <formula1>lookupBoolean</formula1>
    </dataValidation>
  </dataValidations>
  <pageMargins left="0.25" right="0.25" top="0.5" bottom="0.5" header="0.3" footer="0.3"/>
  <pageSetup scale="9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F0"/>
  </sheetPr>
  <dimension ref="A1:AM224"/>
  <sheetViews>
    <sheetView workbookViewId="0">
      <pane xSplit="1" ySplit="7" topLeftCell="B8" activePane="bottomRight" state="frozen"/>
      <selection pane="topRight" activeCell="B1" sqref="B1"/>
      <selection pane="bottomLeft" activeCell="A8" sqref="A8"/>
      <selection pane="bottomRight" activeCell="A54" sqref="A54:XFD54"/>
    </sheetView>
  </sheetViews>
  <sheetFormatPr defaultColWidth="9.33203125" defaultRowHeight="12.9" customHeight="1"/>
  <cols>
    <col min="1" max="1" width="46.5546875" style="5" customWidth="1"/>
    <col min="2" max="2" width="9.44140625" style="5" customWidth="1"/>
    <col min="3" max="8" width="8.88671875" style="5" customWidth="1"/>
    <col min="9" max="9" width="8.88671875" style="143" customWidth="1"/>
    <col min="10" max="32" width="8.88671875" style="5" customWidth="1"/>
    <col min="33" max="33" width="13.44140625" style="5" customWidth="1"/>
    <col min="34" max="34" width="13.88671875" style="5" customWidth="1"/>
    <col min="35" max="16384" width="9.33203125" style="5"/>
  </cols>
  <sheetData>
    <row r="1" spans="1:33" s="280" customFormat="1" ht="26.15" customHeight="1">
      <c r="A1" s="281" t="s">
        <v>363</v>
      </c>
    </row>
    <row r="2" spans="1:33" s="280" customFormat="1" ht="12.9" customHeight="1">
      <c r="A2" s="43" t="s">
        <v>359</v>
      </c>
      <c r="B2" s="280" t="s">
        <v>364</v>
      </c>
    </row>
    <row r="3" spans="1:33" s="280" customFormat="1" ht="12.9" customHeight="1">
      <c r="A3" s="43" t="s">
        <v>360</v>
      </c>
      <c r="B3" s="280" t="s">
        <v>365</v>
      </c>
    </row>
    <row r="4" spans="1:33" s="280" customFormat="1" ht="12.9" customHeight="1">
      <c r="A4" s="43" t="s">
        <v>357</v>
      </c>
      <c r="B4" s="280" t="s">
        <v>313</v>
      </c>
    </row>
    <row r="5" spans="1:33" s="280" customFormat="1" ht="12.9" customHeight="1"/>
    <row r="6" spans="1:33" ht="12.9" customHeight="1">
      <c r="A6" s="250" t="s">
        <v>76</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1"/>
    </row>
    <row r="7" spans="1:33" s="280" customFormat="1" ht="12.9" customHeight="1">
      <c r="A7" s="253" t="s">
        <v>6</v>
      </c>
      <c r="B7" s="253">
        <v>2020</v>
      </c>
      <c r="C7" s="253">
        <v>2021</v>
      </c>
      <c r="D7" s="253">
        <v>2022</v>
      </c>
      <c r="E7" s="253">
        <v>2023</v>
      </c>
      <c r="F7" s="253">
        <v>2024</v>
      </c>
      <c r="G7" s="253">
        <v>2025</v>
      </c>
      <c r="H7" s="253">
        <v>2026</v>
      </c>
      <c r="I7" s="253">
        <v>2027</v>
      </c>
      <c r="J7" s="253">
        <v>2028</v>
      </c>
      <c r="K7" s="253">
        <v>2029</v>
      </c>
      <c r="L7" s="253">
        <v>2030</v>
      </c>
      <c r="M7" s="253">
        <v>2031</v>
      </c>
      <c r="N7" s="253">
        <v>2032</v>
      </c>
      <c r="O7" s="253">
        <v>2033</v>
      </c>
      <c r="P7" s="253">
        <v>2034</v>
      </c>
      <c r="Q7" s="253">
        <v>2035</v>
      </c>
      <c r="R7" s="253">
        <v>2036</v>
      </c>
      <c r="S7" s="253">
        <v>2037</v>
      </c>
      <c r="T7" s="253">
        <v>2038</v>
      </c>
      <c r="U7" s="253">
        <v>2039</v>
      </c>
      <c r="V7" s="253">
        <v>2040</v>
      </c>
      <c r="W7" s="253">
        <v>2041</v>
      </c>
      <c r="X7" s="253">
        <v>2042</v>
      </c>
      <c r="Y7" s="253">
        <v>2043</v>
      </c>
      <c r="Z7" s="253">
        <v>2044</v>
      </c>
      <c r="AA7" s="253">
        <v>2045</v>
      </c>
      <c r="AB7" s="253">
        <v>2046</v>
      </c>
      <c r="AC7" s="253">
        <v>2047</v>
      </c>
      <c r="AD7" s="253">
        <v>2048</v>
      </c>
      <c r="AE7" s="253">
        <v>2049</v>
      </c>
      <c r="AF7" s="253">
        <v>2050</v>
      </c>
      <c r="AG7" s="529" t="s">
        <v>1491</v>
      </c>
    </row>
    <row r="8" spans="1:33" ht="12.9" customHeight="1">
      <c r="A8" s="280" t="s">
        <v>1242</v>
      </c>
      <c r="B8" s="310">
        <f>'Baseline Consumption'!Q8*(1+'Price Change'!B8*ramps!C56)</f>
        <v>6.1137159752203277E-3</v>
      </c>
      <c r="C8" s="310">
        <f>'Baseline Consumption'!R8*(1+'Price Change'!C8*ramps!D56)</f>
        <v>5.9492009470920627E-3</v>
      </c>
      <c r="D8" s="310">
        <f>'Baseline Consumption'!S8*(1+'Price Change'!D8*ramps!E56)</f>
        <v>5.8048167890877717E-3</v>
      </c>
      <c r="E8" s="310">
        <f>'Baseline Consumption'!T8*(1+'Price Change'!E8*ramps!F56)</f>
        <v>5.6776038502201562E-3</v>
      </c>
      <c r="F8" s="310">
        <f>'Baseline Consumption'!U8*(1+'Price Change'!F8*ramps!G56)</f>
        <v>5.5596575195450831E-3</v>
      </c>
      <c r="G8" s="310">
        <f>'Baseline Consumption'!V8*(1+'Price Change'!G8*ramps!H56)</f>
        <v>5.4520514105892218E-3</v>
      </c>
      <c r="H8" s="310">
        <f>'Baseline Consumption'!W8*(1+'Price Change'!H8*ramps!I56)</f>
        <v>5.3499699340149127E-3</v>
      </c>
      <c r="I8" s="310">
        <f>'Baseline Consumption'!X8*(1+'Price Change'!I8*ramps!J56)</f>
        <v>5.2588347213496246E-3</v>
      </c>
      <c r="J8" s="310">
        <f>'Baseline Consumption'!Y8*(1+'Price Change'!J8*ramps!K56)</f>
        <v>5.1818397394637885E-3</v>
      </c>
      <c r="K8" s="310">
        <f>'Baseline Consumption'!Z8*(1+'Price Change'!K8*ramps!L56)</f>
        <v>5.0892819010710105E-3</v>
      </c>
      <c r="L8" s="310">
        <f>'Baseline Consumption'!AA8*(1+'Price Change'!L8*ramps!M56)</f>
        <v>5.0180810614095222E-3</v>
      </c>
      <c r="M8" s="310">
        <f>'Baseline Consumption'!AB8*(1+'Price Change'!M8*ramps!N56)</f>
        <v>4.9593967386766134E-3</v>
      </c>
      <c r="N8" s="310">
        <f>'Baseline Consumption'!AC8*(1+'Price Change'!N8*ramps!O56)</f>
        <v>4.9074062999818913E-3</v>
      </c>
      <c r="O8" s="310">
        <f>'Baseline Consumption'!AD8*(1+'Price Change'!O8*ramps!P56)</f>
        <v>4.8585803334658065E-3</v>
      </c>
      <c r="P8" s="310">
        <f>'Baseline Consumption'!AE8*(1+'Price Change'!P8*ramps!Q56)</f>
        <v>4.8189535962007935E-3</v>
      </c>
      <c r="Q8" s="310">
        <f>'Baseline Consumption'!AF8*(1+'Price Change'!Q8*ramps!R56)</f>
        <v>4.7855065518689283E-3</v>
      </c>
      <c r="R8" s="310">
        <f>'Baseline Consumption'!AG8*(1+'Price Change'!R8*ramps!S56)</f>
        <v>4.7561537005023245E-3</v>
      </c>
      <c r="S8" s="310">
        <f>'Baseline Consumption'!AH8*(1+'Price Change'!S8*ramps!T56)</f>
        <v>4.729337238307524E-3</v>
      </c>
      <c r="T8" s="310">
        <f>'Baseline Consumption'!AI8*(1+'Price Change'!T8*ramps!U56)</f>
        <v>4.7066466342519939E-3</v>
      </c>
      <c r="U8" s="310">
        <f>'Baseline Consumption'!AJ8*(1+'Price Change'!U8*ramps!V56)</f>
        <v>4.6873634196124272E-3</v>
      </c>
      <c r="V8" s="310">
        <f>'Baseline Consumption'!AK8*(1+'Price Change'!V8*ramps!W56)</f>
        <v>4.6786966511703975E-3</v>
      </c>
      <c r="W8" s="310">
        <f>'Baseline Consumption'!AL8*(1+'Price Change'!W8*ramps!X56)</f>
        <v>4.673183487337096E-3</v>
      </c>
      <c r="X8" s="310">
        <f>'Baseline Consumption'!AM8*(1+'Price Change'!X8*ramps!Y56)</f>
        <v>4.6670425081312772E-3</v>
      </c>
      <c r="Y8" s="310">
        <f>'Baseline Consumption'!AN8*(1+'Price Change'!Y8*ramps!Z56)</f>
        <v>4.6621375193172049E-3</v>
      </c>
      <c r="Z8" s="310">
        <f>'Baseline Consumption'!AO8*(1+'Price Change'!Z8*ramps!AA56)</f>
        <v>4.6576508288681817E-3</v>
      </c>
      <c r="AA8" s="310">
        <f>'Baseline Consumption'!AP8*(1+'Price Change'!AA8*ramps!AB56)</f>
        <v>4.656636915506651E-3</v>
      </c>
      <c r="AB8" s="310">
        <f>'Baseline Consumption'!AQ8*(1+'Price Change'!AB8*ramps!AC56)</f>
        <v>4.6581639013979631E-3</v>
      </c>
      <c r="AC8" s="310">
        <f>'Baseline Consumption'!AR8*(1+'Price Change'!AC8*ramps!AD56)</f>
        <v>4.6618222981775932E-3</v>
      </c>
      <c r="AD8" s="310">
        <f>'Baseline Consumption'!AS8*(1+'Price Change'!AD8*ramps!AE56)</f>
        <v>4.6666701115091885E-3</v>
      </c>
      <c r="AE8" s="310">
        <f>'Baseline Consumption'!AT8*(1+'Price Change'!AE8*ramps!AF56)</f>
        <v>4.6739944348959134E-3</v>
      </c>
      <c r="AF8" s="310">
        <f>'Baseline Consumption'!AU8*(1+'Price Change'!AF8*ramps!AG56)</f>
        <v>4.6835398503657756E-3</v>
      </c>
      <c r="AG8" s="533">
        <f t="shared" ref="AG8:AG14" si="0">((AF8-B8)/B8)/30</f>
        <v>-7.797636934456004E-3</v>
      </c>
    </row>
    <row r="9" spans="1:33" ht="12.9" customHeight="1">
      <c r="A9" s="280" t="s">
        <v>75</v>
      </c>
      <c r="B9" s="310">
        <f>'Baseline Consumption'!Q9*(1+'Price Change'!B9*ramps!C56)</f>
        <v>2.3654573954766805E-5</v>
      </c>
      <c r="C9" s="310">
        <f>'Baseline Consumption'!R9*(1+'Price Change'!C9*ramps!D56)</f>
        <v>2.2397039200639678E-5</v>
      </c>
      <c r="D9" s="310">
        <f>'Baseline Consumption'!S9*(1+'Price Change'!D9*ramps!E56)</f>
        <v>2.1185770434026432E-5</v>
      </c>
      <c r="E9" s="310">
        <f>'Baseline Consumption'!T9*(1+'Price Change'!E9*ramps!F56)</f>
        <v>2.018824472108084E-5</v>
      </c>
      <c r="F9" s="310">
        <f>'Baseline Consumption'!U9*(1+'Price Change'!F9*ramps!G56)</f>
        <v>1.907652139353292E-5</v>
      </c>
      <c r="G9" s="310">
        <f>'Baseline Consumption'!V9*(1+'Price Change'!G9*ramps!H56)</f>
        <v>1.8122447217586687E-5</v>
      </c>
      <c r="H9" s="310">
        <f>'Baseline Consumption'!W9*(1+'Price Change'!H9*ramps!I56)</f>
        <v>1.7330570470231263E-5</v>
      </c>
      <c r="I9" s="310">
        <f>'Baseline Consumption'!X9*(1+'Price Change'!I9*ramps!J56)</f>
        <v>1.6591462006616681E-5</v>
      </c>
      <c r="J9" s="310">
        <f>'Baseline Consumption'!Y9*(1+'Price Change'!J9*ramps!K56)</f>
        <v>1.5846203443098394E-5</v>
      </c>
      <c r="K9" s="310">
        <f>'Baseline Consumption'!Z9*(1+'Price Change'!K9*ramps!L56)</f>
        <v>1.5107824891107992E-5</v>
      </c>
      <c r="L9" s="310">
        <f>'Baseline Consumption'!AA9*(1+'Price Change'!L9*ramps!M56)</f>
        <v>1.441668131493841E-5</v>
      </c>
      <c r="M9" s="310">
        <f>'Baseline Consumption'!AB9*(1+'Price Change'!M9*ramps!N56)</f>
        <v>1.3726856312296992E-5</v>
      </c>
      <c r="N9" s="310">
        <f>'Baseline Consumption'!AC9*(1+'Price Change'!N9*ramps!O56)</f>
        <v>1.314128508125492E-5</v>
      </c>
      <c r="O9" s="310">
        <f>'Baseline Consumption'!AD9*(1+'Price Change'!O9*ramps!P56)</f>
        <v>1.2497651392312015E-5</v>
      </c>
      <c r="P9" s="310">
        <f>'Baseline Consumption'!AE9*(1+'Price Change'!P9*ramps!Q56)</f>
        <v>1.1927499248602782E-5</v>
      </c>
      <c r="Q9" s="310">
        <f>'Baseline Consumption'!AF9*(1+'Price Change'!Q9*ramps!R56)</f>
        <v>1.1371876695215564E-5</v>
      </c>
      <c r="R9" s="310">
        <f>'Baseline Consumption'!AG9*(1+'Price Change'!R9*ramps!S56)</f>
        <v>1.0875930439966842E-5</v>
      </c>
      <c r="S9" s="310">
        <f>'Baseline Consumption'!AH9*(1+'Price Change'!S9*ramps!T56)</f>
        <v>1.0374368758940873E-5</v>
      </c>
      <c r="T9" s="310">
        <f>'Baseline Consumption'!AI9*(1+'Price Change'!T9*ramps!U56)</f>
        <v>9.8776197086095512E-6</v>
      </c>
      <c r="U9" s="310">
        <f>'Baseline Consumption'!AJ9*(1+'Price Change'!U9*ramps!V56)</f>
        <v>9.4368312265942838E-6</v>
      </c>
      <c r="V9" s="310">
        <f>'Baseline Consumption'!AK9*(1+'Price Change'!V9*ramps!W56)</f>
        <v>9.0203730613931517E-6</v>
      </c>
      <c r="W9" s="310">
        <f>'Baseline Consumption'!AL9*(1+'Price Change'!W9*ramps!X56)</f>
        <v>8.6563719589056146E-6</v>
      </c>
      <c r="X9" s="310">
        <f>'Baseline Consumption'!AM9*(1+'Price Change'!X9*ramps!Y56)</f>
        <v>8.2344050164823335E-6</v>
      </c>
      <c r="Y9" s="310">
        <f>'Baseline Consumption'!AN9*(1+'Price Change'!Y9*ramps!Z56)</f>
        <v>7.9131208935490154E-6</v>
      </c>
      <c r="Z9" s="310">
        <f>'Baseline Consumption'!AO9*(1+'Price Change'!Z9*ramps!AA56)</f>
        <v>7.5349577401981247E-6</v>
      </c>
      <c r="AA9" s="310">
        <f>'Baseline Consumption'!AP9*(1+'Price Change'!AA9*ramps!AB56)</f>
        <v>7.2098194597369783E-6</v>
      </c>
      <c r="AB9" s="310">
        <f>'Baseline Consumption'!AQ9*(1+'Price Change'!AB9*ramps!AC56)</f>
        <v>6.8828523339406915E-6</v>
      </c>
      <c r="AC9" s="310">
        <f>'Baseline Consumption'!AR9*(1+'Price Change'!AC9*ramps!AD56)</f>
        <v>6.5547740027011957E-6</v>
      </c>
      <c r="AD9" s="310">
        <f>'Baseline Consumption'!AS9*(1+'Price Change'!AD9*ramps!AE56)</f>
        <v>6.2265783287367238E-6</v>
      </c>
      <c r="AE9" s="310">
        <f>'Baseline Consumption'!AT9*(1+'Price Change'!AE9*ramps!AF56)</f>
        <v>5.949783058716348E-6</v>
      </c>
      <c r="AF9" s="310">
        <f>'Baseline Consumption'!AU9*(1+'Price Change'!AF9*ramps!AG56)</f>
        <v>5.672927293260938E-6</v>
      </c>
      <c r="AG9" s="533">
        <f t="shared" si="0"/>
        <v>-2.5339210217709646E-2</v>
      </c>
    </row>
    <row r="10" spans="1:33" ht="12.9" customHeight="1">
      <c r="A10" s="280" t="s">
        <v>1243</v>
      </c>
      <c r="B10" s="310">
        <f>'Baseline Consumption'!Q10*(1+'Price Change'!B9*ramps!C56)</f>
        <v>2.5082870256825413E-3</v>
      </c>
      <c r="C10" s="310">
        <f>'Baseline Consumption'!R10*(1+'Price Change'!C9*ramps!D56)</f>
        <v>2.4349138755324243E-3</v>
      </c>
      <c r="D10" s="310">
        <f>'Baseline Consumption'!S10*(1+'Price Change'!D9*ramps!E56)</f>
        <v>2.3659507726019324E-3</v>
      </c>
      <c r="E10" s="310">
        <f>'Baseline Consumption'!T10*(1+'Price Change'!E9*ramps!F56)</f>
        <v>2.2979465439160402E-3</v>
      </c>
      <c r="F10" s="310">
        <f>'Baseline Consumption'!U10*(1+'Price Change'!F9*ramps!G56)</f>
        <v>2.2271681876451024E-3</v>
      </c>
      <c r="G10" s="310">
        <f>'Baseline Consumption'!V10*(1+'Price Change'!G9*ramps!H56)</f>
        <v>2.1607936396289213E-3</v>
      </c>
      <c r="H10" s="310">
        <f>'Baseline Consumption'!W10*(1+'Price Change'!H9*ramps!I56)</f>
        <v>2.0973901245831461E-3</v>
      </c>
      <c r="I10" s="310">
        <f>'Baseline Consumption'!X10*(1+'Price Change'!I9*ramps!J56)</f>
        <v>2.03589034494241E-3</v>
      </c>
      <c r="J10" s="310">
        <f>'Baseline Consumption'!Y10*(1+'Price Change'!J9*ramps!K56)</f>
        <v>1.9802299302869738E-3</v>
      </c>
      <c r="K10" s="310">
        <f>'Baseline Consumption'!Z10*(1+'Price Change'!K9*ramps!L56)</f>
        <v>1.9250024801736691E-3</v>
      </c>
      <c r="L10" s="310">
        <f>'Baseline Consumption'!AA10*(1+'Price Change'!L9*ramps!M56)</f>
        <v>1.875085357452495E-3</v>
      </c>
      <c r="M10" s="310">
        <f>'Baseline Consumption'!AB10*(1+'Price Change'!M9*ramps!N56)</f>
        <v>1.8273491777237264E-3</v>
      </c>
      <c r="N10" s="310">
        <f>'Baseline Consumption'!AC10*(1+'Price Change'!N9*ramps!O56)</f>
        <v>1.7785548475677709E-3</v>
      </c>
      <c r="O10" s="310">
        <f>'Baseline Consumption'!AD10*(1+'Price Change'!O9*ramps!P56)</f>
        <v>1.7303520114913984E-3</v>
      </c>
      <c r="P10" s="310">
        <f>'Baseline Consumption'!AE10*(1+'Price Change'!P9*ramps!Q56)</f>
        <v>1.6868143790308566E-3</v>
      </c>
      <c r="Q10" s="310">
        <f>'Baseline Consumption'!AF10*(1+'Price Change'!Q9*ramps!R56)</f>
        <v>1.6459966872757951E-3</v>
      </c>
      <c r="R10" s="310">
        <f>'Baseline Consumption'!AG10*(1+'Price Change'!R9*ramps!S56)</f>
        <v>1.6054027737374198E-3</v>
      </c>
      <c r="S10" s="310">
        <f>'Baseline Consumption'!AH10*(1+'Price Change'!S9*ramps!T56)</f>
        <v>1.565792602925714E-3</v>
      </c>
      <c r="T10" s="310">
        <f>'Baseline Consumption'!AI10*(1+'Price Change'!T9*ramps!U56)</f>
        <v>1.5286950515229496E-3</v>
      </c>
      <c r="U10" s="310">
        <f>'Baseline Consumption'!AJ10*(1+'Price Change'!U9*ramps!V56)</f>
        <v>1.4924322100290637E-3</v>
      </c>
      <c r="V10" s="310">
        <f>'Baseline Consumption'!AK10*(1+'Price Change'!V9*ramps!W56)</f>
        <v>1.4613699339228823E-3</v>
      </c>
      <c r="W10" s="310">
        <f>'Baseline Consumption'!AL10*(1+'Price Change'!W9*ramps!X56)</f>
        <v>1.4305036077291024E-3</v>
      </c>
      <c r="X10" s="310">
        <f>'Baseline Consumption'!AM10*(1+'Price Change'!X9*ramps!Y56)</f>
        <v>1.3994930357467592E-3</v>
      </c>
      <c r="Y10" s="310">
        <f>'Baseline Consumption'!AN10*(1+'Price Change'!Y9*ramps!Z56)</f>
        <v>1.3688109641323263E-3</v>
      </c>
      <c r="Z10" s="310">
        <f>'Baseline Consumption'!AO10*(1+'Price Change'!Z9*ramps!AA56)</f>
        <v>1.3383388182721513E-3</v>
      </c>
      <c r="AA10" s="310">
        <f>'Baseline Consumption'!AP10*(1+'Price Change'!AA9*ramps!AB56)</f>
        <v>1.3091216455132341E-3</v>
      </c>
      <c r="AB10" s="310">
        <f>'Baseline Consumption'!AQ10*(1+'Price Change'!AB9*ramps!AC56)</f>
        <v>1.2806161253456846E-3</v>
      </c>
      <c r="AC10" s="310">
        <f>'Baseline Consumption'!AR10*(1+'Price Change'!AC9*ramps!AD56)</f>
        <v>1.252106419187716E-3</v>
      </c>
      <c r="AD10" s="310">
        <f>'Baseline Consumption'!AS10*(1+'Price Change'!AD9*ramps!AE56)</f>
        <v>1.2234866958213348E-3</v>
      </c>
      <c r="AE10" s="310">
        <f>'Baseline Consumption'!AT10*(1+'Price Change'!AE9*ramps!AF56)</f>
        <v>1.1955013816819754E-3</v>
      </c>
      <c r="AF10" s="310">
        <f>'Baseline Consumption'!AU10*(1+'Price Change'!AF9*ramps!AG56)</f>
        <v>1.168212518987853E-3</v>
      </c>
      <c r="AG10" s="533">
        <f t="shared" si="0"/>
        <v>-1.7808627866661771E-2</v>
      </c>
    </row>
    <row r="11" spans="1:33" ht="12.9" customHeight="1">
      <c r="A11" s="280" t="s">
        <v>1</v>
      </c>
      <c r="B11" s="310">
        <f>('Baseline Consumption'!Q11-B24)*ramps!C72*(1+'Price Change'!B10*ramps!C56)</f>
        <v>8.4515362652705678E-2</v>
      </c>
      <c r="C11" s="310">
        <f>('Baseline Consumption'!R11-C24)*ramps!D72*(1+'Price Change'!C10*ramps!D56)</f>
        <v>8.401406095736387E-2</v>
      </c>
      <c r="D11" s="310">
        <f>('Baseline Consumption'!S11-D24)*ramps!E72*(1+'Price Change'!D10*ramps!E56)</f>
        <v>8.3456633991987481E-2</v>
      </c>
      <c r="E11" s="310">
        <f>('Baseline Consumption'!T11-E24)*ramps!F72*(1+'Price Change'!E10*ramps!F56)</f>
        <v>8.2835519771899388E-2</v>
      </c>
      <c r="F11" s="310">
        <f>('Baseline Consumption'!U11-F24)*ramps!G72*(1+'Price Change'!F10*ramps!G56)</f>
        <v>8.2982657601206128E-2</v>
      </c>
      <c r="G11" s="310">
        <f>('Baseline Consumption'!V11-G24)*ramps!H72*(1+'Price Change'!G10*ramps!H56)</f>
        <v>8.2546876910383524E-2</v>
      </c>
      <c r="H11" s="310">
        <f>('Baseline Consumption'!W11-H24)*ramps!I72*(1+'Price Change'!H10*ramps!I56)</f>
        <v>8.1611844663680752E-2</v>
      </c>
      <c r="I11" s="310">
        <f>('Baseline Consumption'!X11-I24)*ramps!J72*(1+'Price Change'!I10*ramps!J56)</f>
        <v>8.0443706633327644E-2</v>
      </c>
      <c r="J11" s="310">
        <f>('Baseline Consumption'!Y11-J24)*ramps!K72*(1+'Price Change'!J10*ramps!K56)</f>
        <v>7.9306985759114892E-2</v>
      </c>
      <c r="K11" s="310">
        <f>('Baseline Consumption'!Z11-K24)*ramps!L72*(1+'Price Change'!K10*ramps!L56)</f>
        <v>7.833043603156245E-2</v>
      </c>
      <c r="L11" s="310">
        <f>('Baseline Consumption'!AA11-L24)*ramps!M72*(1+'Price Change'!L10*ramps!M56)</f>
        <v>7.6995993502750909E-2</v>
      </c>
      <c r="M11" s="310">
        <f>('Baseline Consumption'!AB11-M24)*ramps!N72*(1+'Price Change'!M10*ramps!N56)</f>
        <v>7.5948098521165297E-2</v>
      </c>
      <c r="N11" s="310">
        <f>('Baseline Consumption'!AC11-N24)*ramps!O72*(1+'Price Change'!N10*ramps!O56)</f>
        <v>7.4950899562022208E-2</v>
      </c>
      <c r="O11" s="310">
        <f>('Baseline Consumption'!AD11-O24)*ramps!P72*(1+'Price Change'!O10*ramps!P56)</f>
        <v>7.3953376359596576E-2</v>
      </c>
      <c r="P11" s="310">
        <f>('Baseline Consumption'!AE11-P24)*ramps!Q72*(1+'Price Change'!P10*ramps!Q56)</f>
        <v>7.3265849996158414E-2</v>
      </c>
      <c r="Q11" s="310">
        <f>('Baseline Consumption'!AF11-Q24)*ramps!R72*(1+'Price Change'!Q10*ramps!R56)</f>
        <v>7.2743975202533645E-2</v>
      </c>
      <c r="R11" s="310">
        <f>('Baseline Consumption'!AG11-R24)*ramps!S72*(1+'Price Change'!R10*ramps!S56)</f>
        <v>7.2254610384498999E-2</v>
      </c>
      <c r="S11" s="310">
        <f>('Baseline Consumption'!AH11-S24)*ramps!T72*(1+'Price Change'!S10*ramps!T56)</f>
        <v>7.1735848893325113E-2</v>
      </c>
      <c r="T11" s="310">
        <f>('Baseline Consumption'!AI11-T24)*ramps!U72*(1+'Price Change'!T10*ramps!U56)</f>
        <v>7.1200183220385044E-2</v>
      </c>
      <c r="U11" s="310">
        <f>('Baseline Consumption'!AJ11-U24)*ramps!V72*(1+'Price Change'!U10*ramps!V56)</f>
        <v>7.0656720264817341E-2</v>
      </c>
      <c r="V11" s="310">
        <f>('Baseline Consumption'!AK11-V24)*ramps!W72*(1+'Price Change'!V10*ramps!W56)</f>
        <v>7.0401067233977099E-2</v>
      </c>
      <c r="W11" s="310">
        <f>('Baseline Consumption'!AL11-W24)*ramps!X72*(1+'Price Change'!W10*ramps!X56)</f>
        <v>7.0139849992391395E-2</v>
      </c>
      <c r="X11" s="310">
        <f>('Baseline Consumption'!AM11-X24)*ramps!Y72*(1+'Price Change'!X10*ramps!Y56)</f>
        <v>6.9848115217381962E-2</v>
      </c>
      <c r="Y11" s="310">
        <f>('Baseline Consumption'!AN11-Y24)*ramps!Z72*(1+'Price Change'!Y10*ramps!Z56)</f>
        <v>6.9541856859784729E-2</v>
      </c>
      <c r="Z11" s="310">
        <f>('Baseline Consumption'!AO11-Z24)*ramps!AA72*(1+'Price Change'!Z10*ramps!AA56)</f>
        <v>6.9207983162001233E-2</v>
      </c>
      <c r="AA11" s="310">
        <f>('Baseline Consumption'!AP11-AA24)*ramps!AB72*(1+'Price Change'!AA10*ramps!AB56)</f>
        <v>6.8883636795888437E-2</v>
      </c>
      <c r="AB11" s="310">
        <f>('Baseline Consumption'!AQ11-AB24)*ramps!AC72*(1+'Price Change'!AB10*ramps!AC56)</f>
        <v>6.8555297236006951E-2</v>
      </c>
      <c r="AC11" s="310">
        <f>('Baseline Consumption'!AR11-AC24)*ramps!AD72*(1+'Price Change'!AC10*ramps!AD56)</f>
        <v>6.8223248550857041E-2</v>
      </c>
      <c r="AD11" s="310">
        <f>('Baseline Consumption'!AS11-AD24)*ramps!AE72*(1+'Price Change'!AD10*ramps!AE56)</f>
        <v>6.7862301260028929E-2</v>
      </c>
      <c r="AE11" s="310">
        <f>('Baseline Consumption'!AT11-AE24)*ramps!AF72*(1+'Price Change'!AE10*ramps!AF56)</f>
        <v>6.7489789279128229E-2</v>
      </c>
      <c r="AF11" s="310">
        <f>('Baseline Consumption'!AU11-AF24)*ramps!AG72*(1+'Price Change'!AF10*ramps!AG56)</f>
        <v>6.7093737448093646E-2</v>
      </c>
      <c r="AG11" s="533">
        <f t="shared" si="0"/>
        <v>-6.8711867514555736E-3</v>
      </c>
    </row>
    <row r="12" spans="1:33" ht="12.9" customHeight="1">
      <c r="A12" s="280" t="s">
        <v>1244</v>
      </c>
      <c r="B12" s="310">
        <f>'Baseline Consumption'!Q12</f>
        <v>1.7407928845809117E-2</v>
      </c>
      <c r="C12" s="310">
        <f>'Baseline Consumption'!R12</f>
        <v>1.7294963990703172E-2</v>
      </c>
      <c r="D12" s="310">
        <f>'Baseline Consumption'!S12</f>
        <v>1.7100261287079158E-2</v>
      </c>
      <c r="E12" s="310">
        <f>'Baseline Consumption'!T12</f>
        <v>1.6948244366821637E-2</v>
      </c>
      <c r="F12" s="310">
        <f>'Baseline Consumption'!U12</f>
        <v>1.6881220312290324E-2</v>
      </c>
      <c r="G12" s="310">
        <f>'Baseline Consumption'!V12</f>
        <v>1.6774832294045673E-2</v>
      </c>
      <c r="H12" s="310">
        <f>'Baseline Consumption'!W12</f>
        <v>1.6629729159350595E-2</v>
      </c>
      <c r="I12" s="310">
        <f>'Baseline Consumption'!X12</f>
        <v>1.6495383216629442E-2</v>
      </c>
      <c r="J12" s="310">
        <f>'Baseline Consumption'!Y12</f>
        <v>1.6319219190474629E-2</v>
      </c>
      <c r="K12" s="310">
        <f>'Baseline Consumption'!Z12</f>
        <v>1.6116294173353266E-2</v>
      </c>
      <c r="L12" s="310">
        <f>'Baseline Consumption'!AA12</f>
        <v>1.586523104717328E-2</v>
      </c>
      <c r="M12" s="310">
        <f>'Baseline Consumption'!AB12</f>
        <v>1.5609704720564539E-2</v>
      </c>
      <c r="N12" s="310">
        <f>'Baseline Consumption'!AC12</f>
        <v>1.535588122466873E-2</v>
      </c>
      <c r="O12" s="310">
        <f>'Baseline Consumption'!AD12</f>
        <v>1.5112039750617772E-2</v>
      </c>
      <c r="P12" s="310">
        <f>'Baseline Consumption'!AE12</f>
        <v>1.48461419963625E-2</v>
      </c>
      <c r="Q12" s="310">
        <f>'Baseline Consumption'!AF12</f>
        <v>1.4584123047552792E-2</v>
      </c>
      <c r="R12" s="310">
        <f>'Baseline Consumption'!AG12</f>
        <v>1.4348421880156807E-2</v>
      </c>
      <c r="S12" s="310">
        <f>'Baseline Consumption'!AH12</f>
        <v>1.408198320741046E-2</v>
      </c>
      <c r="T12" s="310">
        <f>'Baseline Consumption'!AI12</f>
        <v>1.3826617523986173E-2</v>
      </c>
      <c r="U12" s="310">
        <f>'Baseline Consumption'!AJ12</f>
        <v>1.3583123776960975E-2</v>
      </c>
      <c r="V12" s="310">
        <f>'Baseline Consumption'!AK12</f>
        <v>1.3342287201155895E-2</v>
      </c>
      <c r="W12" s="310">
        <f>'Baseline Consumption'!AL12</f>
        <v>1.3097776871821409E-2</v>
      </c>
      <c r="X12" s="310">
        <f>'Baseline Consumption'!AM12</f>
        <v>1.2873874400670029E-2</v>
      </c>
      <c r="Y12" s="310">
        <f>'Baseline Consumption'!AN12</f>
        <v>1.2642010819270149E-2</v>
      </c>
      <c r="Z12" s="310">
        <f>'Baseline Consumption'!AO12</f>
        <v>1.2391023454966822E-2</v>
      </c>
      <c r="AA12" s="310">
        <f>'Baseline Consumption'!AP12</f>
        <v>1.2148935047702288E-2</v>
      </c>
      <c r="AB12" s="310">
        <f>'Baseline Consumption'!AQ12</f>
        <v>1.1913367930111194E-2</v>
      </c>
      <c r="AC12" s="310">
        <f>'Baseline Consumption'!AR12</f>
        <v>1.1677552434735783E-2</v>
      </c>
      <c r="AD12" s="310">
        <f>'Baseline Consumption'!AS12</f>
        <v>1.1441410931225911E-2</v>
      </c>
      <c r="AE12" s="310">
        <f>'Baseline Consumption'!AT12</f>
        <v>1.1202979216637186E-2</v>
      </c>
      <c r="AF12" s="310">
        <f>'Baseline Consumption'!AU12</f>
        <v>1.0962730329174778E-2</v>
      </c>
      <c r="AG12" s="533">
        <f t="shared" si="0"/>
        <v>-1.2341499810656667E-2</v>
      </c>
    </row>
    <row r="13" spans="1:33" ht="12.9" customHeight="1">
      <c r="A13" s="280" t="s">
        <v>1261</v>
      </c>
      <c r="B13" s="310">
        <f>'Baseline Consumption'!Q13*B19*ramps!C73*(1+'Price Change'!B11*ramps!C61)</f>
        <v>0.11680823482919679</v>
      </c>
      <c r="C13" s="310">
        <f>'Baseline Consumption'!R13*C19*ramps!D73*(1+'Price Change'!C11*ramps!D61)</f>
        <v>0.11485613163816272</v>
      </c>
      <c r="D13" s="310">
        <f>'Baseline Consumption'!S13*D19*ramps!E73*(1+'Price Change'!D11*ramps!E61)</f>
        <v>0.11297219864326885</v>
      </c>
      <c r="E13" s="310">
        <f>'Baseline Consumption'!T13*E19*ramps!F73*(1+'Price Change'!E11*ramps!F61)</f>
        <v>0.11102329057149229</v>
      </c>
      <c r="F13" s="310">
        <f>'Baseline Consumption'!U13*F19*ramps!G73*(1+'Price Change'!F11*ramps!G61)</f>
        <v>0.10911809845208206</v>
      </c>
      <c r="G13" s="310">
        <f>'Baseline Consumption'!V13*G19*ramps!H73*(1+'Price Change'!G11*ramps!H61)</f>
        <v>0.10741308274377377</v>
      </c>
      <c r="H13" s="310">
        <f>'Baseline Consumption'!W13*H19*ramps!I73*(1+'Price Change'!H11*ramps!I61)</f>
        <v>0.10567743492887838</v>
      </c>
      <c r="I13" s="310">
        <f>'Baseline Consumption'!X13*I19*ramps!J73*(1+'Price Change'!I11*ramps!J61)</f>
        <v>0.10366567516974552</v>
      </c>
      <c r="J13" s="310">
        <f>'Baseline Consumption'!Y13*J19*ramps!K73*(1+'Price Change'!J11*ramps!K61)</f>
        <v>0.10167955276431921</v>
      </c>
      <c r="K13" s="310">
        <f>'Baseline Consumption'!Z13*K19*ramps!L73*(1+'Price Change'!K11*ramps!L61)</f>
        <v>0.10014330746555418</v>
      </c>
      <c r="L13" s="310">
        <f>'Baseline Consumption'!AA13*L19*ramps!M73*(1+'Price Change'!L11*ramps!M61)</f>
        <v>9.9641751051730384E-2</v>
      </c>
      <c r="M13" s="310">
        <f>'Baseline Consumption'!AB13*M19*ramps!N73*(1+'Price Change'!M11*ramps!N61)</f>
        <v>9.9478851450767611E-2</v>
      </c>
      <c r="N13" s="310">
        <f>'Baseline Consumption'!AC13*N19*ramps!O73*(1+'Price Change'!N11*ramps!O61)</f>
        <v>9.9402589548817144E-2</v>
      </c>
      <c r="O13" s="310">
        <f>'Baseline Consumption'!AD13*O19*ramps!P73*(1+'Price Change'!O11*ramps!P61)</f>
        <v>9.9455250034125739E-2</v>
      </c>
      <c r="P13" s="310">
        <f>'Baseline Consumption'!AE13*P19*ramps!Q73*(1+'Price Change'!P11*ramps!Q61)</f>
        <v>9.9638187380138715E-2</v>
      </c>
      <c r="Q13" s="310">
        <f>'Baseline Consumption'!AF13*Q19*ramps!R73*(1+'Price Change'!Q11*ramps!R61)</f>
        <v>9.9873497873339698E-2</v>
      </c>
      <c r="R13" s="310">
        <f>'Baseline Consumption'!AG13*R19*ramps!S73*(1+'Price Change'!R11*ramps!S61)</f>
        <v>9.9789130847090429E-2</v>
      </c>
      <c r="S13" s="310">
        <f>'Baseline Consumption'!AH13*S19*ramps!T73*(1+'Price Change'!S11*ramps!T61)</f>
        <v>9.9855939145795852E-2</v>
      </c>
      <c r="T13" s="310">
        <f>'Baseline Consumption'!AI13*T19*ramps!U73*(1+'Price Change'!T11*ramps!U61)</f>
        <v>9.9921100385650219E-2</v>
      </c>
      <c r="U13" s="310">
        <f>'Baseline Consumption'!AJ13*U19*ramps!V73*(1+'Price Change'!U11*ramps!V61)</f>
        <v>9.9983861278445579E-2</v>
      </c>
      <c r="V13" s="310">
        <f>'Baseline Consumption'!AK13*V19*ramps!W73*(1+'Price Change'!V11*ramps!W61)</f>
        <v>0.10004280901642384</v>
      </c>
      <c r="W13" s="310">
        <f>'Baseline Consumption'!AL13*W19*ramps!X73*(1+'Price Change'!W11*ramps!X61)</f>
        <v>0.10010287652886957</v>
      </c>
      <c r="X13" s="310">
        <f>'Baseline Consumption'!AM13*X19*ramps!Y73*(1+'Price Change'!X11*ramps!Y61)</f>
        <v>0.10015954821157107</v>
      </c>
      <c r="Y13" s="310">
        <f>'Baseline Consumption'!AN13*Y19*ramps!Z73*(1+'Price Change'!Y11*ramps!Z61)</f>
        <v>0.1002126998372255</v>
      </c>
      <c r="Z13" s="310">
        <f>'Baseline Consumption'!AO13*Z19*ramps!AA73*(1+'Price Change'!Z11*ramps!AA61)</f>
        <v>0.10026336370497067</v>
      </c>
      <c r="AA13" s="310">
        <f>'Baseline Consumption'!AP13*AA19*ramps!AB73*(1+'Price Change'!AA11*ramps!AB61)</f>
        <v>0.1003113946694905</v>
      </c>
      <c r="AB13" s="310">
        <f>'Baseline Consumption'!AQ13*AB19*ramps!AC73*(1+'Price Change'!AB11*ramps!AC61)</f>
        <v>0.10033184527529863</v>
      </c>
      <c r="AC13" s="310">
        <f>'Baseline Consumption'!AR13*AC19*ramps!AD73*(1+'Price Change'!AC11*ramps!AD61)</f>
        <v>0.10034962723941887</v>
      </c>
      <c r="AD13" s="310">
        <f>'Baseline Consumption'!AS13*AD19*ramps!AE73*(1+'Price Change'!AD11*ramps!AE61)</f>
        <v>0.10036468338399736</v>
      </c>
      <c r="AE13" s="310">
        <f>'Baseline Consumption'!AT13*AE19*ramps!AF73*(1+'Price Change'!AE11*ramps!AF61)</f>
        <v>0.10037849568788769</v>
      </c>
      <c r="AF13" s="310">
        <f>'Baseline Consumption'!AU13*AF19*ramps!AG73*(1+'Price Change'!AF11*ramps!AG61)</f>
        <v>0.10039226778976151</v>
      </c>
      <c r="AG13" s="533">
        <f t="shared" si="0"/>
        <v>-4.6845918193580494E-3</v>
      </c>
    </row>
    <row r="14" spans="1:33" s="4" customFormat="1" ht="12.9" customHeight="1">
      <c r="A14" s="71" t="s">
        <v>1245</v>
      </c>
      <c r="B14" s="310">
        <f t="shared" ref="B14:V14" si="1">SUM(B8:B12,B13)</f>
        <v>0.22737718390256922</v>
      </c>
      <c r="C14" s="310">
        <f t="shared" si="1"/>
        <v>0.22457166844805487</v>
      </c>
      <c r="D14" s="310">
        <f t="shared" si="1"/>
        <v>0.22172104725445924</v>
      </c>
      <c r="E14" s="310">
        <f t="shared" si="1"/>
        <v>0.2188027933490706</v>
      </c>
      <c r="F14" s="310">
        <f t="shared" si="1"/>
        <v>0.21678787859416224</v>
      </c>
      <c r="G14" s="310">
        <f t="shared" si="1"/>
        <v>0.21436575944563868</v>
      </c>
      <c r="H14" s="310">
        <f t="shared" si="1"/>
        <v>0.21138369938097801</v>
      </c>
      <c r="I14" s="310">
        <f t="shared" si="1"/>
        <v>0.20791608154800126</v>
      </c>
      <c r="J14" s="310">
        <f t="shared" si="1"/>
        <v>0.20448367358710259</v>
      </c>
      <c r="K14" s="310">
        <f t="shared" si="1"/>
        <v>0.20161942987660569</v>
      </c>
      <c r="L14" s="310">
        <f t="shared" si="1"/>
        <v>0.19941055870183155</v>
      </c>
      <c r="M14" s="310">
        <f t="shared" si="1"/>
        <v>0.19783712746521009</v>
      </c>
      <c r="N14" s="310">
        <f t="shared" si="1"/>
        <v>0.196408472768139</v>
      </c>
      <c r="O14" s="310">
        <f t="shared" si="1"/>
        <v>0.19512209614068959</v>
      </c>
      <c r="P14" s="310">
        <f t="shared" si="1"/>
        <v>0.19426787484713987</v>
      </c>
      <c r="Q14" s="310">
        <f t="shared" si="1"/>
        <v>0.19364447123926609</v>
      </c>
      <c r="R14" s="310">
        <f t="shared" si="1"/>
        <v>0.19276459551642594</v>
      </c>
      <c r="S14" s="310">
        <f t="shared" si="1"/>
        <v>0.1919792754565236</v>
      </c>
      <c r="T14" s="310">
        <f t="shared" si="1"/>
        <v>0.19119312043550499</v>
      </c>
      <c r="U14" s="310">
        <f t="shared" si="1"/>
        <v>0.19041293778109197</v>
      </c>
      <c r="V14" s="310">
        <f t="shared" si="1"/>
        <v>0.18993525040971151</v>
      </c>
      <c r="W14" s="310">
        <f t="shared" ref="W14:AF14" si="2">SUM(W8:W12,W13)</f>
        <v>0.18945284686010749</v>
      </c>
      <c r="X14" s="310">
        <f t="shared" si="2"/>
        <v>0.18895630777851757</v>
      </c>
      <c r="Y14" s="310">
        <f t="shared" si="2"/>
        <v>0.18843542912062344</v>
      </c>
      <c r="Z14" s="310">
        <f t="shared" si="2"/>
        <v>0.18786589492681927</v>
      </c>
      <c r="AA14" s="310">
        <f t="shared" si="2"/>
        <v>0.18731693489356083</v>
      </c>
      <c r="AB14" s="310">
        <f t="shared" si="2"/>
        <v>0.18674617332049437</v>
      </c>
      <c r="AC14" s="310">
        <f t="shared" si="2"/>
        <v>0.1861709117163797</v>
      </c>
      <c r="AD14" s="310">
        <f t="shared" si="2"/>
        <v>0.18556477896091145</v>
      </c>
      <c r="AE14" s="310">
        <f t="shared" si="2"/>
        <v>0.1849467097832897</v>
      </c>
      <c r="AF14" s="310">
        <f t="shared" si="2"/>
        <v>0.18430616086367682</v>
      </c>
      <c r="AG14" s="533">
        <f t="shared" si="0"/>
        <v>-6.3141813233920409E-3</v>
      </c>
    </row>
    <row r="15" spans="1:33" s="4" customFormat="1" ht="12.9" customHeight="1">
      <c r="A15" s="71"/>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33" s="4" customFormat="1" ht="12.9" customHeight="1">
      <c r="A16" s="84" t="s">
        <v>1357</v>
      </c>
      <c r="B16" s="308"/>
      <c r="C16" s="310"/>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9" s="4" customFormat="1" ht="12.9" customHeight="1">
      <c r="A17" s="71" t="s">
        <v>1424</v>
      </c>
      <c r="B17" s="308">
        <f>('Baseline Price'!Q11/'Baseline Price'!Q10)/('Adjusted price'!B11/'Adjusted price'!B10)-1</f>
        <v>2.937809482055509E-2</v>
      </c>
      <c r="C17" s="308">
        <f>('Baseline Price'!R11/'Baseline Price'!R10)/('Adjusted price'!C11/'Adjusted price'!C10)-1</f>
        <v>4.2917901378524581E-2</v>
      </c>
      <c r="D17" s="308">
        <f>('Baseline Price'!S11/'Baseline Price'!S10)/('Adjusted price'!D11/'Adjusted price'!D10)-1</f>
        <v>6.3063348628675797E-2</v>
      </c>
      <c r="E17" s="308">
        <f>('Baseline Price'!T11/'Baseline Price'!T10)/('Adjusted price'!E11/'Adjusted price'!E10)-1</f>
        <v>7.663743190216521E-2</v>
      </c>
      <c r="F17" s="308">
        <f>('Baseline Price'!U11/'Baseline Price'!U10)/('Adjusted price'!F11/'Adjusted price'!F10)-1</f>
        <v>9.7254412277231639E-2</v>
      </c>
      <c r="G17" s="308">
        <f>('Baseline Price'!V11/'Baseline Price'!V10)/('Adjusted price'!G11/'Adjusted price'!G10)-1</f>
        <v>0.12027186535541468</v>
      </c>
      <c r="H17" s="308">
        <f>('Baseline Price'!W11/'Baseline Price'!W10)/('Adjusted price'!H11/'Adjusted price'!H10)-1</f>
        <v>0.13704500656506791</v>
      </c>
      <c r="I17" s="308">
        <f>('Baseline Price'!X11/'Baseline Price'!X10)/('Adjusted price'!I11/'Adjusted price'!I10)-1</f>
        <v>0.1491118531557889</v>
      </c>
      <c r="J17" s="308">
        <f>('Baseline Price'!Y11/'Baseline Price'!Y10)/('Adjusted price'!J11/'Adjusted price'!J10)-1</f>
        <v>0.16021699738519146</v>
      </c>
      <c r="K17" s="308">
        <f>('Baseline Price'!Z11/'Baseline Price'!Z10)/('Adjusted price'!K11/'Adjusted price'!K10)-1</f>
        <v>0.14059355299492005</v>
      </c>
      <c r="L17" s="308">
        <f>('Baseline Price'!AA11/'Baseline Price'!AA10)/('Adjusted price'!L11/'Adjusted price'!L10)-1</f>
        <v>0.15024290920490802</v>
      </c>
      <c r="M17" s="308">
        <f>('Baseline Price'!AB11/'Baseline Price'!AB10)/('Adjusted price'!M11/'Adjusted price'!M10)-1</f>
        <v>0.15660808312883345</v>
      </c>
      <c r="N17" s="308">
        <f>('Baseline Price'!AC11/'Baseline Price'!AC10)/('Adjusted price'!N11/'Adjusted price'!N10)-1</f>
        <v>0.16552302367180838</v>
      </c>
      <c r="O17" s="308">
        <f>('Baseline Price'!AD11/'Baseline Price'!AD10)/('Adjusted price'!O11/'Adjusted price'!O10)-1</f>
        <v>0.17486624274937146</v>
      </c>
      <c r="P17" s="308">
        <f>('Baseline Price'!AE11/'Baseline Price'!AE10)/('Adjusted price'!P11/'Adjusted price'!P10)-1</f>
        <v>0.17800769884501011</v>
      </c>
      <c r="Q17" s="308">
        <f>('Baseline Price'!AF11/'Baseline Price'!AF10)/('Adjusted price'!Q11/'Adjusted price'!Q10)-1</f>
        <v>0.17788448044281546</v>
      </c>
      <c r="R17" s="308">
        <f>('Baseline Price'!AG11/'Baseline Price'!AG10)/('Adjusted price'!R11/'Adjusted price'!R10)-1</f>
        <v>0.17774030743554414</v>
      </c>
      <c r="S17" s="308">
        <f>('Baseline Price'!AH11/'Baseline Price'!AH10)/('Adjusted price'!S11/'Adjusted price'!S10)-1</f>
        <v>0.17767115478647488</v>
      </c>
      <c r="T17" s="308">
        <f>('Baseline Price'!AI11/'Baseline Price'!AI10)/('Adjusted price'!T11/'Adjusted price'!T10)-1</f>
        <v>0.17788779493586393</v>
      </c>
      <c r="U17" s="308">
        <f>('Baseline Price'!AJ11/'Baseline Price'!AJ10)/('Adjusted price'!U11/'Adjusted price'!U10)-1</f>
        <v>0.1780196265413343</v>
      </c>
      <c r="V17" s="308">
        <f>('Baseline Price'!AK11/'Baseline Price'!AK10)/('Adjusted price'!V11/'Adjusted price'!V10)-1</f>
        <v>0.17777095912779428</v>
      </c>
      <c r="W17" s="308">
        <f>('Baseline Price'!AL11/'Baseline Price'!AL10)/('Adjusted price'!W11/'Adjusted price'!W10)-1</f>
        <v>0.17802493564595889</v>
      </c>
      <c r="X17" s="308">
        <f>('Baseline Price'!AM11/'Baseline Price'!AM10)/('Adjusted price'!X11/'Adjusted price'!X10)-1</f>
        <v>0.17798440780134706</v>
      </c>
      <c r="Y17" s="308">
        <f>('Baseline Price'!AN11/'Baseline Price'!AN10)/('Adjusted price'!Y11/'Adjusted price'!Y10)-1</f>
        <v>0.1776659667748437</v>
      </c>
      <c r="Z17" s="308">
        <f>('Baseline Price'!AO11/'Baseline Price'!AO10)/('Adjusted price'!Z11/'Adjusted price'!Z10)-1</f>
        <v>0.17720358635557298</v>
      </c>
      <c r="AA17" s="308">
        <f>('Baseline Price'!AP11/'Baseline Price'!AP10)/('Adjusted price'!AA11/'Adjusted price'!AA10)-1</f>
        <v>0.17659126846030904</v>
      </c>
      <c r="AB17" s="308">
        <f>('Baseline Price'!AQ11/'Baseline Price'!AQ10)/('Adjusted price'!AB11/'Adjusted price'!AB10)-1</f>
        <v>0.17562546367163079</v>
      </c>
      <c r="AC17" s="308">
        <f>('Baseline Price'!AR11/'Baseline Price'!AR10)/('Adjusted price'!AC11/'Adjusted price'!AC10)-1</f>
        <v>0.17443284109085488</v>
      </c>
      <c r="AD17" s="308">
        <f>('Baseline Price'!AS11/'Baseline Price'!AS10)/('Adjusted price'!AD11/'Adjusted price'!AD10)-1</f>
        <v>0.17300745075573309</v>
      </c>
      <c r="AE17" s="308">
        <f>('Baseline Price'!AT11/'Baseline Price'!AT10)/('Adjusted price'!AE11/'Adjusted price'!AE10)-1</f>
        <v>0.17164362863616511</v>
      </c>
      <c r="AF17" s="308">
        <f>('Baseline Price'!AU11/'Baseline Price'!AU10)/('Adjusted price'!AF11/'Adjusted price'!AF10)-1</f>
        <v>0.17058178265143842</v>
      </c>
    </row>
    <row r="18" spans="1:39" s="4" customFormat="1" ht="12.9" customHeight="1">
      <c r="A18" s="71" t="s">
        <v>1358</v>
      </c>
      <c r="B18" s="308">
        <f>B17*ramps!C66</f>
        <v>1.4689047410277548E-4</v>
      </c>
      <c r="C18" s="308">
        <f>C17*ramps!D66</f>
        <v>4.2917901378524591E-4</v>
      </c>
      <c r="D18" s="308">
        <f>D17*ramps!E66</f>
        <v>9.4595022943013687E-4</v>
      </c>
      <c r="E18" s="308">
        <f>E17*ramps!F66</f>
        <v>1.5327486380433044E-3</v>
      </c>
      <c r="F18" s="308">
        <f>F17*ramps!G66</f>
        <v>2.4313603069307911E-3</v>
      </c>
      <c r="G18" s="308">
        <f>G17*ramps!H66</f>
        <v>3.6081559606624403E-3</v>
      </c>
      <c r="H18" s="308">
        <f>H17*ramps!I66</f>
        <v>4.7965752297773759E-3</v>
      </c>
      <c r="I18" s="308">
        <f>I17*ramps!J66</f>
        <v>5.9644741262315573E-3</v>
      </c>
      <c r="J18" s="308">
        <f>J17*ramps!K66</f>
        <v>7.2097648823336163E-3</v>
      </c>
      <c r="K18" s="308">
        <f>K17*ramps!L66</f>
        <v>7.0296776497460025E-3</v>
      </c>
      <c r="L18" s="308">
        <f>L17*ramps!M66</f>
        <v>7.5121454602454013E-3</v>
      </c>
      <c r="M18" s="308">
        <f>M17*ramps!N66</f>
        <v>7.830404156441673E-3</v>
      </c>
      <c r="N18" s="308">
        <f>N17*ramps!O66</f>
        <v>8.2761511835904196E-3</v>
      </c>
      <c r="O18" s="308">
        <f>O17*ramps!P66</f>
        <v>8.7433121374685726E-3</v>
      </c>
      <c r="P18" s="308">
        <f>P17*ramps!Q66</f>
        <v>8.9003849422505058E-3</v>
      </c>
      <c r="Q18" s="308">
        <f>Q17*ramps!R66</f>
        <v>8.8942240221407728E-3</v>
      </c>
      <c r="R18" s="308">
        <f>R17*ramps!S66</f>
        <v>8.8870153717772078E-3</v>
      </c>
      <c r="S18" s="308">
        <f>S17*ramps!T66</f>
        <v>8.8835577393237448E-3</v>
      </c>
      <c r="T18" s="308">
        <f>T17*ramps!U66</f>
        <v>8.8943897467931975E-3</v>
      </c>
      <c r="U18" s="308">
        <f>U17*ramps!V66</f>
        <v>8.9009813270667145E-3</v>
      </c>
      <c r="V18" s="308">
        <f>V17*ramps!W66</f>
        <v>8.8885479563897141E-3</v>
      </c>
      <c r="W18" s="308">
        <f>W17*ramps!X66</f>
        <v>8.901246782297945E-3</v>
      </c>
      <c r="X18" s="308">
        <f>X17*ramps!Y66</f>
        <v>8.8992203900673528E-3</v>
      </c>
      <c r="Y18" s="308">
        <f>Y17*ramps!Z66</f>
        <v>8.8832983387421849E-3</v>
      </c>
      <c r="Z18" s="308">
        <f>Z17*ramps!AA66</f>
        <v>8.8601793177786499E-3</v>
      </c>
      <c r="AA18" s="308">
        <f>AA17*ramps!AB66</f>
        <v>8.8295634230154529E-3</v>
      </c>
      <c r="AB18" s="308">
        <f>AB17*ramps!AC66</f>
        <v>8.7812731835815398E-3</v>
      </c>
      <c r="AC18" s="308">
        <f>AC17*ramps!AD66</f>
        <v>8.7216420545427453E-3</v>
      </c>
      <c r="AD18" s="308">
        <f>AD17*ramps!AE66</f>
        <v>8.6503725377866554E-3</v>
      </c>
      <c r="AE18" s="308">
        <f>AE17*ramps!AF66</f>
        <v>8.5821814318082553E-3</v>
      </c>
      <c r="AF18" s="308">
        <f>AF17*ramps!AG66</f>
        <v>8.5290891325719206E-3</v>
      </c>
    </row>
    <row r="19" spans="1:39" s="4" customFormat="1" ht="12.9" customHeight="1">
      <c r="A19" s="71" t="s">
        <v>1365</v>
      </c>
      <c r="B19" s="310">
        <f>1+B18</f>
        <v>1.0001468904741029</v>
      </c>
      <c r="C19" s="310">
        <f t="shared" ref="C19:AF19" si="3">1+C18</f>
        <v>1.0004291790137851</v>
      </c>
      <c r="D19" s="310">
        <f t="shared" si="3"/>
        <v>1.0009459502294302</v>
      </c>
      <c r="E19" s="310">
        <f t="shared" si="3"/>
        <v>1.0015327486380432</v>
      </c>
      <c r="F19" s="310">
        <f t="shared" si="3"/>
        <v>1.0024313603069308</v>
      </c>
      <c r="G19" s="310">
        <f t="shared" si="3"/>
        <v>1.0036081559606624</v>
      </c>
      <c r="H19" s="310">
        <f t="shared" si="3"/>
        <v>1.0047965752297774</v>
      </c>
      <c r="I19" s="310">
        <f t="shared" si="3"/>
        <v>1.0059644741262315</v>
      </c>
      <c r="J19" s="310">
        <f t="shared" si="3"/>
        <v>1.0072097648823337</v>
      </c>
      <c r="K19" s="310">
        <f t="shared" si="3"/>
        <v>1.007029677649746</v>
      </c>
      <c r="L19" s="310">
        <f t="shared" si="3"/>
        <v>1.0075121454602454</v>
      </c>
      <c r="M19" s="310">
        <f t="shared" si="3"/>
        <v>1.0078304041564417</v>
      </c>
      <c r="N19" s="310">
        <f t="shared" si="3"/>
        <v>1.0082761511835905</v>
      </c>
      <c r="O19" s="310">
        <f t="shared" si="3"/>
        <v>1.0087433121374685</v>
      </c>
      <c r="P19" s="310">
        <f t="shared" si="3"/>
        <v>1.0089003849422504</v>
      </c>
      <c r="Q19" s="310">
        <f t="shared" si="3"/>
        <v>1.0088942240221408</v>
      </c>
      <c r="R19" s="310">
        <f t="shared" si="3"/>
        <v>1.0088870153717773</v>
      </c>
      <c r="S19" s="310">
        <f t="shared" si="3"/>
        <v>1.0088835577393238</v>
      </c>
      <c r="T19" s="310">
        <f t="shared" si="3"/>
        <v>1.0088943897467932</v>
      </c>
      <c r="U19" s="310">
        <f t="shared" si="3"/>
        <v>1.0089009813270666</v>
      </c>
      <c r="V19" s="310">
        <f t="shared" si="3"/>
        <v>1.0088885479563898</v>
      </c>
      <c r="W19" s="310">
        <f t="shared" si="3"/>
        <v>1.008901246782298</v>
      </c>
      <c r="X19" s="310">
        <f t="shared" si="3"/>
        <v>1.0088992203900673</v>
      </c>
      <c r="Y19" s="310">
        <f t="shared" si="3"/>
        <v>1.0088832983387421</v>
      </c>
      <c r="Z19" s="310">
        <f t="shared" si="3"/>
        <v>1.0088601793177787</v>
      </c>
      <c r="AA19" s="310">
        <f t="shared" si="3"/>
        <v>1.0088295634230156</v>
      </c>
      <c r="AB19" s="310">
        <f t="shared" si="3"/>
        <v>1.0087812731835815</v>
      </c>
      <c r="AC19" s="310">
        <f t="shared" si="3"/>
        <v>1.0087216420545428</v>
      </c>
      <c r="AD19" s="310">
        <f t="shared" si="3"/>
        <v>1.0086503725377867</v>
      </c>
      <c r="AE19" s="310">
        <f t="shared" si="3"/>
        <v>1.0085821814318083</v>
      </c>
      <c r="AF19" s="310">
        <f t="shared" si="3"/>
        <v>1.008529089132572</v>
      </c>
      <c r="AG19" s="490" t="s">
        <v>1411</v>
      </c>
    </row>
    <row r="20" spans="1:39" s="194" customFormat="1" ht="12.9" customHeight="1">
      <c r="A20" s="385" t="s">
        <v>1366</v>
      </c>
      <c r="B20" s="353">
        <v>0.8</v>
      </c>
      <c r="C20" s="353">
        <f>B20*(1+$AG20)^(C$7-$B$7)</f>
        <v>0.80020000000000013</v>
      </c>
      <c r="D20" s="353">
        <f t="shared" ref="D20:AF20" si="4">C20*(1+$AG20)^(D$7-$B$7)</f>
        <v>0.80060015001250029</v>
      </c>
      <c r="E20" s="353">
        <f t="shared" si="4"/>
        <v>0.80120075025004744</v>
      </c>
      <c r="F20" s="353">
        <f t="shared" si="4"/>
        <v>0.80200225150065729</v>
      </c>
      <c r="G20" s="353">
        <f t="shared" si="4"/>
        <v>0.80300525569176928</v>
      </c>
      <c r="H20" s="353">
        <f t="shared" si="4"/>
        <v>0.8042105166437209</v>
      </c>
      <c r="I20" s="353">
        <f t="shared" si="4"/>
        <v>0.80561894101406362</v>
      </c>
      <c r="J20" s="353">
        <f t="shared" si="4"/>
        <v>0.80723158943437612</v>
      </c>
      <c r="K20" s="353">
        <f t="shared" si="4"/>
        <v>0.80904967784156934</v>
      </c>
      <c r="L20" s="353">
        <f t="shared" si="4"/>
        <v>0.81107457900602509</v>
      </c>
      <c r="M20" s="353">
        <f t="shared" si="4"/>
        <v>0.81330782425925541</v>
      </c>
      <c r="N20" s="353">
        <f t="shared" si="4"/>
        <v>0.8157511054241281</v>
      </c>
      <c r="O20" s="353">
        <f t="shared" si="4"/>
        <v>0.81840627695106383</v>
      </c>
      <c r="P20" s="353">
        <f t="shared" si="4"/>
        <v>0.82127535826398124</v>
      </c>
      <c r="Q20" s="353">
        <f t="shared" si="4"/>
        <v>0.82436053632014705</v>
      </c>
      <c r="R20" s="353">
        <f t="shared" si="4"/>
        <v>0.82766416838847023</v>
      </c>
      <c r="S20" s="353">
        <f t="shared" si="4"/>
        <v>0.83118878505118532</v>
      </c>
      <c r="T20" s="353">
        <f t="shared" si="4"/>
        <v>0.83493709343427347</v>
      </c>
      <c r="U20" s="353">
        <f t="shared" si="4"/>
        <v>0.83891198067239425</v>
      </c>
      <c r="V20" s="353">
        <f t="shared" si="4"/>
        <v>0.84311651761453776</v>
      </c>
      <c r="W20" s="353">
        <f t="shared" si="4"/>
        <v>0.84755396277705253</v>
      </c>
      <c r="X20" s="353">
        <f t="shared" si="4"/>
        <v>0.85222776655117294</v>
      </c>
      <c r="Y20" s="353">
        <f t="shared" si="4"/>
        <v>0.85714157567264937</v>
      </c>
      <c r="Z20" s="353">
        <f t="shared" si="4"/>
        <v>0.8622992379615837</v>
      </c>
      <c r="AA20" s="353">
        <f t="shared" si="4"/>
        <v>0.8677048073410909</v>
      </c>
      <c r="AB20" s="353">
        <f t="shared" si="4"/>
        <v>0.87336254914394562</v>
      </c>
      <c r="AC20" s="353">
        <f t="shared" si="4"/>
        <v>0.87927694571693116</v>
      </c>
      <c r="AD20" s="353">
        <f t="shared" si="4"/>
        <v>0.88545270233319273</v>
      </c>
      <c r="AE20" s="353">
        <f t="shared" si="4"/>
        <v>0.89189475342350066</v>
      </c>
      <c r="AF20" s="353">
        <f t="shared" si="4"/>
        <v>0.89860826913796399</v>
      </c>
      <c r="AG20" s="488">
        <v>2.5000000000000001E-4</v>
      </c>
    </row>
    <row r="21" spans="1:39" s="194" customFormat="1" ht="12.9" customHeight="1">
      <c r="A21" s="385" t="s">
        <v>1367</v>
      </c>
      <c r="B21" s="353">
        <v>3.2</v>
      </c>
      <c r="C21" s="353">
        <f>B21*(1+$AG21)^(C$7-$B$7)</f>
        <v>3.2010080000000003</v>
      </c>
      <c r="D21" s="353">
        <f>C21*(1+$AG21)^(D7-$B7)</f>
        <v>3.2030249526600194</v>
      </c>
      <c r="E21" s="353">
        <f t="shared" ref="E21:AF21" si="5">D21*(1+$AG21)^(E7-$B7)</f>
        <v>3.2060527648008499</v>
      </c>
      <c r="F21" s="353">
        <f t="shared" si="5"/>
        <v>3.2100943004088767</v>
      </c>
      <c r="G21" s="353">
        <f t="shared" si="5"/>
        <v>3.2151533851515919</v>
      </c>
      <c r="H21" s="353">
        <f t="shared" si="5"/>
        <v>3.2212348124137726</v>
      </c>
      <c r="I21" s="353">
        <f t="shared" si="5"/>
        <v>3.2283443508676544</v>
      </c>
      <c r="J21" s="353">
        <f t="shared" si="5"/>
        <v>3.2364887535938425</v>
      </c>
      <c r="K21" s="353">
        <f t="shared" si="5"/>
        <v>3.2456757687731561</v>
      </c>
      <c r="L21" s="353">
        <f t="shared" si="5"/>
        <v>3.2559141519730956</v>
      </c>
      <c r="M21" s="353">
        <f t="shared" si="5"/>
        <v>3.2672136800562264</v>
      </c>
      <c r="N21" s="353">
        <f t="shared" si="5"/>
        <v>3.2795851667413976</v>
      </c>
      <c r="O21" s="353">
        <f t="shared" si="5"/>
        <v>3.2930404798524862</v>
      </c>
      <c r="P21" s="353">
        <f t="shared" si="5"/>
        <v>3.3075925602931773</v>
      </c>
      <c r="Q21" s="353">
        <f t="shared" si="5"/>
        <v>3.3232554427902596</v>
      </c>
      <c r="R21" s="353">
        <f t="shared" si="5"/>
        <v>3.3400442784519813</v>
      </c>
      <c r="S21" s="353">
        <f t="shared" si="5"/>
        <v>3.357975359192229</v>
      </c>
      <c r="T21" s="353">
        <f t="shared" si="5"/>
        <v>3.3770661440756462</v>
      </c>
      <c r="U21" s="353">
        <f t="shared" si="5"/>
        <v>3.3973352876433207</v>
      </c>
      <c r="V21" s="353">
        <f t="shared" si="5"/>
        <v>3.4188026702833678</v>
      </c>
      <c r="W21" s="353">
        <f t="shared" si="5"/>
        <v>3.4414894307156092</v>
      </c>
      <c r="X21" s="353">
        <f t="shared" si="5"/>
        <v>3.4654180006646316</v>
      </c>
      <c r="Y21" s="353">
        <f t="shared" si="5"/>
        <v>3.4906121418008045</v>
      </c>
      <c r="Z21" s="353">
        <f t="shared" si="5"/>
        <v>3.517096985034371</v>
      </c>
      <c r="AA21" s="353">
        <f t="shared" si="5"/>
        <v>3.5448990722535179</v>
      </c>
      <c r="AB21" s="353">
        <f t="shared" si="5"/>
        <v>3.5740464006033754</v>
      </c>
      <c r="AC21" s="353">
        <f t="shared" si="5"/>
        <v>3.6045684694092546</v>
      </c>
      <c r="AD21" s="353">
        <f t="shared" si="5"/>
        <v>3.6364963298540731</v>
      </c>
      <c r="AE21" s="353">
        <f t="shared" si="5"/>
        <v>3.6698626375269177</v>
      </c>
      <c r="AF21" s="353">
        <f t="shared" si="5"/>
        <v>3.7047017079670228</v>
      </c>
      <c r="AG21" s="488">
        <v>3.1500000000000001E-4</v>
      </c>
      <c r="AH21" s="127" t="s">
        <v>1406</v>
      </c>
      <c r="AI21" s="127"/>
      <c r="AJ21" s="127"/>
      <c r="AK21" s="127"/>
      <c r="AL21" s="127"/>
      <c r="AM21" s="127"/>
    </row>
    <row r="22" spans="1:39" s="127" customFormat="1" ht="12.9" customHeight="1">
      <c r="A22" s="385" t="s">
        <v>942</v>
      </c>
      <c r="B22" s="273">
        <f>B21/B20</f>
        <v>4</v>
      </c>
      <c r="C22" s="273">
        <f>C21/C20</f>
        <v>4.0002599350162455</v>
      </c>
      <c r="D22" s="273">
        <f t="shared" ref="D22:AF22" si="6">D21/D20</f>
        <v>4.0007798557244945</v>
      </c>
      <c r="E22" s="273">
        <f t="shared" si="6"/>
        <v>4.0015598634927265</v>
      </c>
      <c r="F22" s="273">
        <f t="shared" si="6"/>
        <v>4.002600110414086</v>
      </c>
      <c r="G22" s="273">
        <f t="shared" si="6"/>
        <v>4.003900799356308</v>
      </c>
      <c r="H22" s="273">
        <f t="shared" si="6"/>
        <v>4.0054621840276621</v>
      </c>
      <c r="I22" s="273">
        <f t="shared" si="6"/>
        <v>4.0072845690594274</v>
      </c>
      <c r="J22" s="273">
        <f t="shared" si="6"/>
        <v>4.0093683101049562</v>
      </c>
      <c r="K22" s="273">
        <f t="shared" si="6"/>
        <v>4.0117138139553585</v>
      </c>
      <c r="L22" s="273">
        <f t="shared" si="6"/>
        <v>4.0143215386718571</v>
      </c>
      <c r="M22" s="273">
        <f t="shared" si="6"/>
        <v>4.017191993734893</v>
      </c>
      <c r="N22" s="273">
        <f t="shared" si="6"/>
        <v>4.0203257402100174</v>
      </c>
      <c r="O22" s="273">
        <f t="shared" si="6"/>
        <v>4.0237233909306784</v>
      </c>
      <c r="P22" s="273">
        <f t="shared" si="6"/>
        <v>4.0273856106979693</v>
      </c>
      <c r="Q22" s="273">
        <f t="shared" si="6"/>
        <v>4.0313131164974241</v>
      </c>
      <c r="R22" s="273">
        <f t="shared" si="6"/>
        <v>4.0355066777329753</v>
      </c>
      <c r="S22" s="273">
        <f t="shared" si="6"/>
        <v>4.0399671164781683</v>
      </c>
      <c r="T22" s="273">
        <f t="shared" si="6"/>
        <v>4.0446953077447505</v>
      </c>
      <c r="U22" s="273">
        <f t="shared" si="6"/>
        <v>4.0496921797687655</v>
      </c>
      <c r="V22" s="273">
        <f t="shared" si="6"/>
        <v>4.0549587143142665</v>
      </c>
      <c r="W22" s="273">
        <f t="shared" si="6"/>
        <v>4.0604959469948065</v>
      </c>
      <c r="X22" s="273">
        <f t="shared" si="6"/>
        <v>4.066304967612842</v>
      </c>
      <c r="Y22" s="273">
        <f t="shared" si="6"/>
        <v>4.0723869205172036</v>
      </c>
      <c r="Z22" s="273">
        <f t="shared" si="6"/>
        <v>4.078743004978814</v>
      </c>
      <c r="AA22" s="273">
        <f t="shared" si="6"/>
        <v>4.0853744755847989</v>
      </c>
      <c r="AB22" s="273">
        <f t="shared" si="6"/>
        <v>4.0922826426512016</v>
      </c>
      <c r="AC22" s="273">
        <f t="shared" si="6"/>
        <v>4.0994688726544712</v>
      </c>
      <c r="AD22" s="273">
        <f t="shared" si="6"/>
        <v>4.1069345886819288</v>
      </c>
      <c r="AE22" s="273">
        <f t="shared" si="6"/>
        <v>4.1146812709014196</v>
      </c>
      <c r="AF22" s="273">
        <f t="shared" si="6"/>
        <v>4.1227104570503759</v>
      </c>
      <c r="AH22" s="194"/>
      <c r="AI22" s="194"/>
      <c r="AJ22" s="194"/>
      <c r="AK22" s="194"/>
      <c r="AL22" s="194"/>
      <c r="AM22" s="194"/>
    </row>
    <row r="23" spans="1:39" s="408" customFormat="1" ht="12.9" customHeight="1">
      <c r="A23" s="385" t="s">
        <v>1368</v>
      </c>
      <c r="B23" s="310">
        <f>B18*'Baseline Consumption'!Q13</f>
        <v>1.7163801443190053E-5</v>
      </c>
      <c r="C23" s="310">
        <f>C18*'Baseline Consumption'!R13</f>
        <v>4.944797419128913E-5</v>
      </c>
      <c r="D23" s="310">
        <f>D18*'Baseline Consumption'!S13</f>
        <v>1.0741811269622444E-4</v>
      </c>
      <c r="E23" s="310">
        <f>E18*'Baseline Consumption'!T13</f>
        <v>1.7147659601832803E-4</v>
      </c>
      <c r="F23" s="310">
        <f>F18*'Baseline Consumption'!U13</f>
        <v>2.6768383301332629E-4</v>
      </c>
      <c r="G23" s="310">
        <f>G18*'Baseline Consumption'!V13</f>
        <v>3.9089354142798503E-4</v>
      </c>
      <c r="H23" s="310">
        <f>H18*'Baseline Consumption'!W13</f>
        <v>5.1147011316691842E-4</v>
      </c>
      <c r="I23" s="310">
        <f>I18*'Baseline Consumption'!X13</f>
        <v>6.2484898085775982E-4</v>
      </c>
      <c r="J23" s="310">
        <f>J18*'Baseline Consumption'!Y13</f>
        <v>7.4203446671001962E-4</v>
      </c>
      <c r="K23" s="310">
        <f>K18*'Baseline Consumption'!Z13</f>
        <v>7.156966720209964E-4</v>
      </c>
      <c r="L23" s="310">
        <f>L18*'Baseline Consumption'!AA13</f>
        <v>7.6293751993983337E-4</v>
      </c>
      <c r="M23" s="310">
        <f>M18*'Baseline Consumption'!AB13</f>
        <v>7.9616458742355839E-4</v>
      </c>
      <c r="N23" s="310">
        <f>N18*'Baseline Consumption'!AC13</f>
        <v>8.4306204059528473E-4</v>
      </c>
      <c r="O23" s="310">
        <f>O18*'Baseline Consumption'!AD13</f>
        <v>8.9338293194281509E-4</v>
      </c>
      <c r="P23" s="310">
        <f>P18*'Baseline Consumption'!AE13</f>
        <v>9.1338216401960477E-4</v>
      </c>
      <c r="Q23" s="310">
        <f>Q18*'Baseline Consumption'!AF13</f>
        <v>9.1702181330075179E-4</v>
      </c>
      <c r="R23" s="310">
        <f>R18*'Baseline Consumption'!AG13</f>
        <v>9.1762449395383998E-4</v>
      </c>
      <c r="S23" s="310">
        <f>S18*'Baseline Consumption'!AH13</f>
        <v>9.2002528855567554E-4</v>
      </c>
      <c r="T23" s="310">
        <f>T18*'Baseline Consumption'!AI13</f>
        <v>9.2390827842327009E-4</v>
      </c>
      <c r="U23" s="310">
        <f>U18*'Baseline Consumption'!AJ13</f>
        <v>9.2735620120336121E-4</v>
      </c>
      <c r="V23" s="310">
        <f>V18*'Baseline Consumption'!AK13</f>
        <v>9.2882017999533365E-4</v>
      </c>
      <c r="W23" s="310">
        <f>W18*'Baseline Consumption'!AL13</f>
        <v>9.3291046220120885E-4</v>
      </c>
      <c r="X23" s="310">
        <f>X18*'Baseline Consumption'!AM13</f>
        <v>9.3546075576997313E-4</v>
      </c>
      <c r="Y23" s="310">
        <f>Y18*'Baseline Consumption'!AN13</f>
        <v>9.3654480523323359E-4</v>
      </c>
      <c r="Z23" s="310">
        <f>Z18*'Baseline Consumption'!AO13</f>
        <v>9.3685797556882422E-4</v>
      </c>
      <c r="AA23" s="310">
        <f>AA18*'Baseline Consumption'!AP13</f>
        <v>9.3636175971738105E-4</v>
      </c>
      <c r="AB23" s="310">
        <f>AB18*'Baseline Consumption'!AQ13</f>
        <v>9.339667109069512E-4</v>
      </c>
      <c r="AC23" s="310">
        <f>AC18*'Baseline Consumption'!AR13</f>
        <v>9.3033195425475102E-4</v>
      </c>
      <c r="AD23" s="310">
        <f>AD18*'Baseline Consumption'!AS13</f>
        <v>9.254151014790841E-4</v>
      </c>
      <c r="AE23" s="310">
        <f>AE18*'Baseline Consumption'!AT13</f>
        <v>9.2078428232293501E-4</v>
      </c>
      <c r="AF23" s="310">
        <f>AF18*'Baseline Consumption'!AU13</f>
        <v>9.1773576651681815E-4</v>
      </c>
      <c r="AG23" s="273"/>
    </row>
    <row r="24" spans="1:39" s="408" customFormat="1" ht="12.9" customHeight="1">
      <c r="A24" s="385" t="s">
        <v>1369</v>
      </c>
      <c r="B24" s="310">
        <f>B23*B22</f>
        <v>6.8655205772760213E-5</v>
      </c>
      <c r="C24" s="310">
        <f t="shared" ref="C24:AF24" si="7">C23*C22</f>
        <v>1.9780475002513124E-4</v>
      </c>
      <c r="D24" s="310">
        <f t="shared" si="7"/>
        <v>4.2975622141499831E-4</v>
      </c>
      <c r="E24" s="310">
        <f t="shared" si="7"/>
        <v>6.8617386415529809E-4</v>
      </c>
      <c r="F24" s="310">
        <f t="shared" si="7"/>
        <v>1.0714313395752055E-3</v>
      </c>
      <c r="G24" s="310">
        <f t="shared" si="7"/>
        <v>1.5650989629867275E-3</v>
      </c>
      <c r="H24" s="310">
        <f t="shared" si="7"/>
        <v>2.0486741965504403E-3</v>
      </c>
      <c r="I24" s="310">
        <f t="shared" si="7"/>
        <v>2.5039476789838104E-3</v>
      </c>
      <c r="J24" s="310">
        <f t="shared" si="7"/>
        <v>2.9750894758327835E-3</v>
      </c>
      <c r="K24" s="310">
        <f t="shared" si="7"/>
        <v>2.871170225748509E-3</v>
      </c>
      <c r="L24" s="310">
        <f t="shared" si="7"/>
        <v>3.0626765189553625E-3</v>
      </c>
      <c r="M24" s="310">
        <f t="shared" si="7"/>
        <v>3.198346006293163E-3</v>
      </c>
      <c r="N24" s="310">
        <f t="shared" si="7"/>
        <v>3.3893840223992058E-3</v>
      </c>
      <c r="O24" s="310">
        <f t="shared" si="7"/>
        <v>3.5947258003165353E-3</v>
      </c>
      <c r="P24" s="310">
        <f t="shared" si="7"/>
        <v>3.6785421844407287E-3</v>
      </c>
      <c r="Q24" s="310">
        <f t="shared" si="7"/>
        <v>3.6968020640735727E-3</v>
      </c>
      <c r="R24" s="310">
        <f t="shared" si="7"/>
        <v>3.7030797730020636E-3</v>
      </c>
      <c r="S24" s="310">
        <f t="shared" si="7"/>
        <v>3.7168719120932673E-3</v>
      </c>
      <c r="T24" s="310">
        <f t="shared" si="7"/>
        <v>3.7369274785251311E-3</v>
      </c>
      <c r="U24" s="310">
        <f t="shared" si="7"/>
        <v>3.7555071558733216E-3</v>
      </c>
      <c r="V24" s="310">
        <f t="shared" si="7"/>
        <v>3.7663274829030239E-3</v>
      </c>
      <c r="W24" s="310">
        <f t="shared" si="7"/>
        <v>3.78807915067706E-3</v>
      </c>
      <c r="X24" s="310">
        <f t="shared" si="7"/>
        <v>3.8038687181943054E-3</v>
      </c>
      <c r="Y24" s="310">
        <f t="shared" si="7"/>
        <v>3.8139728153101524E-3</v>
      </c>
      <c r="Z24" s="310">
        <f t="shared" si="7"/>
        <v>3.8212029145099544E-3</v>
      </c>
      <c r="AA24" s="310">
        <f t="shared" si="7"/>
        <v>3.8253884330630549E-3</v>
      </c>
      <c r="AB24" s="310">
        <f t="shared" si="7"/>
        <v>3.8220557598585489E-3</v>
      </c>
      <c r="AC24" s="310">
        <f t="shared" si="7"/>
        <v>3.8138668877031553E-3</v>
      </c>
      <c r="AD24" s="310">
        <f t="shared" si="7"/>
        <v>3.8006192891530477E-3</v>
      </c>
      <c r="AE24" s="310">
        <f t="shared" si="7"/>
        <v>3.7887338410145855E-3</v>
      </c>
      <c r="AF24" s="310">
        <f t="shared" si="7"/>
        <v>3.7835588414280282E-3</v>
      </c>
      <c r="AG24" s="273"/>
    </row>
    <row r="25" spans="1:39" s="408" customFormat="1" ht="12.9" customHeight="1">
      <c r="A25" s="50"/>
      <c r="B25" s="76"/>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row>
    <row r="26" spans="1:39" ht="12.9" customHeight="1">
      <c r="A26" s="250" t="s">
        <v>77</v>
      </c>
      <c r="B26" s="415"/>
      <c r="C26" s="415"/>
      <c r="D26" s="415"/>
      <c r="E26" s="415"/>
      <c r="F26" s="415"/>
      <c r="G26" s="415"/>
      <c r="H26" s="415"/>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6"/>
    </row>
    <row r="27" spans="1:39" s="377" customFormat="1" ht="12.9" customHeight="1">
      <c r="A27" s="253" t="s">
        <v>6</v>
      </c>
      <c r="B27" s="417">
        <v>2020</v>
      </c>
      <c r="C27" s="417">
        <v>2021</v>
      </c>
      <c r="D27" s="417">
        <v>2022</v>
      </c>
      <c r="E27" s="417">
        <v>2023</v>
      </c>
      <c r="F27" s="417">
        <v>2024</v>
      </c>
      <c r="G27" s="417">
        <v>2025</v>
      </c>
      <c r="H27" s="417">
        <v>2026</v>
      </c>
      <c r="I27" s="417">
        <v>2027</v>
      </c>
      <c r="J27" s="417">
        <v>2028</v>
      </c>
      <c r="K27" s="417">
        <v>2029</v>
      </c>
      <c r="L27" s="417">
        <v>2030</v>
      </c>
      <c r="M27" s="417">
        <v>2031</v>
      </c>
      <c r="N27" s="417">
        <v>2032</v>
      </c>
      <c r="O27" s="417">
        <v>2033</v>
      </c>
      <c r="P27" s="417">
        <v>2034</v>
      </c>
      <c r="Q27" s="417">
        <v>2035</v>
      </c>
      <c r="R27" s="417">
        <v>2036</v>
      </c>
      <c r="S27" s="417">
        <v>2037</v>
      </c>
      <c r="T27" s="417">
        <v>2038</v>
      </c>
      <c r="U27" s="417">
        <v>2039</v>
      </c>
      <c r="V27" s="417">
        <v>2040</v>
      </c>
      <c r="W27" s="417">
        <v>2041</v>
      </c>
      <c r="X27" s="417">
        <v>2042</v>
      </c>
      <c r="Y27" s="417">
        <v>2043</v>
      </c>
      <c r="Z27" s="417">
        <v>2044</v>
      </c>
      <c r="AA27" s="417">
        <v>2045</v>
      </c>
      <c r="AB27" s="417">
        <v>2046</v>
      </c>
      <c r="AC27" s="417">
        <v>2047</v>
      </c>
      <c r="AD27" s="417">
        <v>2048</v>
      </c>
      <c r="AE27" s="417">
        <v>2049</v>
      </c>
      <c r="AF27" s="417">
        <v>2050</v>
      </c>
    </row>
    <row r="28" spans="1:39" ht="12.9" customHeight="1">
      <c r="A28" s="280" t="s">
        <v>1242</v>
      </c>
      <c r="B28" s="310">
        <f>'Baseline Consumption'!Q18*(1+'Price Change'!B15*ramps!C57)</f>
        <v>3.6119374525659859E-3</v>
      </c>
      <c r="C28" s="310">
        <f>'Baseline Consumption'!R18*(1+'Price Change'!C15*ramps!D57)</f>
        <v>3.6428879394790215E-3</v>
      </c>
      <c r="D28" s="310">
        <f>'Baseline Consumption'!S18*(1+'Price Change'!D15*ramps!E57)</f>
        <v>3.6620482393938197E-3</v>
      </c>
      <c r="E28" s="310">
        <f>'Baseline Consumption'!T18*(1+'Price Change'!E15*ramps!F57)</f>
        <v>3.6865241000753378E-3</v>
      </c>
      <c r="F28" s="310">
        <f>'Baseline Consumption'!U18*(1+'Price Change'!F15*ramps!G57)</f>
        <v>3.7037677643163439E-3</v>
      </c>
      <c r="G28" s="310">
        <f>'Baseline Consumption'!V18*(1+'Price Change'!G15*ramps!H57)</f>
        <v>3.7185427449686389E-3</v>
      </c>
      <c r="H28" s="310">
        <f>'Baseline Consumption'!W18*(1+'Price Change'!H15*ramps!I57)</f>
        <v>3.7379704174555742E-3</v>
      </c>
      <c r="I28" s="310">
        <f>'Baseline Consumption'!X18*(1+'Price Change'!I15*ramps!J57)</f>
        <v>3.7616983057840404E-3</v>
      </c>
      <c r="J28" s="310">
        <f>'Baseline Consumption'!Y18*(1+'Price Change'!J15*ramps!K57)</f>
        <v>3.7878098407896467E-3</v>
      </c>
      <c r="K28" s="310">
        <f>'Baseline Consumption'!Z18*(1+'Price Change'!K15*ramps!L57)</f>
        <v>3.7481104440668812E-3</v>
      </c>
      <c r="L28" s="310">
        <f>'Baseline Consumption'!AA18*(1+'Price Change'!L15*ramps!M57)</f>
        <v>3.7792677965282598E-3</v>
      </c>
      <c r="M28" s="310">
        <f>'Baseline Consumption'!AB18*(1+'Price Change'!M15*ramps!N57)</f>
        <v>3.8008610798354364E-3</v>
      </c>
      <c r="N28" s="310">
        <f>'Baseline Consumption'!AC18*(1+'Price Change'!N15*ramps!O57)</f>
        <v>3.8249655682876631E-3</v>
      </c>
      <c r="O28" s="310">
        <f>'Baseline Consumption'!AD18*(1+'Price Change'!O15*ramps!P57)</f>
        <v>3.8456995740645951E-3</v>
      </c>
      <c r="P28" s="310">
        <f>'Baseline Consumption'!AE18*(1+'Price Change'!P15*ramps!Q57)</f>
        <v>3.8712070939203127E-3</v>
      </c>
      <c r="Q28" s="310">
        <f>'Baseline Consumption'!AF18*(1+'Price Change'!Q15*ramps!R57)</f>
        <v>3.8995710322950118E-3</v>
      </c>
      <c r="R28" s="310">
        <f>'Baseline Consumption'!AG18*(1+'Price Change'!R15*ramps!S57)</f>
        <v>3.9278173942393279E-3</v>
      </c>
      <c r="S28" s="310">
        <f>'Baseline Consumption'!AH18*(1+'Price Change'!S15*ramps!T57)</f>
        <v>3.9574469439166626E-3</v>
      </c>
      <c r="T28" s="310">
        <f>'Baseline Consumption'!AI18*(1+'Price Change'!T15*ramps!U57)</f>
        <v>3.9878519444166609E-3</v>
      </c>
      <c r="U28" s="310">
        <f>'Baseline Consumption'!AJ18*(1+'Price Change'!U15*ramps!V57)</f>
        <v>4.0184151447607867E-3</v>
      </c>
      <c r="V28" s="310">
        <f>'Baseline Consumption'!AK18*(1+'Price Change'!V15*ramps!W57)</f>
        <v>4.0574793720489317E-3</v>
      </c>
      <c r="W28" s="310">
        <f>'Baseline Consumption'!AL18*(1+'Price Change'!W15*ramps!X57)</f>
        <v>4.0980948651704865E-3</v>
      </c>
      <c r="X28" s="310">
        <f>'Baseline Consumption'!AM18*(1+'Price Change'!X15*ramps!Y57)</f>
        <v>4.134779753431443E-3</v>
      </c>
      <c r="Y28" s="310">
        <f>'Baseline Consumption'!AN18*(1+'Price Change'!Y15*ramps!Z57)</f>
        <v>4.1697649517396665E-3</v>
      </c>
      <c r="Z28" s="310">
        <f>'Baseline Consumption'!AO18*(1+'Price Change'!Z15*ramps!AA57)</f>
        <v>4.203572941476998E-3</v>
      </c>
      <c r="AA28" s="310">
        <f>'Baseline Consumption'!AP18*(1+'Price Change'!AA15*ramps!AB57)</f>
        <v>4.2373595986704695E-3</v>
      </c>
      <c r="AB28" s="310">
        <f>'Baseline Consumption'!AQ18*(1+'Price Change'!AB15*ramps!AC57)</f>
        <v>4.271067907631953E-3</v>
      </c>
      <c r="AC28" s="310">
        <f>'Baseline Consumption'!AR18*(1+'Price Change'!AC15*ramps!AD57)</f>
        <v>4.3039727949251991E-3</v>
      </c>
      <c r="AD28" s="310">
        <f>'Baseline Consumption'!AS18*(1+'Price Change'!AD15*ramps!AE57)</f>
        <v>4.336170610853049E-3</v>
      </c>
      <c r="AE28" s="310">
        <f>'Baseline Consumption'!AT18*(1+'Price Change'!AE15*ramps!AF57)</f>
        <v>4.3685224416277098E-3</v>
      </c>
      <c r="AF28" s="418">
        <f>'Baseline Consumption'!AU18*(1+'Price Change'!AF15*ramps!AG57)</f>
        <v>4.4011922346205061E-3</v>
      </c>
      <c r="AG28" s="533">
        <f>((AF28-B28)/B28)/30</f>
        <v>7.2837619921852868E-3</v>
      </c>
    </row>
    <row r="29" spans="1:39" ht="12.9" customHeight="1">
      <c r="A29" s="280" t="s">
        <v>0</v>
      </c>
      <c r="B29" s="310">
        <f>'Baseline Consumption'!Q19*(1+'Price Change'!B36*ramps!C51)</f>
        <v>5.4566335846053919E-4</v>
      </c>
      <c r="C29" s="310">
        <f>'Baseline Consumption'!R19*(1+'Price Change'!C36*ramps!D51)</f>
        <v>5.4428710235965739E-4</v>
      </c>
      <c r="D29" s="310">
        <f>'Baseline Consumption'!S19*(1+'Price Change'!D36*ramps!E51)</f>
        <v>5.4242073768660088E-4</v>
      </c>
      <c r="E29" s="310">
        <f>'Baseline Consumption'!T19*(1+'Price Change'!E36*ramps!F51)</f>
        <v>5.4009313788034338E-4</v>
      </c>
      <c r="F29" s="310">
        <f>'Baseline Consumption'!U19*(1+'Price Change'!F36*ramps!G51)</f>
        <v>5.3809529658321832E-4</v>
      </c>
      <c r="G29" s="310">
        <f>'Baseline Consumption'!V19*(1+'Price Change'!G36*ramps!H51)</f>
        <v>5.3502445719213533E-4</v>
      </c>
      <c r="H29" s="310">
        <f>'Baseline Consumption'!W19*(1+'Price Change'!H36*ramps!I51)</f>
        <v>5.3151976024185877E-4</v>
      </c>
      <c r="I29" s="310">
        <f>'Baseline Consumption'!X19*(1+'Price Change'!I36*ramps!J51)</f>
        <v>5.2761690304078241E-4</v>
      </c>
      <c r="J29" s="310">
        <f>'Baseline Consumption'!Y19*(1+'Price Change'!J36*ramps!K51)</f>
        <v>5.2338596866126732E-4</v>
      </c>
      <c r="K29" s="310">
        <f>'Baseline Consumption'!Z19*(1+'Price Change'!K36*ramps!L51)</f>
        <v>5.1908144275080207E-4</v>
      </c>
      <c r="L29" s="310">
        <f>'Baseline Consumption'!AA19*(1+'Price Change'!L36*ramps!M51)</f>
        <v>5.1697747976462197E-4</v>
      </c>
      <c r="M29" s="310">
        <f>'Baseline Consumption'!AB19*(1+'Price Change'!M36*ramps!N51)</f>
        <v>5.1510508311915747E-4</v>
      </c>
      <c r="N29" s="310">
        <f>'Baseline Consumption'!AC19*(1+'Price Change'!N36*ramps!O51)</f>
        <v>5.1304774491123012E-4</v>
      </c>
      <c r="O29" s="310">
        <f>'Baseline Consumption'!AD19*(1+'Price Change'!O36*ramps!P51)</f>
        <v>5.1092391645960042E-4</v>
      </c>
      <c r="P29" s="310">
        <f>'Baseline Consumption'!AE19*(1+'Price Change'!P36*ramps!Q51)</f>
        <v>5.1039548340471954E-4</v>
      </c>
      <c r="Q29" s="310">
        <f>'Baseline Consumption'!AF19*(1+'Price Change'!Q36*ramps!R51)</f>
        <v>5.1054736478626237E-4</v>
      </c>
      <c r="R29" s="310">
        <f>'Baseline Consumption'!AG19*(1+'Price Change'!R36*ramps!S51)</f>
        <v>5.1058493729118414E-4</v>
      </c>
      <c r="S29" s="310">
        <f>'Baseline Consumption'!AH19*(1+'Price Change'!S36*ramps!T51)</f>
        <v>5.1101144486350022E-4</v>
      </c>
      <c r="T29" s="310">
        <f>'Baseline Consumption'!AI19*(1+'Price Change'!T36*ramps!U51)</f>
        <v>5.1112219321095215E-4</v>
      </c>
      <c r="U29" s="310">
        <f>'Baseline Consumption'!AJ19*(1+'Price Change'!U36*ramps!V51)</f>
        <v>5.1133095035116218E-4</v>
      </c>
      <c r="V29" s="310">
        <f>'Baseline Consumption'!AK19*(1+'Price Change'!V36*ramps!W51)</f>
        <v>5.1157104859663469E-4</v>
      </c>
      <c r="W29" s="310">
        <f>'Baseline Consumption'!AL19*(1+'Price Change'!W36*ramps!X51)</f>
        <v>5.1175298219454757E-4</v>
      </c>
      <c r="X29" s="310">
        <f>'Baseline Consumption'!AM19*(1+'Price Change'!X36*ramps!Y51)</f>
        <v>5.1188614269535773E-4</v>
      </c>
      <c r="Y29" s="310">
        <f>'Baseline Consumption'!AN19*(1+'Price Change'!Y36*ramps!Z51)</f>
        <v>5.1196801213578686E-4</v>
      </c>
      <c r="Z29" s="310">
        <f>'Baseline Consumption'!AO19*(1+'Price Change'!Z36*ramps!AA51)</f>
        <v>5.1204635953727164E-4</v>
      </c>
      <c r="AA29" s="310">
        <f>'Baseline Consumption'!AP19*(1+'Price Change'!AA36*ramps!AB51)</f>
        <v>5.1217097926194069E-4</v>
      </c>
      <c r="AB29" s="310">
        <f>'Baseline Consumption'!AQ19*(1+'Price Change'!AB36*ramps!AC51)</f>
        <v>5.1207854524817735E-4</v>
      </c>
      <c r="AC29" s="310">
        <f>'Baseline Consumption'!AR19*(1+'Price Change'!AC36*ramps!AD51)</f>
        <v>5.1221343119914526E-4</v>
      </c>
      <c r="AD29" s="310">
        <f>'Baseline Consumption'!AS19*(1+'Price Change'!AD36*ramps!AE51)</f>
        <v>5.1239744496250027E-4</v>
      </c>
      <c r="AE29" s="310">
        <f>'Baseline Consumption'!AT19*(1+'Price Change'!AE36*ramps!AF51)</f>
        <v>5.1243909075982203E-4</v>
      </c>
      <c r="AF29" s="310">
        <f>'Baseline Consumption'!AU19*(1+'Price Change'!AF36*ramps!AG51)</f>
        <v>5.1254109531847624E-4</v>
      </c>
      <c r="AG29" s="533">
        <f>((AF30-B30)/B30)/30</f>
        <v>-1.7928783513245221E-3</v>
      </c>
    </row>
    <row r="30" spans="1:39" ht="12.9" customHeight="1">
      <c r="A30" s="280" t="s">
        <v>75</v>
      </c>
      <c r="B30" s="310">
        <f>'Baseline Consumption'!Q20*(1+'Price Change'!B16*ramps!C57)</f>
        <v>6.545979397168481E-5</v>
      </c>
      <c r="C30" s="310">
        <f>'Baseline Consumption'!R20*(1+'Price Change'!C16*ramps!D57)</f>
        <v>4.834143224745236E-5</v>
      </c>
      <c r="D30" s="310">
        <f>'Baseline Consumption'!S20*(1+'Price Change'!D16*ramps!E57)</f>
        <v>3.2648569224108417E-5</v>
      </c>
      <c r="E30" s="310">
        <f>'Baseline Consumption'!T20*(1+'Price Change'!E16*ramps!F57)</f>
        <v>3.3798315650708151E-5</v>
      </c>
      <c r="F30" s="310">
        <f>'Baseline Consumption'!U20*(1+'Price Change'!F16*ramps!G57)</f>
        <v>3.2419047259046295E-5</v>
      </c>
      <c r="G30" s="310">
        <f>'Baseline Consumption'!V20*(1+'Price Change'!G16*ramps!H57)</f>
        <v>3.4031650124885736E-5</v>
      </c>
      <c r="H30" s="310">
        <f>'Baseline Consumption'!W20*(1+'Price Change'!H16*ramps!I57)</f>
        <v>3.5630494057839578E-5</v>
      </c>
      <c r="I30" s="310">
        <f>'Baseline Consumption'!X20*(1+'Price Change'!I16*ramps!J57)</f>
        <v>3.6832191625644784E-5</v>
      </c>
      <c r="J30" s="310">
        <f>'Baseline Consumption'!Y20*(1+'Price Change'!J16*ramps!K57)</f>
        <v>3.8107672486867028E-5</v>
      </c>
      <c r="K30" s="310">
        <f>'Baseline Consumption'!Z20*(1+'Price Change'!K16*ramps!L57)</f>
        <v>3.8581341916347979E-5</v>
      </c>
      <c r="L30" s="310">
        <f>'Baseline Consumption'!AA20*(1+'Price Change'!L16*ramps!M57)</f>
        <v>3.9942039025877451E-5</v>
      </c>
      <c r="M30" s="310">
        <f>'Baseline Consumption'!AB20*(1+'Price Change'!M16*ramps!N57)</f>
        <v>4.1013880278549681E-5</v>
      </c>
      <c r="N30" s="310">
        <f>'Baseline Consumption'!AC20*(1+'Price Change'!N16*ramps!O57)</f>
        <v>4.2239041985801676E-5</v>
      </c>
      <c r="O30" s="310">
        <f>'Baseline Consumption'!AD20*(1+'Price Change'!O16*ramps!P57)</f>
        <v>4.3240436096021524E-5</v>
      </c>
      <c r="P30" s="310">
        <f>'Baseline Consumption'!AE20*(1+'Price Change'!P16*ramps!Q57)</f>
        <v>4.4287375436648998E-5</v>
      </c>
      <c r="Q30" s="310">
        <f>'Baseline Consumption'!AF20*(1+'Price Change'!Q16*ramps!R57)</f>
        <v>4.5558766377492717E-5</v>
      </c>
      <c r="R30" s="310">
        <f>'Baseline Consumption'!AG20*(1+'Price Change'!R16*ramps!S57)</f>
        <v>4.684347655206437E-5</v>
      </c>
      <c r="S30" s="310">
        <f>'Baseline Consumption'!AH20*(1+'Price Change'!S16*ramps!T57)</f>
        <v>4.7434591205724499E-5</v>
      </c>
      <c r="T30" s="310">
        <f>'Baseline Consumption'!AI20*(1+'Price Change'!T16*ramps!U57)</f>
        <v>4.8510265483834401E-5</v>
      </c>
      <c r="U30" s="310">
        <f>'Baseline Consumption'!AJ20*(1+'Price Change'!U16*ramps!V57)</f>
        <v>4.9586906215635162E-5</v>
      </c>
      <c r="V30" s="310">
        <f>'Baseline Consumption'!AK20*(1+'Price Change'!V16*ramps!W57)</f>
        <v>5.0869787770281635E-5</v>
      </c>
      <c r="W30" s="310">
        <f>'Baseline Consumption'!AL20*(1+'Price Change'!W16*ramps!X57)</f>
        <v>5.2058304753512019E-5</v>
      </c>
      <c r="X30" s="310">
        <f>'Baseline Consumption'!AM20*(1+'Price Change'!X16*ramps!Y57)</f>
        <v>5.3412089375902651E-5</v>
      </c>
      <c r="Y30" s="310">
        <f>'Baseline Consumption'!AN20*(1+'Price Change'!Y16*ramps!Z57)</f>
        <v>5.4541630299894822E-5</v>
      </c>
      <c r="Z30" s="310">
        <f>'Baseline Consumption'!AO20*(1+'Price Change'!Z16*ramps!AA57)</f>
        <v>5.5642742888260348E-5</v>
      </c>
      <c r="AA30" s="310">
        <f>'Baseline Consumption'!AP20*(1+'Price Change'!AA16*ramps!AB57)</f>
        <v>5.6833728311000053E-5</v>
      </c>
      <c r="AB30" s="310">
        <f>'Baseline Consumption'!AQ20*(1+'Price Change'!AB16*ramps!AC57)</f>
        <v>5.8189375873382598E-5</v>
      </c>
      <c r="AC30" s="310">
        <f>'Baseline Consumption'!AR20*(1+'Price Change'!AC16*ramps!AD57)</f>
        <v>5.9146118518817569E-5</v>
      </c>
      <c r="AD30" s="310">
        <f>'Baseline Consumption'!AS20*(1+'Price Change'!AD16*ramps!AE57)</f>
        <v>6.009992612896852E-5</v>
      </c>
      <c r="AE30" s="310">
        <f>'Baseline Consumption'!AT20*(1+'Price Change'!AE16*ramps!AF57)</f>
        <v>6.0838796183231976E-5</v>
      </c>
      <c r="AF30" s="310">
        <f>'Baseline Consumption'!AU20*(1+'Price Change'!AF16*ramps!AG57)</f>
        <v>6.1938950546864895E-5</v>
      </c>
      <c r="AG30" s="533">
        <f>((AF30-B30)/B30)/30</f>
        <v>-1.7928783513245221E-3</v>
      </c>
    </row>
    <row r="31" spans="1:39" ht="12.9" customHeight="1">
      <c r="A31" s="280" t="s">
        <v>1243</v>
      </c>
      <c r="B31" s="310">
        <f>'Baseline Consumption'!Q21*(1+'Price Change'!B16*ramps!C57)</f>
        <v>7.3984881544083047E-3</v>
      </c>
      <c r="C31" s="310">
        <f>'Baseline Consumption'!R21*(1+'Price Change'!C16*ramps!D57)</f>
        <v>7.4371330183360361E-3</v>
      </c>
      <c r="D31" s="310">
        <f>'Baseline Consumption'!S21*(1+'Price Change'!D16*ramps!E57)</f>
        <v>7.4886150057516046E-3</v>
      </c>
      <c r="E31" s="310">
        <f>'Baseline Consumption'!T21*(1+'Price Change'!E16*ramps!F57)</f>
        <v>7.5357912058134366E-3</v>
      </c>
      <c r="F31" s="310">
        <f>'Baseline Consumption'!U21*(1+'Price Change'!F16*ramps!G57)</f>
        <v>7.6693672118804922E-3</v>
      </c>
      <c r="G31" s="310">
        <f>'Baseline Consumption'!V21*(1+'Price Change'!G16*ramps!H57)</f>
        <v>7.7266288337785394E-3</v>
      </c>
      <c r="H31" s="310">
        <f>'Baseline Consumption'!W21*(1+'Price Change'!H16*ramps!I57)</f>
        <v>7.7149539607077695E-3</v>
      </c>
      <c r="I31" s="310">
        <f>'Baseline Consumption'!X21*(1+'Price Change'!I16*ramps!J57)</f>
        <v>7.6603505581975834E-3</v>
      </c>
      <c r="J31" s="310">
        <f>'Baseline Consumption'!Y21*(1+'Price Change'!J16*ramps!K57)</f>
        <v>7.6097780153576511E-3</v>
      </c>
      <c r="K31" s="310">
        <f>'Baseline Consumption'!Z21*(1+'Price Change'!K16*ramps!L57)</f>
        <v>7.5081465583476123E-3</v>
      </c>
      <c r="L31" s="310">
        <f>'Baseline Consumption'!AA21*(1+'Price Change'!L16*ramps!M57)</f>
        <v>7.4259489780265364E-3</v>
      </c>
      <c r="M31" s="310">
        <f>'Baseline Consumption'!AB21*(1+'Price Change'!M16*ramps!N57)</f>
        <v>7.3680661938852858E-3</v>
      </c>
      <c r="N31" s="310">
        <f>'Baseline Consumption'!AC21*(1+'Price Change'!N16*ramps!O57)</f>
        <v>7.3256585522066906E-3</v>
      </c>
      <c r="O31" s="310">
        <f>'Baseline Consumption'!AD21*(1+'Price Change'!O16*ramps!P57)</f>
        <v>7.2820515247882115E-3</v>
      </c>
      <c r="P31" s="310">
        <f>'Baseline Consumption'!AE21*(1+'Price Change'!P16*ramps!Q57)</f>
        <v>7.2570049608826999E-3</v>
      </c>
      <c r="Q31" s="310">
        <f>'Baseline Consumption'!AF21*(1+'Price Change'!Q16*ramps!R57)</f>
        <v>7.2372082641503962E-3</v>
      </c>
      <c r="R31" s="310">
        <f>'Baseline Consumption'!AG21*(1+'Price Change'!R16*ramps!S57)</f>
        <v>7.2173478920474713E-3</v>
      </c>
      <c r="S31" s="310">
        <f>'Baseline Consumption'!AH21*(1+'Price Change'!S16*ramps!T57)</f>
        <v>7.1966971842484578E-3</v>
      </c>
      <c r="T31" s="310">
        <f>'Baseline Consumption'!AI21*(1+'Price Change'!T16*ramps!U57)</f>
        <v>7.1802639866255522E-3</v>
      </c>
      <c r="U31" s="310">
        <f>'Baseline Consumption'!AJ21*(1+'Price Change'!U16*ramps!V57)</f>
        <v>7.1641011219378712E-3</v>
      </c>
      <c r="V31" s="310">
        <f>'Baseline Consumption'!AK21*(1+'Price Change'!V16*ramps!W57)</f>
        <v>7.1682551083027835E-3</v>
      </c>
      <c r="W31" s="310">
        <f>'Baseline Consumption'!AL21*(1+'Price Change'!W16*ramps!X57)</f>
        <v>7.1748934142852744E-3</v>
      </c>
      <c r="X31" s="310">
        <f>'Baseline Consumption'!AM21*(1+'Price Change'!X16*ramps!Y57)</f>
        <v>7.1746288497815079E-3</v>
      </c>
      <c r="Y31" s="310">
        <f>'Baseline Consumption'!AN21*(1+'Price Change'!Y16*ramps!Z57)</f>
        <v>7.1730546177307232E-3</v>
      </c>
      <c r="Z31" s="310">
        <f>'Baseline Consumption'!AO21*(1+'Price Change'!Z16*ramps!AA57)</f>
        <v>7.1741248031641789E-3</v>
      </c>
      <c r="AA31" s="310">
        <f>'Baseline Consumption'!AP21*(1+'Price Change'!AA16*ramps!AB57)</f>
        <v>7.1750274166754984E-3</v>
      </c>
      <c r="AB31" s="310">
        <f>'Baseline Consumption'!AQ21*(1+'Price Change'!AB16*ramps!AC57)</f>
        <v>7.1742551507185236E-3</v>
      </c>
      <c r="AC31" s="310">
        <f>'Baseline Consumption'!AR21*(1+'Price Change'!AC16*ramps!AD57)</f>
        <v>7.1734176878431944E-3</v>
      </c>
      <c r="AD31" s="310">
        <f>'Baseline Consumption'!AS21*(1+'Price Change'!AD16*ramps!AE57)</f>
        <v>7.169444680898307E-3</v>
      </c>
      <c r="AE31" s="310">
        <f>'Baseline Consumption'!AT21*(1+'Price Change'!AE16*ramps!AF57)</f>
        <v>7.163232305761635E-3</v>
      </c>
      <c r="AF31" s="310">
        <f>'Baseline Consumption'!AU21*(1+'Price Change'!AF16*ramps!AG57)</f>
        <v>7.1555983007657534E-3</v>
      </c>
      <c r="AG31" s="533">
        <f>((AF31-B31)/B31)/30</f>
        <v>-1.0943220136032253E-3</v>
      </c>
    </row>
    <row r="32" spans="1:39" ht="12.9" customHeight="1">
      <c r="A32" s="280" t="s">
        <v>254</v>
      </c>
      <c r="B32" s="310">
        <f>'Baseline Consumption'!Q22*(1+'Price Change'!B17*ramps!C57)</f>
        <v>0</v>
      </c>
      <c r="C32" s="310">
        <f>'Baseline Consumption'!R22*(1+'Price Change'!C17*ramps!D57)</f>
        <v>0</v>
      </c>
      <c r="D32" s="310">
        <f>'Baseline Consumption'!S22*(1+'Price Change'!D17*ramps!E57)</f>
        <v>0</v>
      </c>
      <c r="E32" s="310">
        <f>'Baseline Consumption'!T22*(1+'Price Change'!E17*ramps!F57)</f>
        <v>0</v>
      </c>
      <c r="F32" s="310">
        <f>'Baseline Consumption'!U22*(1+'Price Change'!F17*ramps!G57)</f>
        <v>0</v>
      </c>
      <c r="G32" s="310">
        <f>'Baseline Consumption'!V22*(1+'Price Change'!G17*ramps!H57)</f>
        <v>0</v>
      </c>
      <c r="H32" s="310">
        <f>'Baseline Consumption'!W22*(1+'Price Change'!H17*ramps!I57)</f>
        <v>0</v>
      </c>
      <c r="I32" s="310">
        <f>'Baseline Consumption'!X22*(1+'Price Change'!I17*ramps!J57)</f>
        <v>0</v>
      </c>
      <c r="J32" s="310">
        <f>'Baseline Consumption'!Y22*(1+'Price Change'!J17*ramps!K57)</f>
        <v>0</v>
      </c>
      <c r="K32" s="310">
        <f>'Baseline Consumption'!Z22*(1+'Price Change'!K17*ramps!L57)</f>
        <v>0</v>
      </c>
      <c r="L32" s="310">
        <f>'Baseline Consumption'!AA22*(1+'Price Change'!L17*ramps!M57)</f>
        <v>0</v>
      </c>
      <c r="M32" s="310">
        <f>'Baseline Consumption'!AB22*(1+'Price Change'!M17*ramps!N57)</f>
        <v>0</v>
      </c>
      <c r="N32" s="310">
        <f>'Baseline Consumption'!AC22*(1+'Price Change'!N17*ramps!O57)</f>
        <v>0</v>
      </c>
      <c r="O32" s="310">
        <f>'Baseline Consumption'!AD22*(1+'Price Change'!O17*ramps!P57)</f>
        <v>0</v>
      </c>
      <c r="P32" s="310">
        <f>'Baseline Consumption'!AE22*(1+'Price Change'!P17*ramps!Q57)</f>
        <v>0</v>
      </c>
      <c r="Q32" s="310">
        <f>'Baseline Consumption'!AF22*(1+'Price Change'!Q17*ramps!R57)</f>
        <v>0</v>
      </c>
      <c r="R32" s="310">
        <f>'Baseline Consumption'!AG22*(1+'Price Change'!R17*ramps!S57)</f>
        <v>0</v>
      </c>
      <c r="S32" s="310">
        <f>'Baseline Consumption'!AH22*(1+'Price Change'!S17*ramps!T57)</f>
        <v>0</v>
      </c>
      <c r="T32" s="310">
        <f>'Baseline Consumption'!AI22*(1+'Price Change'!T17*ramps!U57)</f>
        <v>0</v>
      </c>
      <c r="U32" s="310">
        <f>'Baseline Consumption'!AJ22*(1+'Price Change'!U17*ramps!V57)</f>
        <v>0</v>
      </c>
      <c r="V32" s="310">
        <f>'Baseline Consumption'!AK22*(1+'Price Change'!V17*ramps!W57)</f>
        <v>0</v>
      </c>
      <c r="W32" s="310">
        <f>'Baseline Consumption'!AL22*(1+'Price Change'!W17*ramps!X57)</f>
        <v>0</v>
      </c>
      <c r="X32" s="310">
        <f>'Baseline Consumption'!AM22*(1+'Price Change'!X17*ramps!Y57)</f>
        <v>0</v>
      </c>
      <c r="Y32" s="310">
        <f>'Baseline Consumption'!AN22*(1+'Price Change'!Y17*ramps!Z57)</f>
        <v>0</v>
      </c>
      <c r="Z32" s="310">
        <f>'Baseline Consumption'!AO22*(1+'Price Change'!Z17*ramps!AA57)</f>
        <v>0</v>
      </c>
      <c r="AA32" s="310">
        <f>'Baseline Consumption'!AP22*(1+'Price Change'!AA17*ramps!AB57)</f>
        <v>0</v>
      </c>
      <c r="AB32" s="310">
        <f>'Baseline Consumption'!AQ22*(1+'Price Change'!AB17*ramps!AC57)</f>
        <v>0</v>
      </c>
      <c r="AC32" s="310">
        <f>'Baseline Consumption'!AR22*(1+'Price Change'!AC17*ramps!AD57)</f>
        <v>0</v>
      </c>
      <c r="AD32" s="310">
        <f>'Baseline Consumption'!AS22*(1+'Price Change'!AD17*ramps!AE57)</f>
        <v>0</v>
      </c>
      <c r="AE32" s="310">
        <f>'Baseline Consumption'!AT22*(1+'Price Change'!AE17*ramps!AF57)</f>
        <v>0</v>
      </c>
      <c r="AF32" s="310">
        <f>'Baseline Consumption'!AU22*(1+'Price Change'!AF17*ramps!AG57)</f>
        <v>0</v>
      </c>
      <c r="AG32" s="533"/>
    </row>
    <row r="33" spans="1:33" ht="12.9" customHeight="1">
      <c r="A33" s="280" t="s">
        <v>1</v>
      </c>
      <c r="B33" s="310">
        <f>('Baseline Consumption'!Q23-B44)*ramps!C75*(1+'Price Change'!B18*ramps!C57)</f>
        <v>6.0153254114016168E-2</v>
      </c>
      <c r="C33" s="310">
        <f>('Baseline Consumption'!R23-C44)*ramps!D75*(1+'Price Change'!C18*ramps!D57)</f>
        <v>6.0212466818536176E-2</v>
      </c>
      <c r="D33" s="310">
        <f>('Baseline Consumption'!S23-D44)*ramps!E75*(1+'Price Change'!D18*ramps!E57)</f>
        <v>6.0068794258585766E-2</v>
      </c>
      <c r="E33" s="310">
        <f>('Baseline Consumption'!T23-E44)*ramps!F75*(1+'Price Change'!E18*ramps!F57)</f>
        <v>5.9695440857859633E-2</v>
      </c>
      <c r="F33" s="310">
        <f>('Baseline Consumption'!U23-F44)*ramps!G75*(1+'Price Change'!F18*ramps!G57)</f>
        <v>6.064303730043917E-2</v>
      </c>
      <c r="G33" s="310">
        <f>('Baseline Consumption'!V23-G44)*ramps!H75*(1+'Price Change'!G18*ramps!H57)</f>
        <v>6.1001590787310614E-2</v>
      </c>
      <c r="H33" s="310">
        <f>('Baseline Consumption'!W23-H44)*ramps!I75*(1+'Price Change'!H18*ramps!I57)</f>
        <v>6.0939348766205222E-2</v>
      </c>
      <c r="I33" s="310">
        <f>('Baseline Consumption'!X23-I44)*ramps!J75*(1+'Price Change'!I18*ramps!J57)</f>
        <v>6.0706596606907276E-2</v>
      </c>
      <c r="J33" s="310">
        <f>('Baseline Consumption'!Y23-J44)*ramps!K75*(1+'Price Change'!J18*ramps!K57)</f>
        <v>6.0503426486853168E-2</v>
      </c>
      <c r="K33" s="310">
        <f>('Baseline Consumption'!Z23-K44)*ramps!L75*(1+'Price Change'!K18*ramps!L57)</f>
        <v>5.990550538540651E-2</v>
      </c>
      <c r="L33" s="310">
        <f>('Baseline Consumption'!AA23-L44)*ramps!M75*(1+'Price Change'!L18*ramps!M57)</f>
        <v>5.9019191894807879E-2</v>
      </c>
      <c r="M33" s="310">
        <f>('Baseline Consumption'!AB23-M44)*ramps!N75*(1+'Price Change'!M18*ramps!N57)</f>
        <v>5.8474268140542268E-2</v>
      </c>
      <c r="N33" s="310">
        <f>('Baseline Consumption'!AC23-N44)*ramps!O75*(1+'Price Change'!N18*ramps!O57)</f>
        <v>5.812157177905055E-2</v>
      </c>
      <c r="O33" s="310">
        <f>('Baseline Consumption'!AD23-O44)*ramps!P75*(1+'Price Change'!O18*ramps!P57)</f>
        <v>5.7775472454538387E-2</v>
      </c>
      <c r="P33" s="310">
        <f>('Baseline Consumption'!AE23-P44)*ramps!Q75*(1+'Price Change'!P18*ramps!Q57)</f>
        <v>5.7718017207798011E-2</v>
      </c>
      <c r="Q33" s="310">
        <f>('Baseline Consumption'!AF23-Q44)*ramps!R75*(1+'Price Change'!Q18*ramps!R57)</f>
        <v>5.7837838994742326E-2</v>
      </c>
      <c r="R33" s="310">
        <f>('Baseline Consumption'!AG23-R44)*ramps!S75*(1+'Price Change'!R18*ramps!S57)</f>
        <v>5.8057457979112922E-2</v>
      </c>
      <c r="S33" s="310">
        <f>('Baseline Consumption'!AH23-S44)*ramps!T75*(1+'Price Change'!S18*ramps!T57)</f>
        <v>5.8311526246782097E-2</v>
      </c>
      <c r="T33" s="310">
        <f>('Baseline Consumption'!AI23-T44)*ramps!U75*(1+'Price Change'!T18*ramps!U57)</f>
        <v>5.8545413072443611E-2</v>
      </c>
      <c r="U33" s="310">
        <f>('Baseline Consumption'!AJ23-U44)*ramps!V75*(1+'Price Change'!U18*ramps!V57)</f>
        <v>5.8771591100092217E-2</v>
      </c>
      <c r="V33" s="310">
        <f>('Baseline Consumption'!AK23-V44)*ramps!W75*(1+'Price Change'!V18*ramps!W57)</f>
        <v>5.9247421244565397E-2</v>
      </c>
      <c r="W33" s="310">
        <f>('Baseline Consumption'!AL23-W44)*ramps!X75*(1+'Price Change'!W18*ramps!X57)</f>
        <v>5.9874327807871879E-2</v>
      </c>
      <c r="X33" s="310">
        <f>('Baseline Consumption'!AM23-X44)*ramps!Y75*(1+'Price Change'!X18*ramps!Y57)</f>
        <v>6.0493025581250144E-2</v>
      </c>
      <c r="Y33" s="310">
        <f>('Baseline Consumption'!AN23-Y44)*ramps!Z75*(1+'Price Change'!Y18*ramps!Z57)</f>
        <v>6.1094437385876346E-2</v>
      </c>
      <c r="Z33" s="310">
        <f>('Baseline Consumption'!AO23-Z44)*ramps!AA75*(1+'Price Change'!Z18*ramps!AA57)</f>
        <v>6.1670975642991316E-2</v>
      </c>
      <c r="AA33" s="310">
        <f>('Baseline Consumption'!AP23-AA44)*ramps!AB75*(1+'Price Change'!AA18*ramps!AB57)</f>
        <v>6.2255278712453038E-2</v>
      </c>
      <c r="AB33" s="310">
        <f>('Baseline Consumption'!AQ23-AB44)*ramps!AC75*(1+'Price Change'!AB18*ramps!AC57)</f>
        <v>6.2869183058589795E-2</v>
      </c>
      <c r="AC33" s="310">
        <f>('Baseline Consumption'!AR23-AC44)*ramps!AD75*(1+'Price Change'!AC18*ramps!AD57)</f>
        <v>6.3434572853956789E-2</v>
      </c>
      <c r="AD33" s="310">
        <f>('Baseline Consumption'!AS23-AD44)*ramps!AE75*(1+'Price Change'!AD18*ramps!AE57)</f>
        <v>6.3936867261273136E-2</v>
      </c>
      <c r="AE33" s="310">
        <f>('Baseline Consumption'!AT23-AE44)*ramps!AF75*(1+'Price Change'!AE18*ramps!AF57)</f>
        <v>6.4360751902559299E-2</v>
      </c>
      <c r="AF33" s="310">
        <f>('Baseline Consumption'!AU23-AF44)*ramps!AG75*(1+'Price Change'!AF18*ramps!AG57)</f>
        <v>6.470004550132949E-2</v>
      </c>
      <c r="AG33" s="533">
        <f>((AF33-B33)/B33)/30</f>
        <v>2.5195596670991986E-3</v>
      </c>
    </row>
    <row r="34" spans="1:33" ht="12.9" customHeight="1">
      <c r="A34" s="280" t="s">
        <v>2</v>
      </c>
      <c r="B34" s="310">
        <f>'Baseline Consumption'!Q24</f>
        <v>0</v>
      </c>
      <c r="C34" s="310">
        <f>'Baseline Consumption'!R24</f>
        <v>0</v>
      </c>
      <c r="D34" s="310">
        <f>'Baseline Consumption'!S24</f>
        <v>0</v>
      </c>
      <c r="E34" s="310">
        <f>'Baseline Consumption'!T24</f>
        <v>0</v>
      </c>
      <c r="F34" s="310">
        <f>'Baseline Consumption'!U24</f>
        <v>0</v>
      </c>
      <c r="G34" s="310">
        <f>'Baseline Consumption'!V24</f>
        <v>0</v>
      </c>
      <c r="H34" s="310">
        <f>'Baseline Consumption'!W24</f>
        <v>0</v>
      </c>
      <c r="I34" s="310">
        <f>'Baseline Consumption'!X24</f>
        <v>0</v>
      </c>
      <c r="J34" s="310">
        <f>'Baseline Consumption'!Y24</f>
        <v>0</v>
      </c>
      <c r="K34" s="310">
        <f>'Baseline Consumption'!Z24</f>
        <v>0</v>
      </c>
      <c r="L34" s="310">
        <f>'Baseline Consumption'!AA24</f>
        <v>0</v>
      </c>
      <c r="M34" s="310">
        <f>'Baseline Consumption'!AB24</f>
        <v>0</v>
      </c>
      <c r="N34" s="310">
        <f>'Baseline Consumption'!AC24</f>
        <v>0</v>
      </c>
      <c r="O34" s="310">
        <f>'Baseline Consumption'!AD24</f>
        <v>0</v>
      </c>
      <c r="P34" s="310">
        <f>'Baseline Consumption'!AE24</f>
        <v>0</v>
      </c>
      <c r="Q34" s="310">
        <f>'Baseline Consumption'!AF24</f>
        <v>0</v>
      </c>
      <c r="R34" s="310">
        <f>'Baseline Consumption'!AG24</f>
        <v>0</v>
      </c>
      <c r="S34" s="310">
        <f>'Baseline Consumption'!AH24</f>
        <v>0</v>
      </c>
      <c r="T34" s="310">
        <f>'Baseline Consumption'!AI24</f>
        <v>0</v>
      </c>
      <c r="U34" s="310">
        <f>'Baseline Consumption'!AJ24</f>
        <v>0</v>
      </c>
      <c r="V34" s="310">
        <f>'Baseline Consumption'!AK24</f>
        <v>0</v>
      </c>
      <c r="W34" s="310">
        <f>'Baseline Consumption'!AL24</f>
        <v>0</v>
      </c>
      <c r="X34" s="310">
        <f>'Baseline Consumption'!AM24</f>
        <v>0</v>
      </c>
      <c r="Y34" s="310">
        <f>'Baseline Consumption'!AN24</f>
        <v>0</v>
      </c>
      <c r="Z34" s="310">
        <f>'Baseline Consumption'!AO24</f>
        <v>0</v>
      </c>
      <c r="AA34" s="310">
        <f>'Baseline Consumption'!AP24</f>
        <v>0</v>
      </c>
      <c r="AB34" s="310">
        <f>'Baseline Consumption'!AQ24</f>
        <v>0</v>
      </c>
      <c r="AC34" s="310">
        <f>'Baseline Consumption'!AR24</f>
        <v>0</v>
      </c>
      <c r="AD34" s="310">
        <f>'Baseline Consumption'!AS24</f>
        <v>0</v>
      </c>
      <c r="AE34" s="310">
        <f>'Baseline Consumption'!AT24</f>
        <v>0</v>
      </c>
      <c r="AF34" s="310">
        <f>'Baseline Consumption'!AU24</f>
        <v>0</v>
      </c>
      <c r="AG34" s="533"/>
    </row>
    <row r="35" spans="1:33" ht="12.9" customHeight="1">
      <c r="A35" s="280" t="s">
        <v>1244</v>
      </c>
      <c r="B35" s="310">
        <f>'Baseline Consumption'!Q25</f>
        <v>3.4035078928144969E-3</v>
      </c>
      <c r="C35" s="310">
        <f>'Baseline Consumption'!R25</f>
        <v>3.4080406398445616E-3</v>
      </c>
      <c r="D35" s="310">
        <f>'Baseline Consumption'!S25</f>
        <v>3.4125900814022357E-3</v>
      </c>
      <c r="E35" s="310">
        <f>'Baseline Consumption'!T25</f>
        <v>3.4169812017083435E-3</v>
      </c>
      <c r="F35" s="310">
        <f>'Baseline Consumption'!U25</f>
        <v>3.421203350669724E-3</v>
      </c>
      <c r="G35" s="310">
        <f>'Baseline Consumption'!V25</f>
        <v>3.4251607442380839E-3</v>
      </c>
      <c r="H35" s="310">
        <f>'Baseline Consumption'!W25</f>
        <v>3.4290582850517539E-3</v>
      </c>
      <c r="I35" s="310">
        <f>'Baseline Consumption'!X25</f>
        <v>3.4326913584163737E-3</v>
      </c>
      <c r="J35" s="310">
        <f>'Baseline Consumption'!Y25</f>
        <v>3.4361970490957476E-3</v>
      </c>
      <c r="K35" s="310">
        <f>'Baseline Consumption'!Z25</f>
        <v>3.4402633168222601E-3</v>
      </c>
      <c r="L35" s="310">
        <f>'Baseline Consumption'!AA25</f>
        <v>3.4443741042352138E-3</v>
      </c>
      <c r="M35" s="310">
        <f>'Baseline Consumption'!AB25</f>
        <v>3.4485587931539384E-3</v>
      </c>
      <c r="N35" s="310">
        <f>'Baseline Consumption'!AC25</f>
        <v>3.4513522312543468E-3</v>
      </c>
      <c r="O35" s="310">
        <f>'Baseline Consumption'!AD25</f>
        <v>3.453114873590974E-3</v>
      </c>
      <c r="P35" s="310">
        <f>'Baseline Consumption'!AE25</f>
        <v>3.4556134283030772E-3</v>
      </c>
      <c r="Q35" s="310">
        <f>'Baseline Consumption'!AF25</f>
        <v>3.4580811876723586E-3</v>
      </c>
      <c r="R35" s="310">
        <f>'Baseline Consumption'!AG25</f>
        <v>3.4612558680297686E-3</v>
      </c>
      <c r="S35" s="310">
        <f>'Baseline Consumption'!AH25</f>
        <v>3.4641651410198754E-3</v>
      </c>
      <c r="T35" s="310">
        <f>'Baseline Consumption'!AI25</f>
        <v>3.4668893150800414E-3</v>
      </c>
      <c r="U35" s="310">
        <f>'Baseline Consumption'!AJ25</f>
        <v>3.4699280825442802E-3</v>
      </c>
      <c r="V35" s="310">
        <f>'Baseline Consumption'!AK25</f>
        <v>3.4731347254052017E-3</v>
      </c>
      <c r="W35" s="310">
        <f>'Baseline Consumption'!AL25</f>
        <v>3.4764708101491545E-3</v>
      </c>
      <c r="X35" s="310">
        <f>'Baseline Consumption'!AM25</f>
        <v>3.4771181578228927E-3</v>
      </c>
      <c r="Y35" s="310">
        <f>'Baseline Consumption'!AN25</f>
        <v>3.4766154951589539E-3</v>
      </c>
      <c r="Z35" s="310">
        <f>'Baseline Consumption'!AO25</f>
        <v>3.4750121752726371E-3</v>
      </c>
      <c r="AA35" s="310">
        <f>'Baseline Consumption'!AP25</f>
        <v>3.4724420172171548E-3</v>
      </c>
      <c r="AB35" s="310">
        <f>'Baseline Consumption'!AQ25</f>
        <v>3.4690223823380622E-3</v>
      </c>
      <c r="AC35" s="310">
        <f>'Baseline Consumption'!AR25</f>
        <v>3.4647427609070082E-3</v>
      </c>
      <c r="AD35" s="310">
        <f>'Baseline Consumption'!AS25</f>
        <v>3.45968056372037E-3</v>
      </c>
      <c r="AE35" s="310">
        <f>'Baseline Consumption'!AT25</f>
        <v>3.4537901002250509E-3</v>
      </c>
      <c r="AF35" s="310">
        <f>'Baseline Consumption'!AU25</f>
        <v>3.4470934128259922E-3</v>
      </c>
      <c r="AG35" s="533">
        <f>((AF35-B35)/B35)/30</f>
        <v>4.2686860521672624E-4</v>
      </c>
    </row>
    <row r="36" spans="1:33" ht="12.9" customHeight="1">
      <c r="A36" s="377" t="s">
        <v>1261</v>
      </c>
      <c r="B36" s="310">
        <f>'Baseline Consumption'!Q26*B42*ramps!C76*(1+'Price Change'!B19*ramps!C62)</f>
        <v>0.1041802265447148</v>
      </c>
      <c r="C36" s="310">
        <f>'Baseline Consumption'!R26*C42*ramps!D76*(1+'Price Change'!C19*ramps!D62)</f>
        <v>0.10235893768939755</v>
      </c>
      <c r="D36" s="310">
        <f>'Baseline Consumption'!S26*D42*ramps!E76*(1+'Price Change'!D19*ramps!E62)</f>
        <v>0.10058447774863867</v>
      </c>
      <c r="E36" s="310">
        <f>'Baseline Consumption'!T26*E42*ramps!F76*(1+'Price Change'!E19*ramps!F62)</f>
        <v>9.8711756653348137E-2</v>
      </c>
      <c r="F36" s="310">
        <f>'Baseline Consumption'!U26*F42*ramps!G76*(1+'Price Change'!F19*ramps!G62)</f>
        <v>9.6992121778826268E-2</v>
      </c>
      <c r="G36" s="310">
        <f>'Baseline Consumption'!V26*G42*ramps!H76*(1+'Price Change'!G19*ramps!H62)</f>
        <v>9.5632037464223926E-2</v>
      </c>
      <c r="H36" s="310">
        <f>'Baseline Consumption'!W26*H42*ramps!I76*(1+'Price Change'!H19*ramps!I62)</f>
        <v>9.4246211272814795E-2</v>
      </c>
      <c r="I36" s="310">
        <f>'Baseline Consumption'!X26*I42*ramps!J76*(1+'Price Change'!I19*ramps!J62)</f>
        <v>9.3219965016844014E-2</v>
      </c>
      <c r="J36" s="310">
        <f>'Baseline Consumption'!Y26*J42*ramps!K76*(1+'Price Change'!J19*ramps!K62)</f>
        <v>9.2725652383039564E-2</v>
      </c>
      <c r="K36" s="310">
        <f>'Baseline Consumption'!Z26*K42*ramps!L76*(1+'Price Change'!K19*ramps!L62)</f>
        <v>9.2486271952107471E-2</v>
      </c>
      <c r="L36" s="310">
        <f>'Baseline Consumption'!AA26*L42*ramps!M76*(1+'Price Change'!L19*ramps!M62)</f>
        <v>9.3149621014837786E-2</v>
      </c>
      <c r="M36" s="310">
        <f>'Baseline Consumption'!AB26*M42*ramps!N76*(1+'Price Change'!M19*ramps!N62)</f>
        <v>9.4086246758939035E-2</v>
      </c>
      <c r="N36" s="310">
        <f>'Baseline Consumption'!AC26*N42*ramps!O76*(1+'Price Change'!N19*ramps!O62)</f>
        <v>9.506608630662719E-2</v>
      </c>
      <c r="O36" s="310">
        <f>'Baseline Consumption'!AD26*O42*ramps!P76*(1+'Price Change'!O19*ramps!P62)</f>
        <v>9.611051450550348E-2</v>
      </c>
      <c r="P36" s="310">
        <f>'Baseline Consumption'!AE26*P42*ramps!Q76*(1+'Price Change'!P19*ramps!Q62)</f>
        <v>9.7160252990197496E-2</v>
      </c>
      <c r="Q36" s="310">
        <f>'Baseline Consumption'!AF26*Q42*ramps!R76*(1+'Price Change'!Q19*ramps!R62)</f>
        <v>9.8363615960459908E-2</v>
      </c>
      <c r="R36" s="310">
        <f>'Baseline Consumption'!AG26*R42*ramps!S76*(1+'Price Change'!R19*ramps!S62)</f>
        <v>9.9313436950300427E-2</v>
      </c>
      <c r="S36" s="310">
        <f>'Baseline Consumption'!AH26*S42*ramps!T76*(1+'Price Change'!S19*ramps!T62)</f>
        <v>0.10035660719102046</v>
      </c>
      <c r="T36" s="310">
        <f>'Baseline Consumption'!AI26*T42*ramps!U76*(1+'Price Change'!T19*ramps!U62)</f>
        <v>0.10139421755563018</v>
      </c>
      <c r="U36" s="310">
        <f>'Baseline Consumption'!AJ26*U42*ramps!V76*(1+'Price Change'!U19*ramps!V62)</f>
        <v>0.10242518574588155</v>
      </c>
      <c r="V36" s="310">
        <f>'Baseline Consumption'!AK26*V42*ramps!W76*(1+'Price Change'!V19*ramps!W62)</f>
        <v>0.10344751391001288</v>
      </c>
      <c r="W36" s="310">
        <f>'Baseline Consumption'!AL26*W42*ramps!X76*(1+'Price Change'!W19*ramps!X62)</f>
        <v>0.10446844919453996</v>
      </c>
      <c r="X36" s="310">
        <f>'Baseline Consumption'!AM26*X42*ramps!Y76*(1+'Price Change'!X19*ramps!Y62)</f>
        <v>0.10548117499282739</v>
      </c>
      <c r="Y36" s="310">
        <f>'Baseline Consumption'!AN26*Y42*ramps!Z76*(1+'Price Change'!Y19*ramps!Z62)</f>
        <v>0.10648571880585676</v>
      </c>
      <c r="Z36" s="310">
        <f>'Baseline Consumption'!AO26*Z42*ramps!AA76*(1+'Price Change'!Z19*ramps!AA62)</f>
        <v>0.10748361705644137</v>
      </c>
      <c r="AA36" s="310">
        <f>'Baseline Consumption'!AP26*AA42*ramps!AB76*(1+'Price Change'!AA19*ramps!AB62)</f>
        <v>0.10847458202870673</v>
      </c>
      <c r="AB36" s="310">
        <f>'Baseline Consumption'!AQ26*AB42*ramps!AC76*(1+'Price Change'!AB19*ramps!AC62)</f>
        <v>0.10942250302504157</v>
      </c>
      <c r="AC36" s="310">
        <f>'Baseline Consumption'!AR26*AC42*ramps!AD76*(1+'Price Change'!AC19*ramps!AD62)</f>
        <v>0.11036200392992893</v>
      </c>
      <c r="AD36" s="310">
        <f>'Baseline Consumption'!AS26*AD42*ramps!AE76*(1+'Price Change'!AD19*ramps!AE62)</f>
        <v>0.11129300723453837</v>
      </c>
      <c r="AE36" s="310">
        <f>'Baseline Consumption'!AT26*AE42*ramps!AF76*(1+'Price Change'!AE19*ramps!AF62)</f>
        <v>0.11221765251501223</v>
      </c>
      <c r="AF36" s="310">
        <f>'Baseline Consumption'!AU26*AF42*ramps!AG76*(1+'Price Change'!AF19*ramps!AG62)</f>
        <v>0.11313778336067336</v>
      </c>
      <c r="AG36" s="533">
        <f>((AF36-B36)/B36)/30</f>
        <v>2.8660450941759463E-3</v>
      </c>
    </row>
    <row r="37" spans="1:33" s="4" customFormat="1" ht="12.9" customHeight="1">
      <c r="A37" s="71" t="s">
        <v>1245</v>
      </c>
      <c r="B37" s="310">
        <f t="shared" ref="B37:V37" si="8">SUM(B28:B36)</f>
        <v>0.17935853731095197</v>
      </c>
      <c r="C37" s="310">
        <f t="shared" si="8"/>
        <v>0.17765209464020046</v>
      </c>
      <c r="D37" s="310">
        <f t="shared" si="8"/>
        <v>0.17579159464068281</v>
      </c>
      <c r="E37" s="310">
        <f t="shared" si="8"/>
        <v>0.17362038547233594</v>
      </c>
      <c r="F37" s="310">
        <f t="shared" si="8"/>
        <v>0.17300001174997426</v>
      </c>
      <c r="G37" s="310">
        <f t="shared" si="8"/>
        <v>0.17207301668183683</v>
      </c>
      <c r="H37" s="310">
        <f t="shared" si="8"/>
        <v>0.17063469295653483</v>
      </c>
      <c r="I37" s="310">
        <f t="shared" si="8"/>
        <v>0.16934575094081572</v>
      </c>
      <c r="J37" s="310">
        <f t="shared" si="8"/>
        <v>0.1686243574162839</v>
      </c>
      <c r="K37" s="310">
        <f t="shared" si="8"/>
        <v>0.16764596044141789</v>
      </c>
      <c r="L37" s="310">
        <f t="shared" si="8"/>
        <v>0.16737532330722618</v>
      </c>
      <c r="M37" s="310">
        <f t="shared" si="8"/>
        <v>0.16773411992975368</v>
      </c>
      <c r="N37" s="310">
        <f t="shared" si="8"/>
        <v>0.16834492122432346</v>
      </c>
      <c r="O37" s="310">
        <f t="shared" si="8"/>
        <v>0.16902101728504126</v>
      </c>
      <c r="P37" s="310">
        <f t="shared" si="8"/>
        <v>0.17001677853994296</v>
      </c>
      <c r="Q37" s="310">
        <f t="shared" si="8"/>
        <v>0.17135242157048375</v>
      </c>
      <c r="R37" s="310">
        <f t="shared" si="8"/>
        <v>0.17253474449757317</v>
      </c>
      <c r="S37" s="310">
        <f t="shared" si="8"/>
        <v>0.17384488874305679</v>
      </c>
      <c r="T37" s="310">
        <f t="shared" si="8"/>
        <v>0.17513426833289084</v>
      </c>
      <c r="U37" s="310">
        <f t="shared" si="8"/>
        <v>0.17641013905178349</v>
      </c>
      <c r="V37" s="418">
        <f t="shared" si="8"/>
        <v>0.17795624519670211</v>
      </c>
      <c r="W37" s="418">
        <f t="shared" ref="W37:AF37" si="9">SUM(W28:W36)</f>
        <v>0.17965604737896482</v>
      </c>
      <c r="X37" s="418">
        <f t="shared" si="9"/>
        <v>0.18132602556718463</v>
      </c>
      <c r="Y37" s="418">
        <f t="shared" si="9"/>
        <v>0.18296610089879814</v>
      </c>
      <c r="Z37" s="418">
        <f t="shared" si="9"/>
        <v>0.18457499172177205</v>
      </c>
      <c r="AA37" s="418">
        <f t="shared" si="9"/>
        <v>0.18618369448129585</v>
      </c>
      <c r="AB37" s="418">
        <f t="shared" si="9"/>
        <v>0.18777629944544147</v>
      </c>
      <c r="AC37" s="418">
        <f t="shared" si="9"/>
        <v>0.18931006957727908</v>
      </c>
      <c r="AD37" s="418">
        <f t="shared" si="9"/>
        <v>0.19076766772237469</v>
      </c>
      <c r="AE37" s="418">
        <f t="shared" si="9"/>
        <v>0.19213722715212897</v>
      </c>
      <c r="AF37" s="418">
        <f t="shared" si="9"/>
        <v>0.19341619285608044</v>
      </c>
      <c r="AG37" s="533">
        <f>((AF37-B37)/B37)/30</f>
        <v>2.6125799485003727E-3</v>
      </c>
    </row>
    <row r="38" spans="1:33" s="4" customFormat="1" ht="12.9" customHeight="1">
      <c r="A38" s="71"/>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310"/>
      <c r="AF38" s="310"/>
    </row>
    <row r="39" spans="1:33" s="4" customFormat="1" ht="12.9" customHeight="1">
      <c r="A39" s="84" t="s">
        <v>1357</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row>
    <row r="40" spans="1:33" s="4" customFormat="1" ht="12.9" customHeight="1">
      <c r="A40" s="71" t="s">
        <v>1424</v>
      </c>
      <c r="B40" s="308">
        <f>('Baseline Price'!Q19/'Baseline Price'!Q18)/('Adjusted price'!B19/'Adjusted price'!B18)-1</f>
        <v>4.150449777521259E-2</v>
      </c>
      <c r="C40" s="308">
        <f>('Baseline Price'!R19/'Baseline Price'!R18)/('Adjusted price'!C19/'Adjusted price'!C18)-1</f>
        <v>5.7729133012230927E-2</v>
      </c>
      <c r="D40" s="308">
        <f>('Baseline Price'!S19/'Baseline Price'!S18)/('Adjusted price'!D19/'Adjusted price'!D18)-1</f>
        <v>8.0747031879470299E-2</v>
      </c>
      <c r="E40" s="308">
        <f>('Baseline Price'!T19/'Baseline Price'!T18)/('Adjusted price'!E19/'Adjusted price'!E18)-1</f>
        <v>9.4495350008009682E-2</v>
      </c>
      <c r="F40" s="308">
        <f>('Baseline Price'!U19/'Baseline Price'!U18)/('Adjusted price'!F19/'Adjusted price'!F18)-1</f>
        <v>0.11544347362784269</v>
      </c>
      <c r="G40" s="308">
        <f>('Baseline Price'!V19/'Baseline Price'!V18)/('Adjusted price'!G19/'Adjusted price'!G18)-1</f>
        <v>0.14224315383407049</v>
      </c>
      <c r="H40" s="308">
        <f>('Baseline Price'!W19/'Baseline Price'!W18)/('Adjusted price'!H19/'Adjusted price'!H18)-1</f>
        <v>0.16208865615575596</v>
      </c>
      <c r="I40" s="308">
        <f>('Baseline Price'!X19/'Baseline Price'!X18)/('Adjusted price'!I19/'Adjusted price'!I18)-1</f>
        <v>0.17661371899611433</v>
      </c>
      <c r="J40" s="308">
        <f>('Baseline Price'!Y19/'Baseline Price'!Y18)/('Adjusted price'!J19/'Adjusted price'!J18)-1</f>
        <v>0.18983158857619853</v>
      </c>
      <c r="K40" s="308">
        <f>('Baseline Price'!Z19/'Baseline Price'!Z18)/('Adjusted price'!K19/'Adjusted price'!K18)-1</f>
        <v>0.16390750462362536</v>
      </c>
      <c r="L40" s="308">
        <f>('Baseline Price'!AA19/'Baseline Price'!AA18)/('Adjusted price'!L19/'Adjusted price'!L18)-1</f>
        <v>0.17543120543461921</v>
      </c>
      <c r="M40" s="308">
        <f>('Baseline Price'!AB19/'Baseline Price'!AB18)/('Adjusted price'!M19/'Adjusted price'!M18)-1</f>
        <v>0.18261086517773073</v>
      </c>
      <c r="N40" s="308">
        <f>('Baseline Price'!AC19/'Baseline Price'!AC18)/('Adjusted price'!N19/'Adjusted price'!N18)-1</f>
        <v>0.19285220206544507</v>
      </c>
      <c r="O40" s="308">
        <f>('Baseline Price'!AD19/'Baseline Price'!AD18)/('Adjusted price'!O19/'Adjusted price'!O18)-1</f>
        <v>0.20358596293897868</v>
      </c>
      <c r="P40" s="308">
        <f>('Baseline Price'!AE19/'Baseline Price'!AE18)/('Adjusted price'!P19/'Adjusted price'!P18)-1</f>
        <v>0.20719619404110956</v>
      </c>
      <c r="Q40" s="308">
        <f>('Baseline Price'!AF19/'Baseline Price'!AF18)/('Adjusted price'!Q19/'Adjusted price'!Q18)-1</f>
        <v>0.20704998092355664</v>
      </c>
      <c r="R40" s="308">
        <f>('Baseline Price'!AG19/'Baseline Price'!AG18)/('Adjusted price'!R19/'Adjusted price'!R18)-1</f>
        <v>0.20689868645117748</v>
      </c>
      <c r="S40" s="308">
        <f>('Baseline Price'!AH19/'Baseline Price'!AH18)/('Adjusted price'!S19/'Adjusted price'!S18)-1</f>
        <v>0.20684891937670624</v>
      </c>
      <c r="T40" s="308">
        <f>('Baseline Price'!AI19/'Baseline Price'!AI18)/('Adjusted price'!T19/'Adjusted price'!T18)-1</f>
        <v>0.2071775347481446</v>
      </c>
      <c r="U40" s="308">
        <f>('Baseline Price'!AJ19/'Baseline Price'!AJ18)/('Adjusted price'!U19/'Adjusted price'!U18)-1</f>
        <v>0.20739676606743873</v>
      </c>
      <c r="V40" s="308">
        <f>('Baseline Price'!AK19/'Baseline Price'!AK18)/('Adjusted price'!V19/'Adjusted price'!V18)-1</f>
        <v>0.20710993390217913</v>
      </c>
      <c r="W40" s="308">
        <f>('Baseline Price'!AL19/'Baseline Price'!AL18)/('Adjusted price'!W19/'Adjusted price'!W18)-1</f>
        <v>0.20752717565110879</v>
      </c>
      <c r="X40" s="308">
        <f>('Baseline Price'!AM19/'Baseline Price'!AM18)/('Adjusted price'!X19/'Adjusted price'!X18)-1</f>
        <v>0.20753928154393853</v>
      </c>
      <c r="Y40" s="308">
        <f>('Baseline Price'!AN19/'Baseline Price'!AN18)/('Adjusted price'!Y19/'Adjusted price'!Y18)-1</f>
        <v>0.20718441272870858</v>
      </c>
      <c r="Z40" s="308">
        <f>('Baseline Price'!AO19/'Baseline Price'!AO18)/('Adjusted price'!Z19/'Adjusted price'!Z18)-1</f>
        <v>0.20665438755496468</v>
      </c>
      <c r="AA40" s="308">
        <f>('Baseline Price'!AP19/'Baseline Price'!AP18)/('Adjusted price'!AA19/'Adjusted price'!AA18)-1</f>
        <v>0.20592356114325416</v>
      </c>
      <c r="AB40" s="308">
        <f>('Baseline Price'!AQ19/'Baseline Price'!AQ18)/('Adjusted price'!AB19/'Adjusted price'!AB18)-1</f>
        <v>0.20468903755470458</v>
      </c>
      <c r="AC40" s="308">
        <f>('Baseline Price'!AR19/'Baseline Price'!AR18)/('Adjusted price'!AC19/'Adjusted price'!AC18)-1</f>
        <v>0.20314314678737166</v>
      </c>
      <c r="AD40" s="308">
        <f>('Baseline Price'!AS19/'Baseline Price'!AS18)/('Adjusted price'!AD19/'Adjusted price'!AD18)-1</f>
        <v>0.20129019917942692</v>
      </c>
      <c r="AE40" s="308">
        <f>('Baseline Price'!AT19/'Baseline Price'!AT18)/('Adjusted price'!AE19/'Adjusted price'!AE18)-1</f>
        <v>0.19951450937271042</v>
      </c>
      <c r="AF40" s="308">
        <f>('Baseline Price'!AU19/'Baseline Price'!AU18)/('Adjusted price'!AF19/'Adjusted price'!AF18)-1</f>
        <v>0.19814180040765006</v>
      </c>
    </row>
    <row r="41" spans="1:33" s="4" customFormat="1" ht="12.9" customHeight="1">
      <c r="A41" s="71" t="s">
        <v>1358</v>
      </c>
      <c r="B41" s="308">
        <f>B40*ramps!C67</f>
        <v>2.07522488876063E-4</v>
      </c>
      <c r="C41" s="308">
        <f>C40*ramps!D67</f>
        <v>5.7729133012230933E-4</v>
      </c>
      <c r="D41" s="308">
        <f>D40*ramps!E67</f>
        <v>1.2112054781920545E-3</v>
      </c>
      <c r="E41" s="308">
        <f>E40*ramps!F67</f>
        <v>1.889907000160194E-3</v>
      </c>
      <c r="F41" s="308">
        <f>F40*ramps!G67</f>
        <v>2.8860868406960674E-3</v>
      </c>
      <c r="G41" s="308">
        <f>G40*ramps!H67</f>
        <v>4.2672946150221144E-3</v>
      </c>
      <c r="H41" s="308">
        <f>H40*ramps!I67</f>
        <v>5.6731029654514577E-3</v>
      </c>
      <c r="I41" s="308">
        <f>I40*ramps!J67</f>
        <v>7.0645487598445748E-3</v>
      </c>
      <c r="J41" s="308">
        <f>J40*ramps!K67</f>
        <v>8.5424214859289339E-3</v>
      </c>
      <c r="K41" s="308">
        <f>K40*ramps!L67</f>
        <v>8.1953752311812681E-3</v>
      </c>
      <c r="L41" s="308">
        <f>L40*ramps!M67</f>
        <v>8.7715602717309601E-3</v>
      </c>
      <c r="M41" s="308">
        <f>M40*ramps!N67</f>
        <v>9.1305432588865369E-3</v>
      </c>
      <c r="N41" s="308">
        <f>N40*ramps!O67</f>
        <v>9.6426101032722547E-3</v>
      </c>
      <c r="O41" s="308">
        <f>O40*ramps!P67</f>
        <v>1.0179298146948935E-2</v>
      </c>
      <c r="P41" s="308">
        <f>P40*ramps!Q67</f>
        <v>1.0359809702055479E-2</v>
      </c>
      <c r="Q41" s="308">
        <f>Q40*ramps!R67</f>
        <v>1.0352499046177834E-2</v>
      </c>
      <c r="R41" s="308">
        <f>R40*ramps!S67</f>
        <v>1.0344934322558876E-2</v>
      </c>
      <c r="S41" s="308">
        <f>S40*ramps!T67</f>
        <v>1.0342445968835313E-2</v>
      </c>
      <c r="T41" s="308">
        <f>T40*ramps!U67</f>
        <v>1.035887673740723E-2</v>
      </c>
      <c r="U41" s="308">
        <f>U40*ramps!V67</f>
        <v>1.0369838303371938E-2</v>
      </c>
      <c r="V41" s="308">
        <f>V40*ramps!W67</f>
        <v>1.0355496695108957E-2</v>
      </c>
      <c r="W41" s="308">
        <f>W40*ramps!X67</f>
        <v>1.0376358782555439E-2</v>
      </c>
      <c r="X41" s="308">
        <f>X40*ramps!Y67</f>
        <v>1.0376964077196927E-2</v>
      </c>
      <c r="Y41" s="308">
        <f>Y40*ramps!Z67</f>
        <v>1.0359220636435429E-2</v>
      </c>
      <c r="Z41" s="308">
        <f>Z40*ramps!AA67</f>
        <v>1.0332719377748234E-2</v>
      </c>
      <c r="AA41" s="308">
        <f>AA40*ramps!AB67</f>
        <v>1.0296178057162708E-2</v>
      </c>
      <c r="AB41" s="308">
        <f>AB40*ramps!AC67</f>
        <v>1.023445187773523E-2</v>
      </c>
      <c r="AC41" s="308">
        <f>AC40*ramps!AD67</f>
        <v>1.0157157339368584E-2</v>
      </c>
      <c r="AD41" s="308">
        <f>AD40*ramps!AE67</f>
        <v>1.0064509958971346E-2</v>
      </c>
      <c r="AE41" s="308">
        <f>AE40*ramps!AF67</f>
        <v>9.9757254686355223E-3</v>
      </c>
      <c r="AF41" s="308">
        <f>AF40*ramps!AG67</f>
        <v>9.9070900203825033E-3</v>
      </c>
    </row>
    <row r="42" spans="1:33" s="4" customFormat="1" ht="12.9" customHeight="1">
      <c r="A42" s="71" t="s">
        <v>1365</v>
      </c>
      <c r="B42" s="310">
        <f>1+B41</f>
        <v>1.000207522488876</v>
      </c>
      <c r="C42" s="310">
        <f t="shared" ref="C42:AF42" si="10">1+C41</f>
        <v>1.0005772913301223</v>
      </c>
      <c r="D42" s="310">
        <f t="shared" si="10"/>
        <v>1.0012112054781921</v>
      </c>
      <c r="E42" s="310">
        <f t="shared" si="10"/>
        <v>1.0018899070001601</v>
      </c>
      <c r="F42" s="310">
        <f t="shared" si="10"/>
        <v>1.0028860868406961</v>
      </c>
      <c r="G42" s="310">
        <f t="shared" si="10"/>
        <v>1.0042672946150222</v>
      </c>
      <c r="H42" s="310">
        <f t="shared" si="10"/>
        <v>1.0056731029654515</v>
      </c>
      <c r="I42" s="310">
        <f t="shared" si="10"/>
        <v>1.0070645487598446</v>
      </c>
      <c r="J42" s="310">
        <f t="shared" si="10"/>
        <v>1.0085424214859289</v>
      </c>
      <c r="K42" s="310">
        <f t="shared" si="10"/>
        <v>1.0081953752311812</v>
      </c>
      <c r="L42" s="310">
        <f t="shared" si="10"/>
        <v>1.0087715602717309</v>
      </c>
      <c r="M42" s="310">
        <f t="shared" si="10"/>
        <v>1.0091305432588866</v>
      </c>
      <c r="N42" s="310">
        <f t="shared" si="10"/>
        <v>1.0096426101032723</v>
      </c>
      <c r="O42" s="310">
        <f t="shared" si="10"/>
        <v>1.0101792981469488</v>
      </c>
      <c r="P42" s="310">
        <f t="shared" si="10"/>
        <v>1.0103598097020554</v>
      </c>
      <c r="Q42" s="310">
        <f t="shared" si="10"/>
        <v>1.0103524990461779</v>
      </c>
      <c r="R42" s="310">
        <f t="shared" si="10"/>
        <v>1.0103449343225588</v>
      </c>
      <c r="S42" s="310">
        <f t="shared" si="10"/>
        <v>1.0103424459688353</v>
      </c>
      <c r="T42" s="310">
        <f t="shared" si="10"/>
        <v>1.0103588767374072</v>
      </c>
      <c r="U42" s="310">
        <f t="shared" si="10"/>
        <v>1.0103698383033719</v>
      </c>
      <c r="V42" s="310">
        <f t="shared" si="10"/>
        <v>1.0103554966951089</v>
      </c>
      <c r="W42" s="310">
        <f t="shared" si="10"/>
        <v>1.0103763587825554</v>
      </c>
      <c r="X42" s="310">
        <f t="shared" si="10"/>
        <v>1.0103769640771969</v>
      </c>
      <c r="Y42" s="310">
        <f t="shared" si="10"/>
        <v>1.0103592206364354</v>
      </c>
      <c r="Z42" s="310">
        <f t="shared" si="10"/>
        <v>1.0103327193777483</v>
      </c>
      <c r="AA42" s="310">
        <f t="shared" si="10"/>
        <v>1.0102961780571627</v>
      </c>
      <c r="AB42" s="310">
        <f t="shared" si="10"/>
        <v>1.0102344518777353</v>
      </c>
      <c r="AC42" s="310">
        <f t="shared" si="10"/>
        <v>1.0101571573393686</v>
      </c>
      <c r="AD42" s="310">
        <f t="shared" si="10"/>
        <v>1.0100645099589713</v>
      </c>
      <c r="AE42" s="310">
        <f t="shared" si="10"/>
        <v>1.0099757254686355</v>
      </c>
      <c r="AF42" s="310">
        <f t="shared" si="10"/>
        <v>1.0099070900203826</v>
      </c>
    </row>
    <row r="43" spans="1:33" s="408" customFormat="1" ht="12.9" customHeight="1">
      <c r="A43" s="385" t="s">
        <v>1368</v>
      </c>
      <c r="B43" s="310">
        <f>B41*'Baseline Consumption'!Q26</f>
        <v>2.162685483497018E-5</v>
      </c>
      <c r="C43" s="310">
        <f>C41*'Baseline Consumption'!R26</f>
        <v>5.9273396732398954E-5</v>
      </c>
      <c r="D43" s="310">
        <f>D41*'Baseline Consumption'!S26</f>
        <v>1.2243633362734211E-4</v>
      </c>
      <c r="E43" s="310">
        <f>E41*'Baseline Consumption'!T26</f>
        <v>1.8795029064469536E-4</v>
      </c>
      <c r="F43" s="310">
        <f>F41*'Baseline Consumption'!U26</f>
        <v>2.8234699359901236E-4</v>
      </c>
      <c r="G43" s="310">
        <f>G41*'Baseline Consumption'!V26</f>
        <v>4.1131117639125016E-4</v>
      </c>
      <c r="H43" s="310">
        <f>H41*'Baseline Consumption'!W26</f>
        <v>5.3895376183068328E-4</v>
      </c>
      <c r="I43" s="310">
        <f>I41*'Baseline Consumption'!X26</f>
        <v>6.6470258112938591E-4</v>
      </c>
      <c r="J43" s="310">
        <f>J41*'Baseline Consumption'!Y26</f>
        <v>8.006218202922476E-4</v>
      </c>
      <c r="K43" s="310">
        <f>K41*'Baseline Consumption'!Z26</f>
        <v>7.6976886387947348E-4</v>
      </c>
      <c r="L43" s="310">
        <f>L41*'Baseline Consumption'!AA26</f>
        <v>8.3190788222226551E-4</v>
      </c>
      <c r="M43" s="310">
        <f>M41*'Baseline Consumption'!AB26</f>
        <v>8.7713740148456006E-4</v>
      </c>
      <c r="N43" s="310">
        <f>N41*'Baseline Consumption'!AC26</f>
        <v>9.3848010982059435E-4</v>
      </c>
      <c r="O43" s="310">
        <f>O41*'Baseline Consumption'!AD26</f>
        <v>1.0041702293003957E-3</v>
      </c>
      <c r="P43" s="310">
        <f>P41*'Baseline Consumption'!AE26</f>
        <v>1.0357414149712494E-3</v>
      </c>
      <c r="Q43" s="310">
        <f>Q41*'Baseline Consumption'!AF26</f>
        <v>1.0502239713252232E-3</v>
      </c>
      <c r="R43" s="310">
        <f>R41*'Baseline Consumption'!AG26</f>
        <v>1.0619983779724678E-3</v>
      </c>
      <c r="S43" s="310">
        <f>S41*'Baseline Consumption'!AH26</f>
        <v>1.0753589981539933E-3</v>
      </c>
      <c r="T43" s="310">
        <f>T41*'Baseline Consumption'!AI26</f>
        <v>1.0907050954052212E-3</v>
      </c>
      <c r="U43" s="310">
        <f>U41*'Baseline Consumption'!AJ26</f>
        <v>1.1055113929494622E-3</v>
      </c>
      <c r="V43" s="310">
        <f>V41*'Baseline Consumption'!AK26</f>
        <v>1.1176157108332885E-3</v>
      </c>
      <c r="W43" s="310">
        <f>W41*'Baseline Consumption'!AL26</f>
        <v>1.1335279676222706E-3</v>
      </c>
      <c r="X43" s="310">
        <f>X41*'Baseline Consumption'!AM26</f>
        <v>1.1472556063010983E-3</v>
      </c>
      <c r="Y43" s="310">
        <f>Y41*'Baseline Consumption'!AN26</f>
        <v>1.1589320841154218E-3</v>
      </c>
      <c r="Z43" s="310">
        <f>Z41*'Baseline Consumption'!AO26</f>
        <v>1.1695705367092825E-3</v>
      </c>
      <c r="AA43" s="310">
        <f>AA41*'Baseline Consumption'!AP26</f>
        <v>1.1789895479233669E-3</v>
      </c>
      <c r="AB43" s="310">
        <f>AB41*'Baseline Consumption'!AQ26</f>
        <v>1.1853953326050163E-3</v>
      </c>
      <c r="AC43" s="310">
        <f>AC41*'Baseline Consumption'!AR26</f>
        <v>1.1898149033894051E-3</v>
      </c>
      <c r="AD43" s="310">
        <f>AD41*'Baseline Consumption'!AS26</f>
        <v>1.1922123014528982E-3</v>
      </c>
      <c r="AE43" s="310">
        <f>AE41*'Baseline Consumption'!AT26</f>
        <v>1.1948284268389377E-3</v>
      </c>
      <c r="AF43" s="310">
        <f>AF41*'Baseline Consumption'!AU26</f>
        <v>1.1996506282550853E-3</v>
      </c>
      <c r="AG43" s="273"/>
    </row>
    <row r="44" spans="1:33" s="408" customFormat="1" ht="12.9" customHeight="1">
      <c r="A44" s="385" t="s">
        <v>1369</v>
      </c>
      <c r="B44" s="310">
        <f>B43*B22</f>
        <v>8.6507419339880721E-5</v>
      </c>
      <c r="C44" s="310">
        <f t="shared" ref="C44:AF44" si="11">C43*C22</f>
        <v>2.3710899416093837E-4</v>
      </c>
      <c r="D44" s="310">
        <f t="shared" si="11"/>
        <v>4.8984081718503379E-4</v>
      </c>
      <c r="E44" s="310">
        <f t="shared" si="11"/>
        <v>7.5209433937560544E-4</v>
      </c>
      <c r="F44" s="310">
        <f t="shared" si="11"/>
        <v>1.1301221077544921E-3</v>
      </c>
      <c r="G44" s="310">
        <f t="shared" si="11"/>
        <v>1.64684914793711E-3</v>
      </c>
      <c r="H44" s="310">
        <f t="shared" si="11"/>
        <v>2.1587589119522531E-3</v>
      </c>
      <c r="I44" s="310">
        <f t="shared" si="11"/>
        <v>2.6636523963737605E-3</v>
      </c>
      <c r="J44" s="310">
        <f t="shared" si="11"/>
        <v>3.2099877546582826E-3</v>
      </c>
      <c r="K44" s="310">
        <f t="shared" si="11"/>
        <v>3.0880923847780056E-3</v>
      </c>
      <c r="L44" s="310">
        <f t="shared" si="11"/>
        <v>3.339545729795731E-3</v>
      </c>
      <c r="M44" s="310">
        <f t="shared" si="11"/>
        <v>3.5236293466492032E-3</v>
      </c>
      <c r="N44" s="310">
        <f t="shared" si="11"/>
        <v>3.7729957421868596E-3</v>
      </c>
      <c r="O44" s="310">
        <f t="shared" si="11"/>
        <v>4.0405032401122252E-3</v>
      </c>
      <c r="P44" s="310">
        <f t="shared" si="11"/>
        <v>4.1713300710591638E-3</v>
      </c>
      <c r="Q44" s="310">
        <f t="shared" si="11"/>
        <v>4.2337816708633872E-3</v>
      </c>
      <c r="R44" s="310">
        <f t="shared" si="11"/>
        <v>4.2857015460494819E-3</v>
      </c>
      <c r="S44" s="310">
        <f t="shared" si="11"/>
        <v>4.3444149909510404E-3</v>
      </c>
      <c r="T44" s="310">
        <f t="shared" si="11"/>
        <v>4.4115697815187887E-3</v>
      </c>
      <c r="U44" s="310">
        <f t="shared" si="11"/>
        <v>4.4769808426727122E-3</v>
      </c>
      <c r="V44" s="310">
        <f t="shared" si="11"/>
        <v>4.5318855658979763E-3</v>
      </c>
      <c r="W44" s="310">
        <f t="shared" si="11"/>
        <v>4.6026857183354896E-3</v>
      </c>
      <c r="X44" s="310">
        <f t="shared" si="11"/>
        <v>4.6650911710238389E-3</v>
      </c>
      <c r="Y44" s="310">
        <f t="shared" si="11"/>
        <v>4.7196198611193872E-3</v>
      </c>
      <c r="Z44" s="310">
        <f t="shared" si="11"/>
        <v>4.7703776454323032E-3</v>
      </c>
      <c r="AA44" s="310">
        <f t="shared" si="11"/>
        <v>4.8166138060673847E-3</v>
      </c>
      <c r="AB44" s="310">
        <f t="shared" si="11"/>
        <v>4.8509727442992562E-3</v>
      </c>
      <c r="AC44" s="310">
        <f t="shared" si="11"/>
        <v>4.8776091606652534E-3</v>
      </c>
      <c r="AD44" s="310">
        <f t="shared" si="11"/>
        <v>4.8963379378889945E-3</v>
      </c>
      <c r="AE44" s="310">
        <f t="shared" si="11"/>
        <v>4.9163381498547841E-3</v>
      </c>
      <c r="AF44" s="310">
        <f t="shared" si="11"/>
        <v>4.9458121899142934E-3</v>
      </c>
      <c r="AG44" s="273"/>
    </row>
    <row r="45" spans="1:33" ht="12.9" customHeight="1">
      <c r="A45" s="280"/>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row>
    <row r="46" spans="1:33" ht="12.9" customHeight="1">
      <c r="A46" s="250" t="s">
        <v>78</v>
      </c>
      <c r="B46" s="415"/>
      <c r="C46" s="415"/>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6"/>
    </row>
    <row r="47" spans="1:33" s="377" customFormat="1" ht="12.9" customHeight="1">
      <c r="A47" s="253" t="s">
        <v>6</v>
      </c>
      <c r="B47" s="417">
        <v>2020</v>
      </c>
      <c r="C47" s="417">
        <v>2021</v>
      </c>
      <c r="D47" s="417">
        <v>2022</v>
      </c>
      <c r="E47" s="417">
        <v>2023</v>
      </c>
      <c r="F47" s="417">
        <v>2024</v>
      </c>
      <c r="G47" s="417">
        <v>2025</v>
      </c>
      <c r="H47" s="417">
        <v>2026</v>
      </c>
      <c r="I47" s="417">
        <v>2027</v>
      </c>
      <c r="J47" s="417">
        <v>2028</v>
      </c>
      <c r="K47" s="417">
        <v>2029</v>
      </c>
      <c r="L47" s="417">
        <v>2030</v>
      </c>
      <c r="M47" s="417">
        <v>2031</v>
      </c>
      <c r="N47" s="417">
        <v>2032</v>
      </c>
      <c r="O47" s="417">
        <v>2033</v>
      </c>
      <c r="P47" s="417">
        <v>2034</v>
      </c>
      <c r="Q47" s="417">
        <v>2035</v>
      </c>
      <c r="R47" s="417">
        <v>2036</v>
      </c>
      <c r="S47" s="417">
        <v>2037</v>
      </c>
      <c r="T47" s="417">
        <v>2038</v>
      </c>
      <c r="U47" s="417">
        <v>2039</v>
      </c>
      <c r="V47" s="417">
        <v>2040</v>
      </c>
      <c r="W47" s="417">
        <v>2041</v>
      </c>
      <c r="X47" s="417">
        <v>2042</v>
      </c>
      <c r="Y47" s="417">
        <v>2043</v>
      </c>
      <c r="Z47" s="417">
        <v>2044</v>
      </c>
      <c r="AA47" s="417">
        <v>2045</v>
      </c>
      <c r="AB47" s="417">
        <v>2046</v>
      </c>
      <c r="AC47" s="417">
        <v>2047</v>
      </c>
      <c r="AD47" s="417">
        <v>2048</v>
      </c>
      <c r="AE47" s="417">
        <v>2049</v>
      </c>
      <c r="AF47" s="417">
        <v>2050</v>
      </c>
    </row>
    <row r="48" spans="1:33" ht="12.9" customHeight="1">
      <c r="A48" s="280" t="s">
        <v>1242</v>
      </c>
      <c r="B48" s="310">
        <f>'Baseline Consumption'!Q31*(1+'Price Change'!B23*ramps!C63)</f>
        <v>3.7309342575109613E-3</v>
      </c>
      <c r="C48" s="310">
        <f>'Baseline Consumption'!R31*(1+'Price Change'!C23*ramps!D63)</f>
        <v>3.7419795514950804E-3</v>
      </c>
      <c r="D48" s="310">
        <f>'Baseline Consumption'!S31*(1+'Price Change'!D23*ramps!E63)</f>
        <v>3.7560413748955303E-3</v>
      </c>
      <c r="E48" s="310">
        <f>'Baseline Consumption'!T31*(1+'Price Change'!E23*ramps!F63)</f>
        <v>3.7697735560002555E-3</v>
      </c>
      <c r="F48" s="310">
        <f>'Baseline Consumption'!U31*(1+'Price Change'!F23*ramps!G63)</f>
        <v>3.7713920729697862E-3</v>
      </c>
      <c r="G48" s="310">
        <f>'Baseline Consumption'!V31*(1+'Price Change'!G23*ramps!H63)</f>
        <v>3.7801333889108391E-3</v>
      </c>
      <c r="H48" s="310">
        <f>'Baseline Consumption'!W31*(1+'Price Change'!H23*ramps!I63)</f>
        <v>3.7796036623455199E-3</v>
      </c>
      <c r="I48" s="310">
        <f>'Baseline Consumption'!X31*(1+'Price Change'!I23*ramps!J63)</f>
        <v>3.7681647328638157E-3</v>
      </c>
      <c r="J48" s="310">
        <f>'Baseline Consumption'!Y31*(1+'Price Change'!J23*ramps!K63)</f>
        <v>3.7727254983687579E-3</v>
      </c>
      <c r="K48" s="310">
        <f>'Baseline Consumption'!Z31*(1+'Price Change'!K23*ramps!L63)</f>
        <v>3.7821347572090137E-3</v>
      </c>
      <c r="L48" s="310">
        <f>'Baseline Consumption'!AA31*(1+'Price Change'!L23*ramps!M63)</f>
        <v>3.7730416855049371E-3</v>
      </c>
      <c r="M48" s="310">
        <f>'Baseline Consumption'!AB31*(1+'Price Change'!M23*ramps!N63)</f>
        <v>3.7730546168609326E-3</v>
      </c>
      <c r="N48" s="310">
        <f>'Baseline Consumption'!AC31*(1+'Price Change'!N23*ramps!O63)</f>
        <v>3.7644299527634481E-3</v>
      </c>
      <c r="O48" s="310">
        <f>'Baseline Consumption'!AD31*(1+'Price Change'!O23*ramps!P63)</f>
        <v>3.7539504313056486E-3</v>
      </c>
      <c r="P48" s="310">
        <f>'Baseline Consumption'!AE31*(1+'Price Change'!P23*ramps!Q63)</f>
        <v>3.761125262582256E-3</v>
      </c>
      <c r="Q48" s="310">
        <f>'Baseline Consumption'!AF31*(1+'Price Change'!Q23*ramps!R63)</f>
        <v>3.7747382092475508E-3</v>
      </c>
      <c r="R48" s="310">
        <f>'Baseline Consumption'!AG31*(1+'Price Change'!R23*ramps!S63)</f>
        <v>3.7833328619898353E-3</v>
      </c>
      <c r="S48" s="310">
        <f>'Baseline Consumption'!AH31*(1+'Price Change'!S23*ramps!T63)</f>
        <v>3.7934949942186494E-3</v>
      </c>
      <c r="T48" s="310">
        <f>'Baseline Consumption'!AI31*(1+'Price Change'!T23*ramps!U63)</f>
        <v>3.8041507700664551E-3</v>
      </c>
      <c r="U48" s="310">
        <f>'Baseline Consumption'!AJ31*(1+'Price Change'!U23*ramps!V63)</f>
        <v>3.8091781069450777E-3</v>
      </c>
      <c r="V48" s="310">
        <f>'Baseline Consumption'!AK31*(1+'Price Change'!V23*ramps!W63)</f>
        <v>3.8422999842537392E-3</v>
      </c>
      <c r="W48" s="310">
        <f>'Baseline Consumption'!AL31*(1+'Price Change'!W23*ramps!X63)</f>
        <v>3.8770072709377892E-3</v>
      </c>
      <c r="X48" s="310">
        <f>'Baseline Consumption'!AM31*(1+'Price Change'!X23*ramps!Y63)</f>
        <v>3.9012233323758045E-3</v>
      </c>
      <c r="Y48" s="310">
        <f>'Baseline Consumption'!AN31*(1+'Price Change'!Y23*ramps!Z63)</f>
        <v>3.9306553266506734E-3</v>
      </c>
      <c r="Z48" s="310">
        <f>'Baseline Consumption'!AO31*(1+'Price Change'!Z23*ramps!AA63)</f>
        <v>3.9669184441560963E-3</v>
      </c>
      <c r="AA48" s="310">
        <f>'Baseline Consumption'!AP31*(1+'Price Change'!AA23*ramps!AB63)</f>
        <v>4.0022154077423815E-3</v>
      </c>
      <c r="AB48" s="310">
        <f>'Baseline Consumption'!AQ31*(1+'Price Change'!AB23*ramps!AC63)</f>
        <v>4.039775383620596E-3</v>
      </c>
      <c r="AC48" s="310">
        <f>'Baseline Consumption'!AR31*(1+'Price Change'!AC23*ramps!AD63)</f>
        <v>4.0765965658262271E-3</v>
      </c>
      <c r="AD48" s="310">
        <f>'Baseline Consumption'!AS31*(1+'Price Change'!AD23*ramps!AE63)</f>
        <v>4.1137809418068704E-3</v>
      </c>
      <c r="AE48" s="310">
        <f>'Baseline Consumption'!AT31*(1+'Price Change'!AE23*ramps!AF63)</f>
        <v>4.145363374444936E-3</v>
      </c>
      <c r="AF48" s="310">
        <f>'Baseline Consumption'!AU31*(1+'Price Change'!AF23*ramps!AG63)</f>
        <v>4.1760724915621298E-3</v>
      </c>
      <c r="AG48" s="533">
        <f>((AF48-B48)/B48)/30</f>
        <v>3.9770041793601224E-3</v>
      </c>
    </row>
    <row r="49" spans="1:33" ht="12.9" customHeight="1">
      <c r="A49" s="280" t="s">
        <v>0</v>
      </c>
      <c r="B49" s="310">
        <f>'Baseline Consumption'!Q32*(1+'Price Change'!B36*ramps!C51)</f>
        <v>5.3389198212024317E-3</v>
      </c>
      <c r="C49" s="310">
        <f>'Baseline Consumption'!R32*(1+'Price Change'!C36*ramps!D51)</f>
        <v>5.4454694381856975E-3</v>
      </c>
      <c r="D49" s="310">
        <f>'Baseline Consumption'!S32*(1+'Price Change'!D36*ramps!E51)</f>
        <v>5.526905253528328E-3</v>
      </c>
      <c r="E49" s="310">
        <f>'Baseline Consumption'!T32*(1+'Price Change'!E36*ramps!F51)</f>
        <v>5.5994703578790758E-3</v>
      </c>
      <c r="F49" s="310">
        <f>'Baseline Consumption'!U32*(1+'Price Change'!F36*ramps!G51)</f>
        <v>5.6612639983516762E-3</v>
      </c>
      <c r="G49" s="310">
        <f>'Baseline Consumption'!V32*(1+'Price Change'!G36*ramps!H51)</f>
        <v>5.6991765510097251E-3</v>
      </c>
      <c r="H49" s="310">
        <f>'Baseline Consumption'!W32*(1+'Price Change'!H36*ramps!I51)</f>
        <v>5.7182827928314852E-3</v>
      </c>
      <c r="I49" s="310">
        <f>'Baseline Consumption'!X32*(1+'Price Change'!I36*ramps!J51)</f>
        <v>5.7152524461571135E-3</v>
      </c>
      <c r="J49" s="310">
        <f>'Baseline Consumption'!Y32*(1+'Price Change'!J36*ramps!K51)</f>
        <v>5.7182141267846506E-3</v>
      </c>
      <c r="K49" s="310">
        <f>'Baseline Consumption'!Z32*(1+'Price Change'!K36*ramps!L51)</f>
        <v>5.7081523403210146E-3</v>
      </c>
      <c r="L49" s="310">
        <f>'Baseline Consumption'!AA32*(1+'Price Change'!L36*ramps!M51)</f>
        <v>5.7064364023192305E-3</v>
      </c>
      <c r="M49" s="310">
        <f>'Baseline Consumption'!AB32*(1+'Price Change'!M36*ramps!N51)</f>
        <v>5.7231639916209371E-3</v>
      </c>
      <c r="N49" s="310">
        <f>'Baseline Consumption'!AC32*(1+'Price Change'!N36*ramps!O51)</f>
        <v>5.7336248933996439E-3</v>
      </c>
      <c r="O49" s="310">
        <f>'Baseline Consumption'!AD32*(1+'Price Change'!O36*ramps!P51)</f>
        <v>5.7459326196305947E-3</v>
      </c>
      <c r="P49" s="310">
        <f>'Baseline Consumption'!AE32*(1+'Price Change'!P36*ramps!Q51)</f>
        <v>5.7771300737323086E-3</v>
      </c>
      <c r="Q49" s="310">
        <f>'Baseline Consumption'!AF32*(1+'Price Change'!Q36*ramps!R51)</f>
        <v>5.8162554641992678E-3</v>
      </c>
      <c r="R49" s="310">
        <f>'Baseline Consumption'!AG32*(1+'Price Change'!R36*ramps!S51)</f>
        <v>5.8565024736698997E-3</v>
      </c>
      <c r="S49" s="310">
        <f>'Baseline Consumption'!AH32*(1+'Price Change'!S36*ramps!T51)</f>
        <v>5.902286251476316E-3</v>
      </c>
      <c r="T49" s="310">
        <f>'Baseline Consumption'!AI32*(1+'Price Change'!T36*ramps!U51)</f>
        <v>5.9452487374611522E-3</v>
      </c>
      <c r="U49" s="310">
        <f>'Baseline Consumption'!AJ32*(1+'Price Change'!U36*ramps!V51)</f>
        <v>5.9852937415722837E-3</v>
      </c>
      <c r="V49" s="310">
        <f>'Baseline Consumption'!AK32*(1+'Price Change'!V36*ramps!W51)</f>
        <v>6.0299961678354176E-3</v>
      </c>
      <c r="W49" s="310">
        <f>'Baseline Consumption'!AL32*(1+'Price Change'!W36*ramps!X51)</f>
        <v>6.0753847888750951E-3</v>
      </c>
      <c r="X49" s="310">
        <f>'Baseline Consumption'!AM32*(1+'Price Change'!X36*ramps!Y51)</f>
        <v>6.1147806757594547E-3</v>
      </c>
      <c r="Y49" s="310">
        <f>'Baseline Consumption'!AN32*(1+'Price Change'!Y36*ramps!Z51)</f>
        <v>6.152341855967248E-3</v>
      </c>
      <c r="Z49" s="310">
        <f>'Baseline Consumption'!AO32*(1+'Price Change'!Z36*ramps!AA51)</f>
        <v>6.1923386690192405E-3</v>
      </c>
      <c r="AA49" s="310">
        <f>'Baseline Consumption'!AP32*(1+'Price Change'!AA36*ramps!AB51)</f>
        <v>6.2334849112650557E-3</v>
      </c>
      <c r="AB49" s="310">
        <f>'Baseline Consumption'!AQ32*(1+'Price Change'!AB36*ramps!AC51)</f>
        <v>6.272475694243951E-3</v>
      </c>
      <c r="AC49" s="310">
        <f>'Baseline Consumption'!AR32*(1+'Price Change'!AC36*ramps!AD51)</f>
        <v>6.3132470116033252E-3</v>
      </c>
      <c r="AD49" s="310">
        <f>'Baseline Consumption'!AS32*(1+'Price Change'!AD36*ramps!AE51)</f>
        <v>6.3558257853747798E-3</v>
      </c>
      <c r="AE49" s="310">
        <f>'Baseline Consumption'!AT32*(1+'Price Change'!AE36*ramps!AF51)</f>
        <v>6.3923815758272001E-3</v>
      </c>
      <c r="AF49" s="310">
        <f>'Baseline Consumption'!AU32*(1+'Price Change'!AF36*ramps!AG51)</f>
        <v>6.4267412655919075E-3</v>
      </c>
      <c r="AG49" s="533">
        <f>((AF49-B49)/B49)/30</f>
        <v>6.7917698761799138E-3</v>
      </c>
    </row>
    <row r="50" spans="1:33" ht="12.9" customHeight="1">
      <c r="A50" s="280" t="s">
        <v>1243</v>
      </c>
      <c r="B50" s="310">
        <f>'Baseline Consumption'!Q33*ramps!C79*(1+'Price Change'!B24*ramps!C63)</f>
        <v>1.7711541389430093E-2</v>
      </c>
      <c r="C50" s="310">
        <f>'Baseline Consumption'!R33*ramps!D79*(1+'Price Change'!C24*ramps!D63)</f>
        <v>1.7914578864576935E-2</v>
      </c>
      <c r="D50" s="310">
        <f>'Baseline Consumption'!S33*ramps!E79*(1+'Price Change'!D24*ramps!E63)</f>
        <v>1.816240512232567E-2</v>
      </c>
      <c r="E50" s="310">
        <f>'Baseline Consumption'!T33*ramps!F79*(1+'Price Change'!E24*ramps!F63)</f>
        <v>1.8312472009659353E-2</v>
      </c>
      <c r="F50" s="310">
        <f>'Baseline Consumption'!U33*ramps!G79*(1+'Price Change'!F24*ramps!G63)</f>
        <v>1.8449308340760709E-2</v>
      </c>
      <c r="G50" s="310">
        <f>'Baseline Consumption'!V33*ramps!H79*(1+'Price Change'!G24*ramps!H63)</f>
        <v>1.8540183595053061E-2</v>
      </c>
      <c r="H50" s="310">
        <f>'Baseline Consumption'!W33*ramps!I79*(1+'Price Change'!H24*ramps!I63)</f>
        <v>1.8605521975111533E-2</v>
      </c>
      <c r="I50" s="310">
        <f>'Baseline Consumption'!X33*ramps!J79*(1+'Price Change'!I24*ramps!J63)</f>
        <v>1.8680573659089574E-2</v>
      </c>
      <c r="J50" s="310">
        <f>'Baseline Consumption'!Y33*ramps!K79*(1+'Price Change'!J24*ramps!K63)</f>
        <v>1.875576415286407E-2</v>
      </c>
      <c r="K50" s="310">
        <f>'Baseline Consumption'!Z33*ramps!L79*(1+'Price Change'!K24*ramps!L63)</f>
        <v>1.8842063068874409E-2</v>
      </c>
      <c r="L50" s="310">
        <f>'Baseline Consumption'!AA33*ramps!M79*(1+'Price Change'!L24*ramps!M63)</f>
        <v>1.8868737006833631E-2</v>
      </c>
      <c r="M50" s="310">
        <f>'Baseline Consumption'!AB33*ramps!N79*(1+'Price Change'!M24*ramps!N63)</f>
        <v>1.8951373897363313E-2</v>
      </c>
      <c r="N50" s="310">
        <f>'Baseline Consumption'!AC33*ramps!O79*(1+'Price Change'!N24*ramps!O63)</f>
        <v>1.9016532477655401E-2</v>
      </c>
      <c r="O50" s="310">
        <f>'Baseline Consumption'!AD33*ramps!P79*(1+'Price Change'!O24*ramps!P63)</f>
        <v>1.9073842252434206E-2</v>
      </c>
      <c r="P50" s="310">
        <f>'Baseline Consumption'!AE33*ramps!Q79*(1+'Price Change'!P24*ramps!Q63)</f>
        <v>1.9148275856210199E-2</v>
      </c>
      <c r="Q50" s="310">
        <f>'Baseline Consumption'!AF33*ramps!R79*(1+'Price Change'!Q24*ramps!R63)</f>
        <v>1.9309700634654529E-2</v>
      </c>
      <c r="R50" s="310">
        <f>'Baseline Consumption'!AG33*ramps!S79*(1+'Price Change'!R24*ramps!S63)</f>
        <v>1.9496260413201454E-2</v>
      </c>
      <c r="S50" s="310">
        <f>'Baseline Consumption'!AH33*ramps!T79*(1+'Price Change'!S24*ramps!T63)</f>
        <v>1.9597083291084793E-2</v>
      </c>
      <c r="T50" s="310">
        <f>'Baseline Consumption'!AI33*ramps!U79*(1+'Price Change'!T24*ramps!U63)</f>
        <v>1.9801934875227443E-2</v>
      </c>
      <c r="U50" s="310">
        <f>'Baseline Consumption'!AJ33*ramps!V79*(1+'Price Change'!U24*ramps!V63)</f>
        <v>1.9958505117210312E-2</v>
      </c>
      <c r="V50" s="310">
        <f>'Baseline Consumption'!AK33*ramps!W79*(1+'Price Change'!V24*ramps!W63)</f>
        <v>2.0219978874407896E-2</v>
      </c>
      <c r="W50" s="310">
        <f>'Baseline Consumption'!AL33*ramps!X79*(1+'Price Change'!W24*ramps!X63)</f>
        <v>2.0525627784269546E-2</v>
      </c>
      <c r="X50" s="310">
        <f>'Baseline Consumption'!AM33*ramps!Y79*(1+'Price Change'!X24*ramps!Y63)</f>
        <v>2.0808954028779626E-2</v>
      </c>
      <c r="Y50" s="310">
        <f>'Baseline Consumption'!AN33*ramps!Z79*(1+'Price Change'!Y24*ramps!Z63)</f>
        <v>2.1014136449743745E-2</v>
      </c>
      <c r="Z50" s="310">
        <f>'Baseline Consumption'!AO33*ramps!AA79*(1+'Price Change'!Z24*ramps!AA63)</f>
        <v>2.1280528435372793E-2</v>
      </c>
      <c r="AA50" s="310">
        <f>'Baseline Consumption'!AP33*ramps!AB79*(1+'Price Change'!AA24*ramps!AB63)</f>
        <v>2.1532720720359208E-2</v>
      </c>
      <c r="AB50" s="310">
        <f>'Baseline Consumption'!AQ33*ramps!AC79*(1+'Price Change'!AB24*ramps!AC63)</f>
        <v>2.1801630309541024E-2</v>
      </c>
      <c r="AC50" s="310">
        <f>'Baseline Consumption'!AR33*ramps!AD79*(1+'Price Change'!AC24*ramps!AD63)</f>
        <v>2.2061801137441883E-2</v>
      </c>
      <c r="AD50" s="310">
        <f>'Baseline Consumption'!AS33*ramps!AE79*(1+'Price Change'!AD24*ramps!AE63)</f>
        <v>2.2370719661601854E-2</v>
      </c>
      <c r="AE50" s="310">
        <f>'Baseline Consumption'!AT33*ramps!AF79*(1+'Price Change'!AE24*ramps!AF63)</f>
        <v>2.2572805787622649E-2</v>
      </c>
      <c r="AF50" s="310">
        <f>'Baseline Consumption'!AU33*ramps!AG79*(1+'Price Change'!AF24*ramps!AG63)</f>
        <v>2.2819288422655563E-2</v>
      </c>
      <c r="AG50" s="533">
        <f>((AF50-B50)/B50)/30</f>
        <v>9.6128411806358002E-3</v>
      </c>
    </row>
    <row r="51" spans="1:33" ht="12.9" customHeight="1">
      <c r="A51" s="280" t="s">
        <v>254</v>
      </c>
      <c r="B51" s="310">
        <f>'Baseline Consumption'!Q34*ramps!C79*(1+'Price Change'!B25*ramps!C63)</f>
        <v>3.5082942010019642E-4</v>
      </c>
      <c r="C51" s="310">
        <f>'Baseline Consumption'!R34*ramps!D79*(1+'Price Change'!C25*ramps!D63)</f>
        <v>3.6666408328710036E-4</v>
      </c>
      <c r="D51" s="310">
        <f>'Baseline Consumption'!S34*ramps!E79*(1+'Price Change'!D25*ramps!E63)</f>
        <v>3.773642424066948E-4</v>
      </c>
      <c r="E51" s="310">
        <f>'Baseline Consumption'!T34*ramps!F79*(1+'Price Change'!E25*ramps!F63)</f>
        <v>3.8663366869049094E-4</v>
      </c>
      <c r="F51" s="310">
        <f>'Baseline Consumption'!U34*ramps!G79*(1+'Price Change'!F25*ramps!G63)</f>
        <v>3.954735907272459E-4</v>
      </c>
      <c r="G51" s="310">
        <f>'Baseline Consumption'!V34*ramps!H79*(1+'Price Change'!G25*ramps!H63)</f>
        <v>4.0430290102016185E-4</v>
      </c>
      <c r="H51" s="310">
        <f>'Baseline Consumption'!W34*ramps!I79*(1+'Price Change'!H25*ramps!I63)</f>
        <v>4.1227730600707413E-4</v>
      </c>
      <c r="I51" s="310">
        <f>'Baseline Consumption'!X34*ramps!J79*(1+'Price Change'!I25*ramps!J63)</f>
        <v>4.1661992392982269E-4</v>
      </c>
      <c r="J51" s="310">
        <f>'Baseline Consumption'!Y34*ramps!K79*(1+'Price Change'!J25*ramps!K63)</f>
        <v>4.1979674486212126E-4</v>
      </c>
      <c r="K51" s="310">
        <f>'Baseline Consumption'!Z34*ramps!L79*(1+'Price Change'!K25*ramps!L63)</f>
        <v>4.2246819858257395E-4</v>
      </c>
      <c r="L51" s="310">
        <f>'Baseline Consumption'!AA34*ramps!M79*(1+'Price Change'!L25*ramps!M63)</f>
        <v>4.2253755181088194E-4</v>
      </c>
      <c r="M51" s="310">
        <f>'Baseline Consumption'!AB34*ramps!N79*(1+'Price Change'!M25*ramps!N63)</f>
        <v>4.2421353427970088E-4</v>
      </c>
      <c r="N51" s="310">
        <f>'Baseline Consumption'!AC34*ramps!O79*(1+'Price Change'!N25*ramps!O63)</f>
        <v>4.2484805241361026E-4</v>
      </c>
      <c r="O51" s="310">
        <f>'Baseline Consumption'!AD34*ramps!P79*(1+'Price Change'!O25*ramps!P63)</f>
        <v>4.2550158797479483E-4</v>
      </c>
      <c r="P51" s="310">
        <f>'Baseline Consumption'!AE34*ramps!Q79*(1+'Price Change'!P25*ramps!Q63)</f>
        <v>4.2639196892422886E-4</v>
      </c>
      <c r="Q51" s="310">
        <f>'Baseline Consumption'!AF34*ramps!R79*(1+'Price Change'!Q25*ramps!R63)</f>
        <v>4.2684219815469971E-4</v>
      </c>
      <c r="R51" s="310">
        <f>'Baseline Consumption'!AG34*ramps!S79*(1+'Price Change'!R25*ramps!S63)</f>
        <v>4.2752578617716189E-4</v>
      </c>
      <c r="S51" s="310">
        <f>'Baseline Consumption'!AH34*ramps!T79*(1+'Price Change'!S25*ramps!T63)</f>
        <v>4.2846907662704543E-4</v>
      </c>
      <c r="T51" s="310">
        <f>'Baseline Consumption'!AI34*ramps!U79*(1+'Price Change'!T25*ramps!U63)</f>
        <v>4.2953652338419292E-4</v>
      </c>
      <c r="U51" s="310">
        <f>'Baseline Consumption'!AJ34*ramps!V79*(1+'Price Change'!U25*ramps!V63)</f>
        <v>4.2991301697638365E-4</v>
      </c>
      <c r="V51" s="310">
        <f>'Baseline Consumption'!AK34*ramps!W79*(1+'Price Change'!V25*ramps!W63)</f>
        <v>4.3045667384548789E-4</v>
      </c>
      <c r="W51" s="310">
        <f>'Baseline Consumption'!AL34*ramps!X79*(1+'Price Change'!W25*ramps!X63)</f>
        <v>4.3028412613053561E-4</v>
      </c>
      <c r="X51" s="310">
        <f>'Baseline Consumption'!AM34*ramps!Y79*(1+'Price Change'!X25*ramps!Y63)</f>
        <v>4.297781209211068E-4</v>
      </c>
      <c r="Y51" s="310">
        <f>'Baseline Consumption'!AN34*ramps!Z79*(1+'Price Change'!Y25*ramps!Z63)</f>
        <v>4.2810437279838922E-4</v>
      </c>
      <c r="Z51" s="310">
        <f>'Baseline Consumption'!AO34*ramps!AA79*(1+'Price Change'!Z25*ramps!AA63)</f>
        <v>4.2717472693188827E-4</v>
      </c>
      <c r="AA51" s="310">
        <f>'Baseline Consumption'!AP34*ramps!AB79*(1+'Price Change'!AA25*ramps!AB63)</f>
        <v>4.2568810483144758E-4</v>
      </c>
      <c r="AB51" s="310">
        <f>'Baseline Consumption'!AQ34*ramps!AC79*(1+'Price Change'!AB25*ramps!AC63)</f>
        <v>4.2453793662790865E-4</v>
      </c>
      <c r="AC51" s="310">
        <f>'Baseline Consumption'!AR34*ramps!AD79*(1+'Price Change'!AC25*ramps!AD63)</f>
        <v>4.2270010423034861E-4</v>
      </c>
      <c r="AD51" s="310">
        <f>'Baseline Consumption'!AS34*ramps!AE79*(1+'Price Change'!AD25*ramps!AE63)</f>
        <v>4.2106193451922315E-4</v>
      </c>
      <c r="AE51" s="310">
        <f>'Baseline Consumption'!AT34*ramps!AF79*(1+'Price Change'!AE25*ramps!AF63)</f>
        <v>4.1888954474431008E-4</v>
      </c>
      <c r="AF51" s="310">
        <f>'Baseline Consumption'!AU34*ramps!AG79*(1+'Price Change'!AF25*ramps!AG63)</f>
        <v>4.1778681033359137E-4</v>
      </c>
      <c r="AG51" s="533">
        <f>((AF51-B51)/B51)/30</f>
        <v>6.3618182509961683E-3</v>
      </c>
    </row>
    <row r="52" spans="1:33" ht="12.9" customHeight="1">
      <c r="A52" s="280" t="s">
        <v>1246</v>
      </c>
      <c r="B52" s="310">
        <f>'Baseline Consumption'!Q35*ramps!C79</f>
        <v>0</v>
      </c>
      <c r="C52" s="310">
        <f>'Baseline Consumption'!R35*ramps!D79</f>
        <v>0</v>
      </c>
      <c r="D52" s="310">
        <f>'Baseline Consumption'!S35*ramps!E79</f>
        <v>0</v>
      </c>
      <c r="E52" s="310">
        <f>'Baseline Consumption'!T35*ramps!F79</f>
        <v>0</v>
      </c>
      <c r="F52" s="310">
        <f>'Baseline Consumption'!U35*ramps!G79</f>
        <v>0</v>
      </c>
      <c r="G52" s="310">
        <f>'Baseline Consumption'!V35*ramps!H79</f>
        <v>0</v>
      </c>
      <c r="H52" s="310">
        <f>'Baseline Consumption'!W35*ramps!I79</f>
        <v>0</v>
      </c>
      <c r="I52" s="310">
        <f>'Baseline Consumption'!X35*ramps!J79</f>
        <v>0</v>
      </c>
      <c r="J52" s="310">
        <f>'Baseline Consumption'!Y35*ramps!K79</f>
        <v>0</v>
      </c>
      <c r="K52" s="310">
        <f>'Baseline Consumption'!Z35*ramps!L79</f>
        <v>0</v>
      </c>
      <c r="L52" s="310">
        <f>'Baseline Consumption'!AA35*ramps!M79</f>
        <v>0</v>
      </c>
      <c r="M52" s="310">
        <f>'Baseline Consumption'!AB35*ramps!N79</f>
        <v>0</v>
      </c>
      <c r="N52" s="310">
        <f>'Baseline Consumption'!AC35*ramps!O79</f>
        <v>0</v>
      </c>
      <c r="O52" s="310">
        <f>'Baseline Consumption'!AD35*ramps!P79</f>
        <v>0</v>
      </c>
      <c r="P52" s="310">
        <f>'Baseline Consumption'!AE35*ramps!Q79</f>
        <v>0</v>
      </c>
      <c r="Q52" s="310">
        <f>'Baseline Consumption'!AF35*ramps!R79</f>
        <v>0</v>
      </c>
      <c r="R52" s="310">
        <f>'Baseline Consumption'!AG35*ramps!S79</f>
        <v>0</v>
      </c>
      <c r="S52" s="310">
        <f>'Baseline Consumption'!AH35*ramps!T79</f>
        <v>0</v>
      </c>
      <c r="T52" s="310">
        <f>'Baseline Consumption'!AI35*ramps!U79</f>
        <v>0</v>
      </c>
      <c r="U52" s="310">
        <f>'Baseline Consumption'!AJ35*ramps!V79</f>
        <v>0</v>
      </c>
      <c r="V52" s="310">
        <f>'Baseline Consumption'!AK35*ramps!W79</f>
        <v>0</v>
      </c>
      <c r="W52" s="310">
        <f>'Baseline Consumption'!AL35*ramps!X79</f>
        <v>0</v>
      </c>
      <c r="X52" s="310">
        <f>'Baseline Consumption'!AM35*ramps!Y79</f>
        <v>0</v>
      </c>
      <c r="Y52" s="310">
        <f>'Baseline Consumption'!AN35*ramps!Z79</f>
        <v>0</v>
      </c>
      <c r="Z52" s="310">
        <f>'Baseline Consumption'!AO35*ramps!AA79</f>
        <v>0</v>
      </c>
      <c r="AA52" s="310">
        <f>'Baseline Consumption'!AP35*ramps!AB79</f>
        <v>0</v>
      </c>
      <c r="AB52" s="310">
        <f>'Baseline Consumption'!AQ35*ramps!AC79</f>
        <v>0</v>
      </c>
      <c r="AC52" s="310">
        <f>'Baseline Consumption'!AR35*ramps!AD79</f>
        <v>0</v>
      </c>
      <c r="AD52" s="310">
        <f>'Baseline Consumption'!AS35*ramps!AE79</f>
        <v>0</v>
      </c>
      <c r="AE52" s="310">
        <f>'Baseline Consumption'!AT35*ramps!AF79</f>
        <v>0</v>
      </c>
      <c r="AF52" s="310">
        <f>'Baseline Consumption'!AU35*ramps!AG79</f>
        <v>0</v>
      </c>
      <c r="AG52" s="533"/>
    </row>
    <row r="53" spans="1:33" ht="12.9" customHeight="1">
      <c r="A53" s="280" t="s">
        <v>1247</v>
      </c>
      <c r="B53" s="310">
        <f>'Baseline Consumption'!Q36*ramps!C79*(1+'Price Change'!B26*ramps!C58)</f>
        <v>7.8079680136242627E-2</v>
      </c>
      <c r="C53" s="310">
        <f>'Baseline Consumption'!R36*ramps!D79*(1+'Price Change'!C26*ramps!D58)</f>
        <v>7.4712754864094399E-2</v>
      </c>
      <c r="D53" s="310">
        <f>'Baseline Consumption'!S36*ramps!E79*(1+'Price Change'!D26*ramps!E58)</f>
        <v>7.080525732199322E-2</v>
      </c>
      <c r="E53" s="310">
        <f>'Baseline Consumption'!T36*ramps!F79*(1+'Price Change'!E26*ramps!F58)</f>
        <v>6.7307047880949947E-2</v>
      </c>
      <c r="F53" s="310">
        <f>'Baseline Consumption'!U36*ramps!G79*(1+'Price Change'!F26*ramps!G58)</f>
        <v>6.5430027778283037E-2</v>
      </c>
      <c r="G53" s="310">
        <f>'Baseline Consumption'!V36*ramps!H79*(1+'Price Change'!G26*ramps!H58)</f>
        <v>6.4320699556317223E-2</v>
      </c>
      <c r="H53" s="310">
        <f>'Baseline Consumption'!W36*ramps!I79*(1+'Price Change'!H26*ramps!I58)</f>
        <v>6.0383416898699908E-2</v>
      </c>
      <c r="I53" s="310">
        <f>'Baseline Consumption'!X36*ramps!J79*(1+'Price Change'!I26*ramps!J58)</f>
        <v>5.6086252373506028E-2</v>
      </c>
      <c r="J53" s="310">
        <f>'Baseline Consumption'!Y36*ramps!K79*(1+'Price Change'!J26*ramps!K58)</f>
        <v>5.4178929702262318E-2</v>
      </c>
      <c r="K53" s="310">
        <f>'Baseline Consumption'!Z36*ramps!L79*(1+'Price Change'!K26*ramps!L58)</f>
        <v>5.0946586282388941E-2</v>
      </c>
      <c r="L53" s="310">
        <f>'Baseline Consumption'!AA36*ramps!M79*(1+'Price Change'!L26*ramps!M58)</f>
        <v>4.9585866152546898E-2</v>
      </c>
      <c r="M53" s="310">
        <f>'Baseline Consumption'!AB36*ramps!N79*(1+'Price Change'!M26*ramps!N58)</f>
        <v>4.8372634951906635E-2</v>
      </c>
      <c r="N53" s="310">
        <f>'Baseline Consumption'!AC36*ramps!O79*(1+'Price Change'!N26*ramps!O58)</f>
        <v>4.8064195645020853E-2</v>
      </c>
      <c r="O53" s="310">
        <f>'Baseline Consumption'!AD36*ramps!P79*(1+'Price Change'!O26*ramps!P58)</f>
        <v>4.8104605218266649E-2</v>
      </c>
      <c r="P53" s="310">
        <f>'Baseline Consumption'!AE36*ramps!Q79*(1+'Price Change'!P26*ramps!Q58)</f>
        <v>4.9451313183130313E-2</v>
      </c>
      <c r="Q53" s="310">
        <f>'Baseline Consumption'!AF36*ramps!R79*(1+'Price Change'!Q26*ramps!R58)</f>
        <v>4.9924880865615154E-2</v>
      </c>
      <c r="R53" s="310">
        <f>'Baseline Consumption'!AG36*ramps!S79*(1+'Price Change'!R26*ramps!S58)</f>
        <v>4.9462756480250641E-2</v>
      </c>
      <c r="S53" s="310">
        <f>'Baseline Consumption'!AH36*ramps!T79*(1+'Price Change'!S26*ramps!T58)</f>
        <v>4.9647936863946376E-2</v>
      </c>
      <c r="T53" s="310">
        <f>'Baseline Consumption'!AI36*ramps!U79*(1+'Price Change'!T26*ramps!U58)</f>
        <v>4.9977069970456166E-2</v>
      </c>
      <c r="U53" s="310">
        <f>'Baseline Consumption'!AJ36*ramps!V79*(1+'Price Change'!U26*ramps!V58)</f>
        <v>5.1725791763494372E-2</v>
      </c>
      <c r="V53" s="310">
        <f>'Baseline Consumption'!AK36*ramps!W79*(1+'Price Change'!V26*ramps!W58)</f>
        <v>5.1862503780670678E-2</v>
      </c>
      <c r="W53" s="310">
        <f>'Baseline Consumption'!AL36*ramps!X79*(1+'Price Change'!W26*ramps!X58)</f>
        <v>5.253329979716951E-2</v>
      </c>
      <c r="X53" s="310">
        <f>'Baseline Consumption'!AM36*ramps!Y79*(1+'Price Change'!X26*ramps!Y58)</f>
        <v>5.3040364386718337E-2</v>
      </c>
      <c r="Y53" s="310">
        <f>'Baseline Consumption'!AN36*ramps!Z79*(1+'Price Change'!Y26*ramps!Z58)</f>
        <v>5.4219662359439987E-2</v>
      </c>
      <c r="Z53" s="310">
        <f>'Baseline Consumption'!AO36*ramps!AA79*(1+'Price Change'!Z26*ramps!AA58)</f>
        <v>5.4469634224833773E-2</v>
      </c>
      <c r="AA53" s="310">
        <f>'Baseline Consumption'!AP36*ramps!AB79*(1+'Price Change'!AA26*ramps!AB58)</f>
        <v>5.6344090439624621E-2</v>
      </c>
      <c r="AB53" s="310">
        <f>'Baseline Consumption'!AQ36*ramps!AC79*(1+'Price Change'!AB26*ramps!AC58)</f>
        <v>5.7111902087103115E-2</v>
      </c>
      <c r="AC53" s="310">
        <f>'Baseline Consumption'!AR36*ramps!AD79*(1+'Price Change'!AC26*ramps!AD58)</f>
        <v>5.7894774981777808E-2</v>
      </c>
      <c r="AD53" s="310">
        <f>'Baseline Consumption'!AS36*ramps!AE79*(1+'Price Change'!AD26*ramps!AE58)</f>
        <v>5.8923013465420379E-2</v>
      </c>
      <c r="AE53" s="310">
        <f>'Baseline Consumption'!AT36*ramps!AF79*(1+'Price Change'!AE26*ramps!AF58)</f>
        <v>5.9871883409248504E-2</v>
      </c>
      <c r="AF53" s="310">
        <f>'Baseline Consumption'!AU36*ramps!AG79*(1+'Price Change'!AF26*ramps!AG58)</f>
        <v>6.1689749545373138E-2</v>
      </c>
      <c r="AG53" s="533">
        <f>((AF53-B53)/B53)/30</f>
        <v>-6.997096027319104E-3</v>
      </c>
    </row>
    <row r="54" spans="1:33" ht="12.9" customHeight="1">
      <c r="A54" s="280" t="s">
        <v>1</v>
      </c>
      <c r="B54" s="310">
        <f>'Baseline Consumption'!Q37*ramps!C78*(1+'Price Change'!B26*ramps!C58)</f>
        <v>7.8670360148690444E-2</v>
      </c>
      <c r="C54" s="310">
        <f>'Baseline Consumption'!R37*ramps!D78*(1+'Price Change'!C26*ramps!D58)</f>
        <v>7.8245806701045958E-2</v>
      </c>
      <c r="D54" s="310">
        <f>'Baseline Consumption'!S37*ramps!E78*(1+'Price Change'!D26*ramps!E58)</f>
        <v>7.8568052774284275E-2</v>
      </c>
      <c r="E54" s="310">
        <f>'Baseline Consumption'!T37*ramps!F78*(1+'Price Change'!E26*ramps!F58)</f>
        <v>7.781894353189775E-2</v>
      </c>
      <c r="F54" s="310">
        <f>'Baseline Consumption'!U37*ramps!G78*(1+'Price Change'!F26*ramps!G58)</f>
        <v>8.3115288899360082E-2</v>
      </c>
      <c r="G54" s="310">
        <f>'Baseline Consumption'!V37*ramps!H78*(1+'Price Change'!G26*ramps!H58)</f>
        <v>8.1421420414042461E-2</v>
      </c>
      <c r="H54" s="310">
        <f>'Baseline Consumption'!W37*ramps!I78*(1+'Price Change'!H26*ramps!I58)</f>
        <v>8.1959728463761455E-2</v>
      </c>
      <c r="I54" s="310">
        <f>'Baseline Consumption'!X37*ramps!J78*(1+'Price Change'!I26*ramps!J58)</f>
        <v>7.7675305991891944E-2</v>
      </c>
      <c r="J54" s="310">
        <f>'Baseline Consumption'!Y37*ramps!K78*(1+'Price Change'!J26*ramps!K58)</f>
        <v>7.5305129723608158E-2</v>
      </c>
      <c r="K54" s="310">
        <f>'Baseline Consumption'!Z37*ramps!L78*(1+'Price Change'!K26*ramps!L58)</f>
        <v>6.7794186904002782E-2</v>
      </c>
      <c r="L54" s="310">
        <f>'Baseline Consumption'!AA37*ramps!M78*(1+'Price Change'!L26*ramps!M58)</f>
        <v>6.6850169496702791E-2</v>
      </c>
      <c r="M54" s="310">
        <f>'Baseline Consumption'!AB37*ramps!N78*(1+'Price Change'!M26*ramps!N58)</f>
        <v>6.4667941573773244E-2</v>
      </c>
      <c r="N54" s="310">
        <f>'Baseline Consumption'!AC37*ramps!O78*(1+'Price Change'!N26*ramps!O58)</f>
        <v>6.3121645926719289E-2</v>
      </c>
      <c r="O54" s="310">
        <f>'Baseline Consumption'!AD37*ramps!P78*(1+'Price Change'!O26*ramps!P58)</f>
        <v>6.1559494467790687E-2</v>
      </c>
      <c r="P54" s="310">
        <f>'Baseline Consumption'!AE37*ramps!Q78*(1+'Price Change'!P26*ramps!Q58)</f>
        <v>6.1797129697722393E-2</v>
      </c>
      <c r="Q54" s="310">
        <f>'Baseline Consumption'!AF37*ramps!R78*(1+'Price Change'!Q26*ramps!R58)</f>
        <v>6.1991330512931736E-2</v>
      </c>
      <c r="R54" s="310">
        <f>'Baseline Consumption'!AG37*ramps!S78*(1+'Price Change'!R26*ramps!S58)</f>
        <v>6.2819512134216687E-2</v>
      </c>
      <c r="S54" s="310">
        <f>'Baseline Consumption'!AH37*ramps!T78*(1+'Price Change'!S26*ramps!T58)</f>
        <v>6.3287596123143983E-2</v>
      </c>
      <c r="T54" s="310">
        <f>'Baseline Consumption'!AI37*ramps!U78*(1+'Price Change'!T26*ramps!U58)</f>
        <v>6.4140364198395333E-2</v>
      </c>
      <c r="U54" s="310">
        <f>'Baseline Consumption'!AJ37*ramps!V78*(1+'Price Change'!U26*ramps!V58)</f>
        <v>6.4654606356957064E-2</v>
      </c>
      <c r="V54" s="310">
        <f>'Baseline Consumption'!AK37*ramps!W78*(1+'Price Change'!V26*ramps!W58)</f>
        <v>6.5465982636652265E-2</v>
      </c>
      <c r="W54" s="310">
        <f>'Baseline Consumption'!AL37*ramps!X78*(1+'Price Change'!W26*ramps!X58)</f>
        <v>6.6278334044650722E-2</v>
      </c>
      <c r="X54" s="310">
        <f>'Baseline Consumption'!AM37*ramps!Y78*(1+'Price Change'!X26*ramps!Y58)</f>
        <v>6.6633464331755876E-2</v>
      </c>
      <c r="Y54" s="310">
        <f>'Baseline Consumption'!AN37*ramps!Z78*(1+'Price Change'!Y26*ramps!Z58)</f>
        <v>6.7740507002318207E-2</v>
      </c>
      <c r="Z54" s="310">
        <f>'Baseline Consumption'!AO37*ramps!AA78*(1+'Price Change'!Z26*ramps!AA58)</f>
        <v>6.940759499922329E-2</v>
      </c>
      <c r="AA54" s="310">
        <f>'Baseline Consumption'!AP37*ramps!AB78*(1+'Price Change'!AA26*ramps!AB58)</f>
        <v>7.1779992039430071E-2</v>
      </c>
      <c r="AB54" s="310">
        <f>'Baseline Consumption'!AQ37*ramps!AC78*(1+'Price Change'!AB26*ramps!AC58)</f>
        <v>7.2492556350629234E-2</v>
      </c>
      <c r="AC54" s="310">
        <f>'Baseline Consumption'!AR37*ramps!AD78*(1+'Price Change'!AC26*ramps!AD58)</f>
        <v>7.3841966565885556E-2</v>
      </c>
      <c r="AD54" s="310">
        <f>'Baseline Consumption'!AS37*ramps!AE78*(1+'Price Change'!AD26*ramps!AE58)</f>
        <v>7.5521731331437095E-2</v>
      </c>
      <c r="AE54" s="310">
        <f>'Baseline Consumption'!AT37*ramps!AF78*(1+'Price Change'!AE26*ramps!AF58)</f>
        <v>7.6779244528980869E-2</v>
      </c>
      <c r="AF54" s="310">
        <f>'Baseline Consumption'!AU37*ramps!AG78*(1+'Price Change'!AF26*ramps!AG58)</f>
        <v>7.783522956289772E-2</v>
      </c>
      <c r="AG54" s="533">
        <f>((AF54-B54)/B54)/30</f>
        <v>-3.5385227855162126E-4</v>
      </c>
    </row>
    <row r="55" spans="1:33" ht="12.9" customHeight="1">
      <c r="A55" s="280" t="s">
        <v>1248</v>
      </c>
      <c r="B55" s="310">
        <f>'Baseline Consumption'!Q38*ramps!C78*(1+'Price Change'!B26*ramps!C63)</f>
        <v>0</v>
      </c>
      <c r="C55" s="310">
        <f>'Baseline Consumption'!R38*ramps!D78*(1+'Price Change'!C26*ramps!D63)</f>
        <v>0</v>
      </c>
      <c r="D55" s="310">
        <f>'Baseline Consumption'!S38*ramps!E78*(1+'Price Change'!D26*ramps!E63)</f>
        <v>0</v>
      </c>
      <c r="E55" s="310">
        <f>'Baseline Consumption'!T38*ramps!F78*(1+'Price Change'!E26*ramps!F63)</f>
        <v>0</v>
      </c>
      <c r="F55" s="310">
        <f>'Baseline Consumption'!U38*ramps!G78*(1+'Price Change'!F26*ramps!G63)</f>
        <v>0</v>
      </c>
      <c r="G55" s="310">
        <f>'Baseline Consumption'!V38*ramps!H78*(1+'Price Change'!G26*ramps!H63)</f>
        <v>0</v>
      </c>
      <c r="H55" s="310">
        <f>'Baseline Consumption'!W38*ramps!I78*(1+'Price Change'!H26*ramps!I63)</f>
        <v>0</v>
      </c>
      <c r="I55" s="310">
        <f>'Baseline Consumption'!X38*ramps!J78*(1+'Price Change'!I26*ramps!J63)</f>
        <v>0</v>
      </c>
      <c r="J55" s="310">
        <f>'Baseline Consumption'!Y38*ramps!K78*(1+'Price Change'!J26*ramps!K63)</f>
        <v>0</v>
      </c>
      <c r="K55" s="310">
        <f>'Baseline Consumption'!Z38*ramps!L78*(1+'Price Change'!K26*ramps!L63)</f>
        <v>0</v>
      </c>
      <c r="L55" s="310">
        <f>'Baseline Consumption'!AA38*ramps!M78*(1+'Price Change'!L26*ramps!M63)</f>
        <v>0</v>
      </c>
      <c r="M55" s="310">
        <f>'Baseline Consumption'!AB38*ramps!N78*(1+'Price Change'!M26*ramps!N63)</f>
        <v>0</v>
      </c>
      <c r="N55" s="310">
        <f>'Baseline Consumption'!AC38*ramps!O78*(1+'Price Change'!N26*ramps!O63)</f>
        <v>0</v>
      </c>
      <c r="O55" s="310">
        <f>'Baseline Consumption'!AD38*ramps!P78*(1+'Price Change'!O26*ramps!P63)</f>
        <v>0</v>
      </c>
      <c r="P55" s="310">
        <f>'Baseline Consumption'!AE38*ramps!Q78*(1+'Price Change'!P26*ramps!Q63)</f>
        <v>0</v>
      </c>
      <c r="Q55" s="310">
        <f>'Baseline Consumption'!AF38*ramps!R78*(1+'Price Change'!Q26*ramps!R63)</f>
        <v>0</v>
      </c>
      <c r="R55" s="310">
        <f>'Baseline Consumption'!AG38*ramps!S78*(1+'Price Change'!R26*ramps!S63)</f>
        <v>0</v>
      </c>
      <c r="S55" s="310">
        <f>'Baseline Consumption'!AH38*ramps!T78*(1+'Price Change'!S26*ramps!T63)</f>
        <v>0</v>
      </c>
      <c r="T55" s="310">
        <f>'Baseline Consumption'!AI38*ramps!U78*(1+'Price Change'!T26*ramps!U63)</f>
        <v>0</v>
      </c>
      <c r="U55" s="310">
        <f>'Baseline Consumption'!AJ38*ramps!V78*(1+'Price Change'!U26*ramps!V63)</f>
        <v>0</v>
      </c>
      <c r="V55" s="310">
        <f>'Baseline Consumption'!AK38*ramps!W78*(1+'Price Change'!V26*ramps!W63)</f>
        <v>0</v>
      </c>
      <c r="W55" s="310">
        <f>'Baseline Consumption'!AL38*ramps!X78*(1+'Price Change'!W26*ramps!X63)</f>
        <v>0</v>
      </c>
      <c r="X55" s="310">
        <f>'Baseline Consumption'!AM38*ramps!Y78*(1+'Price Change'!X26*ramps!Y63)</f>
        <v>0</v>
      </c>
      <c r="Y55" s="310">
        <f>'Baseline Consumption'!AN38*ramps!Z78*(1+'Price Change'!Y26*ramps!Z63)</f>
        <v>0</v>
      </c>
      <c r="Z55" s="310">
        <f>'Baseline Consumption'!AO38*ramps!AA78*(1+'Price Change'!Z26*ramps!AA63)</f>
        <v>0</v>
      </c>
      <c r="AA55" s="310">
        <f>'Baseline Consumption'!AP38*ramps!AB78*(1+'Price Change'!AA26*ramps!AB63)</f>
        <v>0</v>
      </c>
      <c r="AB55" s="310">
        <f>'Baseline Consumption'!AQ38*ramps!AC78*(1+'Price Change'!AB26*ramps!AC63)</f>
        <v>0</v>
      </c>
      <c r="AC55" s="310">
        <f>'Baseline Consumption'!AR38*ramps!AD78*(1+'Price Change'!AC26*ramps!AD63)</f>
        <v>0</v>
      </c>
      <c r="AD55" s="310">
        <f>'Baseline Consumption'!AS38*ramps!AE78*(1+'Price Change'!AD26*ramps!AE63)</f>
        <v>0</v>
      </c>
      <c r="AE55" s="310">
        <f>'Baseline Consumption'!AT38*ramps!AF78*(1+'Price Change'!AE26*ramps!AF63)</f>
        <v>0</v>
      </c>
      <c r="AF55" s="310">
        <f>'Baseline Consumption'!AU38*ramps!AG78*(1+'Price Change'!AF26*ramps!AG63)</f>
        <v>0</v>
      </c>
      <c r="AG55" s="533"/>
    </row>
    <row r="56" spans="1:33" ht="12.9" customHeight="1">
      <c r="A56" s="280" t="s">
        <v>1249</v>
      </c>
      <c r="B56" s="310">
        <f>'Baseline Consumption'!Q39*ramps!C78*(1+'Price Change'!B26*ramps!C63)</f>
        <v>0</v>
      </c>
      <c r="C56" s="310">
        <f>'Baseline Consumption'!R39*ramps!D78*(1+'Price Change'!C26*ramps!D63)</f>
        <v>0</v>
      </c>
      <c r="D56" s="310">
        <f>'Baseline Consumption'!S39*ramps!E78*(1+'Price Change'!D26*ramps!E63)</f>
        <v>0</v>
      </c>
      <c r="E56" s="310">
        <f>'Baseline Consumption'!T39*ramps!F78*(1+'Price Change'!E26*ramps!F63)</f>
        <v>0</v>
      </c>
      <c r="F56" s="310">
        <f>'Baseline Consumption'!U39*ramps!G78*(1+'Price Change'!F26*ramps!G63)</f>
        <v>0</v>
      </c>
      <c r="G56" s="310">
        <f>'Baseline Consumption'!V39*ramps!H78*(1+'Price Change'!G26*ramps!H63)</f>
        <v>0</v>
      </c>
      <c r="H56" s="310">
        <f>'Baseline Consumption'!W39*ramps!I78*(1+'Price Change'!H26*ramps!I63)</f>
        <v>0</v>
      </c>
      <c r="I56" s="310">
        <f>'Baseline Consumption'!X39*ramps!J78*(1+'Price Change'!I26*ramps!J63)</f>
        <v>0</v>
      </c>
      <c r="J56" s="310">
        <f>'Baseline Consumption'!Y39*ramps!K78*(1+'Price Change'!J26*ramps!K63)</f>
        <v>0</v>
      </c>
      <c r="K56" s="310">
        <f>'Baseline Consumption'!Z39*ramps!L78*(1+'Price Change'!K26*ramps!L63)</f>
        <v>0</v>
      </c>
      <c r="L56" s="310">
        <f>'Baseline Consumption'!AA39*ramps!M78*(1+'Price Change'!L26*ramps!M63)</f>
        <v>0</v>
      </c>
      <c r="M56" s="310">
        <f>'Baseline Consumption'!AB39*ramps!N78*(1+'Price Change'!M26*ramps!N63)</f>
        <v>0</v>
      </c>
      <c r="N56" s="310">
        <f>'Baseline Consumption'!AC39*ramps!O78*(1+'Price Change'!N26*ramps!O63)</f>
        <v>0</v>
      </c>
      <c r="O56" s="310">
        <f>'Baseline Consumption'!AD39*ramps!P78*(1+'Price Change'!O26*ramps!P63)</f>
        <v>0</v>
      </c>
      <c r="P56" s="310">
        <f>'Baseline Consumption'!AE39*ramps!Q78*(1+'Price Change'!P26*ramps!Q63)</f>
        <v>0</v>
      </c>
      <c r="Q56" s="310">
        <f>'Baseline Consumption'!AF39*ramps!R78*(1+'Price Change'!Q26*ramps!R63)</f>
        <v>0</v>
      </c>
      <c r="R56" s="310">
        <f>'Baseline Consumption'!AG39*ramps!S78*(1+'Price Change'!R26*ramps!S63)</f>
        <v>0</v>
      </c>
      <c r="S56" s="310">
        <f>'Baseline Consumption'!AH39*ramps!T78*(1+'Price Change'!S26*ramps!T63)</f>
        <v>0</v>
      </c>
      <c r="T56" s="310">
        <f>'Baseline Consumption'!AI39*ramps!U78*(1+'Price Change'!T26*ramps!U63)</f>
        <v>0</v>
      </c>
      <c r="U56" s="310">
        <f>'Baseline Consumption'!AJ39*ramps!V78*(1+'Price Change'!U26*ramps!V63)</f>
        <v>0</v>
      </c>
      <c r="V56" s="310">
        <f>'Baseline Consumption'!AK39*ramps!W78*(1+'Price Change'!V26*ramps!W63)</f>
        <v>0</v>
      </c>
      <c r="W56" s="310">
        <f>'Baseline Consumption'!AL39*ramps!X78*(1+'Price Change'!W26*ramps!X63)</f>
        <v>0</v>
      </c>
      <c r="X56" s="310">
        <f>'Baseline Consumption'!AM39*ramps!Y78*(1+'Price Change'!X26*ramps!Y63)</f>
        <v>0</v>
      </c>
      <c r="Y56" s="310">
        <f>'Baseline Consumption'!AN39*ramps!Z78*(1+'Price Change'!Y26*ramps!Z63)</f>
        <v>0</v>
      </c>
      <c r="Z56" s="310">
        <f>'Baseline Consumption'!AO39*ramps!AA78*(1+'Price Change'!Z26*ramps!AA63)</f>
        <v>0</v>
      </c>
      <c r="AA56" s="310">
        <f>'Baseline Consumption'!AP39*ramps!AB78*(1+'Price Change'!AA26*ramps!AB63)</f>
        <v>0</v>
      </c>
      <c r="AB56" s="310">
        <f>'Baseline Consumption'!AQ39*ramps!AC78*(1+'Price Change'!AB26*ramps!AC63)</f>
        <v>0</v>
      </c>
      <c r="AC56" s="310">
        <f>'Baseline Consumption'!AR39*ramps!AD78*(1+'Price Change'!AC26*ramps!AD63)</f>
        <v>0</v>
      </c>
      <c r="AD56" s="310">
        <f>'Baseline Consumption'!AS39*ramps!AE78*(1+'Price Change'!AD26*ramps!AE63)</f>
        <v>0</v>
      </c>
      <c r="AE56" s="310">
        <f>'Baseline Consumption'!AT39*ramps!AF78*(1+'Price Change'!AE26*ramps!AF63)</f>
        <v>0</v>
      </c>
      <c r="AF56" s="310">
        <f>'Baseline Consumption'!AU39*ramps!AG78*(1+'Price Change'!AF26*ramps!AG63)</f>
        <v>0</v>
      </c>
      <c r="AG56" s="533"/>
    </row>
    <row r="57" spans="1:33" ht="12.9" customHeight="1">
      <c r="A57" s="280" t="s">
        <v>1250</v>
      </c>
      <c r="B57" s="310">
        <f t="shared" ref="B57:V57" si="12">B54+B55+B56</f>
        <v>7.8670360148690444E-2</v>
      </c>
      <c r="C57" s="310">
        <f t="shared" si="12"/>
        <v>7.8245806701045958E-2</v>
      </c>
      <c r="D57" s="310">
        <f t="shared" si="12"/>
        <v>7.8568052774284275E-2</v>
      </c>
      <c r="E57" s="310">
        <f t="shared" si="12"/>
        <v>7.781894353189775E-2</v>
      </c>
      <c r="F57" s="310">
        <f t="shared" si="12"/>
        <v>8.3115288899360082E-2</v>
      </c>
      <c r="G57" s="310">
        <f t="shared" si="12"/>
        <v>8.1421420414042461E-2</v>
      </c>
      <c r="H57" s="310">
        <f t="shared" si="12"/>
        <v>8.1959728463761455E-2</v>
      </c>
      <c r="I57" s="310">
        <f t="shared" si="12"/>
        <v>7.7675305991891944E-2</v>
      </c>
      <c r="J57" s="310">
        <f t="shared" si="12"/>
        <v>7.5305129723608158E-2</v>
      </c>
      <c r="K57" s="310">
        <f t="shared" si="12"/>
        <v>6.7794186904002782E-2</v>
      </c>
      <c r="L57" s="310">
        <f t="shared" si="12"/>
        <v>6.6850169496702791E-2</v>
      </c>
      <c r="M57" s="310">
        <f t="shared" si="12"/>
        <v>6.4667941573773244E-2</v>
      </c>
      <c r="N57" s="310">
        <f t="shared" si="12"/>
        <v>6.3121645926719289E-2</v>
      </c>
      <c r="O57" s="310">
        <f t="shared" si="12"/>
        <v>6.1559494467790687E-2</v>
      </c>
      <c r="P57" s="310">
        <f t="shared" si="12"/>
        <v>6.1797129697722393E-2</v>
      </c>
      <c r="Q57" s="310">
        <f t="shared" si="12"/>
        <v>6.1991330512931736E-2</v>
      </c>
      <c r="R57" s="310">
        <f t="shared" si="12"/>
        <v>6.2819512134216687E-2</v>
      </c>
      <c r="S57" s="310">
        <f t="shared" si="12"/>
        <v>6.3287596123143983E-2</v>
      </c>
      <c r="T57" s="310">
        <f t="shared" si="12"/>
        <v>6.4140364198395333E-2</v>
      </c>
      <c r="U57" s="310">
        <f t="shared" si="12"/>
        <v>6.4654606356957064E-2</v>
      </c>
      <c r="V57" s="310">
        <f t="shared" si="12"/>
        <v>6.5465982636652265E-2</v>
      </c>
      <c r="W57" s="310">
        <f t="shared" ref="W57:AF57" si="13">W54+W55+W56</f>
        <v>6.6278334044650722E-2</v>
      </c>
      <c r="X57" s="310">
        <f t="shared" si="13"/>
        <v>6.6633464331755876E-2</v>
      </c>
      <c r="Y57" s="310">
        <f t="shared" si="13"/>
        <v>6.7740507002318207E-2</v>
      </c>
      <c r="Z57" s="310">
        <f t="shared" si="13"/>
        <v>6.940759499922329E-2</v>
      </c>
      <c r="AA57" s="310">
        <f t="shared" si="13"/>
        <v>7.1779992039430071E-2</v>
      </c>
      <c r="AB57" s="310">
        <f t="shared" si="13"/>
        <v>7.2492556350629234E-2</v>
      </c>
      <c r="AC57" s="310">
        <f t="shared" si="13"/>
        <v>7.3841966565885556E-2</v>
      </c>
      <c r="AD57" s="310">
        <f t="shared" si="13"/>
        <v>7.5521731331437095E-2</v>
      </c>
      <c r="AE57" s="310">
        <f t="shared" si="13"/>
        <v>7.6779244528980869E-2</v>
      </c>
      <c r="AF57" s="310">
        <f t="shared" si="13"/>
        <v>7.783522956289772E-2</v>
      </c>
      <c r="AG57" s="533">
        <f>((AF57-B57)/B57)/30</f>
        <v>-3.5385227855162126E-4</v>
      </c>
    </row>
    <row r="58" spans="1:33" ht="12.9" customHeight="1">
      <c r="A58" s="280" t="s">
        <v>1251</v>
      </c>
      <c r="B58" s="310">
        <f>'Baseline Consumption'!Q41*ramps!C80</f>
        <v>0</v>
      </c>
      <c r="C58" s="310">
        <f>'Baseline Consumption'!R41*ramps!D80</f>
        <v>0</v>
      </c>
      <c r="D58" s="310">
        <f>'Baseline Consumption'!S41*ramps!E80</f>
        <v>0</v>
      </c>
      <c r="E58" s="310">
        <f>'Baseline Consumption'!T41*ramps!F80</f>
        <v>0</v>
      </c>
      <c r="F58" s="310">
        <f>'Baseline Consumption'!U41*ramps!G80</f>
        <v>0</v>
      </c>
      <c r="G58" s="310">
        <f>'Baseline Consumption'!V41*ramps!H80</f>
        <v>0</v>
      </c>
      <c r="H58" s="310">
        <f>'Baseline Consumption'!W41*ramps!I80</f>
        <v>0</v>
      </c>
      <c r="I58" s="310">
        <f>'Baseline Consumption'!X41*ramps!J80</f>
        <v>0</v>
      </c>
      <c r="J58" s="310">
        <f>'Baseline Consumption'!Y41*ramps!K80</f>
        <v>0</v>
      </c>
      <c r="K58" s="310">
        <f>'Baseline Consumption'!Z41*ramps!L80</f>
        <v>0</v>
      </c>
      <c r="L58" s="310">
        <f>'Baseline Consumption'!AA41*ramps!M80</f>
        <v>0</v>
      </c>
      <c r="M58" s="310">
        <f>'Baseline Consumption'!AB41*ramps!N80</f>
        <v>0</v>
      </c>
      <c r="N58" s="310">
        <f>'Baseline Consumption'!AC41*ramps!O80</f>
        <v>0</v>
      </c>
      <c r="O58" s="310">
        <f>'Baseline Consumption'!AD41*ramps!P80</f>
        <v>0</v>
      </c>
      <c r="P58" s="310">
        <f>'Baseline Consumption'!AE41*ramps!Q80</f>
        <v>0</v>
      </c>
      <c r="Q58" s="310">
        <f>'Baseline Consumption'!AF41*ramps!R80</f>
        <v>0</v>
      </c>
      <c r="R58" s="310">
        <f>'Baseline Consumption'!AG41*ramps!S80</f>
        <v>0</v>
      </c>
      <c r="S58" s="310">
        <f>'Baseline Consumption'!AH41*ramps!T80</f>
        <v>0</v>
      </c>
      <c r="T58" s="310">
        <f>'Baseline Consumption'!AI41*ramps!U80</f>
        <v>0</v>
      </c>
      <c r="U58" s="310">
        <f>'Baseline Consumption'!AJ41*ramps!V80</f>
        <v>0</v>
      </c>
      <c r="V58" s="310">
        <f>'Baseline Consumption'!AK41*ramps!W80</f>
        <v>0</v>
      </c>
      <c r="W58" s="310">
        <f>'Baseline Consumption'!AL41*ramps!X80</f>
        <v>0</v>
      </c>
      <c r="X58" s="310">
        <f>'Baseline Consumption'!AM41*ramps!Y80</f>
        <v>0</v>
      </c>
      <c r="Y58" s="310">
        <f>'Baseline Consumption'!AN41*ramps!Z80</f>
        <v>0</v>
      </c>
      <c r="Z58" s="310">
        <f>'Baseline Consumption'!AO41*ramps!AA80</f>
        <v>0</v>
      </c>
      <c r="AA58" s="310">
        <f>'Baseline Consumption'!AP41*ramps!AB80</f>
        <v>0</v>
      </c>
      <c r="AB58" s="310">
        <f>'Baseline Consumption'!AQ41*ramps!AC80</f>
        <v>0</v>
      </c>
      <c r="AC58" s="310">
        <f>'Baseline Consumption'!AR41*ramps!AD80</f>
        <v>0</v>
      </c>
      <c r="AD58" s="310">
        <f>'Baseline Consumption'!AS41*ramps!AE80</f>
        <v>0</v>
      </c>
      <c r="AE58" s="310">
        <f>'Baseline Consumption'!AT41*ramps!AF80</f>
        <v>0</v>
      </c>
      <c r="AF58" s="310">
        <f>'Baseline Consumption'!AU41*ramps!AG80</f>
        <v>0</v>
      </c>
      <c r="AG58" s="533"/>
    </row>
    <row r="59" spans="1:33" ht="12.9" customHeight="1">
      <c r="A59" s="280" t="s">
        <v>1252</v>
      </c>
      <c r="B59" s="310">
        <f>'Baseline Consumption'!Q42*ramps!C80*(1+'Price Change'!B28*ramps!C63)</f>
        <v>1.6841041856630831E-3</v>
      </c>
      <c r="C59" s="310">
        <f>'Baseline Consumption'!R42*ramps!D80*(1+'Price Change'!C28*ramps!D63)</f>
        <v>1.7080899157037751E-3</v>
      </c>
      <c r="D59" s="310">
        <f>'Baseline Consumption'!S42*ramps!E80*(1+'Price Change'!D28*ramps!E63)</f>
        <v>1.7007355941224803E-3</v>
      </c>
      <c r="E59" s="310">
        <f>'Baseline Consumption'!T42*ramps!F80*(1+'Price Change'!E28*ramps!F63)</f>
        <v>1.6859345302787524E-3</v>
      </c>
      <c r="F59" s="310">
        <f>'Baseline Consumption'!U42*ramps!G80*(1+'Price Change'!F28*ramps!G63)</f>
        <v>1.6634767242723876E-3</v>
      </c>
      <c r="G59" s="310">
        <f>'Baseline Consumption'!V42*ramps!H80*(1+'Price Change'!G28*ramps!H63)</f>
        <v>1.6341538319070892E-3</v>
      </c>
      <c r="H59" s="310">
        <f>'Baseline Consumption'!W42*ramps!I80*(1+'Price Change'!H28*ramps!I63)</f>
        <v>1.5858164761794026E-3</v>
      </c>
      <c r="I59" s="310">
        <f>'Baseline Consumption'!X42*ramps!J80*(1+'Price Change'!I28*ramps!J63)</f>
        <v>1.5236008899297188E-3</v>
      </c>
      <c r="J59" s="310">
        <f>'Baseline Consumption'!Y42*ramps!K80*(1+'Price Change'!J28*ramps!K63)</f>
        <v>1.4574445556723046E-3</v>
      </c>
      <c r="K59" s="310">
        <f>'Baseline Consumption'!Z42*ramps!L80*(1+'Price Change'!K28*ramps!L63)</f>
        <v>1.3831444389838922E-3</v>
      </c>
      <c r="L59" s="310">
        <f>'Baseline Consumption'!AA42*ramps!M80*(1+'Price Change'!L28*ramps!M63)</f>
        <v>1.2942730580251755E-3</v>
      </c>
      <c r="M59" s="310">
        <f>'Baseline Consumption'!AB42*ramps!N80*(1+'Price Change'!M28*ramps!N63)</f>
        <v>1.2024307669565913E-3</v>
      </c>
      <c r="N59" s="310">
        <f>'Baseline Consumption'!AC42*ramps!O80*(1+'Price Change'!N28*ramps!O63)</f>
        <v>1.1018136702343729E-3</v>
      </c>
      <c r="O59" s="310">
        <f>'Baseline Consumption'!AD42*ramps!P80*(1+'Price Change'!O28*ramps!P63)</f>
        <v>9.9913146324232243E-4</v>
      </c>
      <c r="P59" s="310">
        <f>'Baseline Consumption'!AE42*ramps!Q80*(1+'Price Change'!P28*ramps!Q63)</f>
        <v>9.2617264801819884E-4</v>
      </c>
      <c r="Q59" s="310">
        <f>'Baseline Consumption'!AF42*ramps!R80*(1+'Price Change'!Q28*ramps!R63)</f>
        <v>8.6510446225650196E-4</v>
      </c>
      <c r="R59" s="310">
        <f>'Baseline Consumption'!AG42*ramps!S80*(1+'Price Change'!R28*ramps!S63)</f>
        <v>8.1430675903249375E-4</v>
      </c>
      <c r="S59" s="310">
        <f>'Baseline Consumption'!AH42*ramps!T80*(1+'Price Change'!S28*ramps!T63)</f>
        <v>7.6284308151942861E-4</v>
      </c>
      <c r="T59" s="310">
        <f>'Baseline Consumption'!AI42*ramps!U80*(1+'Price Change'!T28*ramps!U63)</f>
        <v>7.1285969309894308E-4</v>
      </c>
      <c r="U59" s="310">
        <f>'Baseline Consumption'!AJ42*ramps!V80*(1+'Price Change'!U28*ramps!V63)</f>
        <v>6.6188329468735735E-4</v>
      </c>
      <c r="V59" s="310">
        <f>'Baseline Consumption'!AK42*ramps!W80*(1+'Price Change'!V28*ramps!W63)</f>
        <v>6.6282304062457303E-4</v>
      </c>
      <c r="W59" s="310">
        <f>'Baseline Consumption'!AL42*ramps!X80*(1+'Price Change'!W28*ramps!X63)</f>
        <v>6.6460170247376396E-4</v>
      </c>
      <c r="X59" s="310">
        <f>'Baseline Consumption'!AM42*ramps!Y80*(1+'Price Change'!X28*ramps!Y63)</f>
        <v>6.6554519167146638E-4</v>
      </c>
      <c r="Y59" s="310">
        <f>'Baseline Consumption'!AN42*ramps!Z80*(1+'Price Change'!Y28*ramps!Z63)</f>
        <v>6.6723849460239334E-4</v>
      </c>
      <c r="Z59" s="310">
        <f>'Baseline Consumption'!AO42*ramps!AA80*(1+'Price Change'!Z28*ramps!AA63)</f>
        <v>6.6959122509872761E-4</v>
      </c>
      <c r="AA59" s="310">
        <f>'Baseline Consumption'!AP42*ramps!AB80*(1+'Price Change'!AA28*ramps!AB63)</f>
        <v>6.7380289418411525E-4</v>
      </c>
      <c r="AB59" s="310">
        <f>'Baseline Consumption'!AQ42*ramps!AC80*(1+'Price Change'!AB28*ramps!AC63)</f>
        <v>6.7821049669253492E-4</v>
      </c>
      <c r="AC59" s="310">
        <f>'Baseline Consumption'!AR42*ramps!AD80*(1+'Price Change'!AC28*ramps!AD63)</f>
        <v>6.8144810052023338E-4</v>
      </c>
      <c r="AD59" s="310">
        <f>'Baseline Consumption'!AS42*ramps!AE80*(1+'Price Change'!AD28*ramps!AE63)</f>
        <v>6.8615011361037876E-4</v>
      </c>
      <c r="AE59" s="310">
        <f>'Baseline Consumption'!AT42*ramps!AF80*(1+'Price Change'!AE28*ramps!AF63)</f>
        <v>6.9151309239838272E-4</v>
      </c>
      <c r="AF59" s="310">
        <f>'Baseline Consumption'!AU42*ramps!AG80*(1+'Price Change'!AF28*ramps!AG63)</f>
        <v>6.9593664545395523E-4</v>
      </c>
      <c r="AG59" s="533">
        <f>((AF59-B59)/B59)/30</f>
        <v>-1.9558717499417573E-2</v>
      </c>
    </row>
    <row r="60" spans="1:33" ht="12.9" customHeight="1">
      <c r="A60" s="280" t="s">
        <v>1253</v>
      </c>
      <c r="B60" s="310">
        <f>'Baseline Consumption'!Q43</f>
        <v>0</v>
      </c>
      <c r="C60" s="310">
        <f>'Baseline Consumption'!R43</f>
        <v>0</v>
      </c>
      <c r="D60" s="310">
        <f>'Baseline Consumption'!S43</f>
        <v>0</v>
      </c>
      <c r="E60" s="310">
        <f>'Baseline Consumption'!T43</f>
        <v>0</v>
      </c>
      <c r="F60" s="310">
        <f>'Baseline Consumption'!U43</f>
        <v>0</v>
      </c>
      <c r="G60" s="310">
        <f>'Baseline Consumption'!V43</f>
        <v>0</v>
      </c>
      <c r="H60" s="310">
        <f>'Baseline Consumption'!W43</f>
        <v>0</v>
      </c>
      <c r="I60" s="310">
        <f>'Baseline Consumption'!X43</f>
        <v>0</v>
      </c>
      <c r="J60" s="310">
        <f>'Baseline Consumption'!Y43</f>
        <v>0</v>
      </c>
      <c r="K60" s="310">
        <f>'Baseline Consumption'!Z43</f>
        <v>0</v>
      </c>
      <c r="L60" s="310">
        <f>'Baseline Consumption'!AA43</f>
        <v>0</v>
      </c>
      <c r="M60" s="310">
        <f>'Baseline Consumption'!AB43</f>
        <v>0</v>
      </c>
      <c r="N60" s="310">
        <f>'Baseline Consumption'!AC43</f>
        <v>0</v>
      </c>
      <c r="O60" s="310">
        <f>'Baseline Consumption'!AD43</f>
        <v>0</v>
      </c>
      <c r="P60" s="310">
        <f>'Baseline Consumption'!AE43</f>
        <v>0</v>
      </c>
      <c r="Q60" s="310">
        <f>'Baseline Consumption'!AF43</f>
        <v>0</v>
      </c>
      <c r="R60" s="310">
        <f>'Baseline Consumption'!AG43</f>
        <v>0</v>
      </c>
      <c r="S60" s="310">
        <f>'Baseline Consumption'!AH43</f>
        <v>0</v>
      </c>
      <c r="T60" s="310">
        <f>'Baseline Consumption'!AI43</f>
        <v>0</v>
      </c>
      <c r="U60" s="310">
        <f>'Baseline Consumption'!AJ43</f>
        <v>0</v>
      </c>
      <c r="V60" s="310">
        <f>'Baseline Consumption'!AK43</f>
        <v>0</v>
      </c>
      <c r="W60" s="310">
        <f>'Baseline Consumption'!AL43</f>
        <v>0</v>
      </c>
      <c r="X60" s="310">
        <f>'Baseline Consumption'!AM43</f>
        <v>0</v>
      </c>
      <c r="Y60" s="310">
        <f>'Baseline Consumption'!AN43</f>
        <v>0</v>
      </c>
      <c r="Z60" s="310">
        <f>'Baseline Consumption'!AO43</f>
        <v>0</v>
      </c>
      <c r="AA60" s="310">
        <f>'Baseline Consumption'!AP43</f>
        <v>0</v>
      </c>
      <c r="AB60" s="310">
        <f>'Baseline Consumption'!AQ43</f>
        <v>0</v>
      </c>
      <c r="AC60" s="310">
        <f>'Baseline Consumption'!AR43</f>
        <v>0</v>
      </c>
      <c r="AD60" s="310">
        <f>'Baseline Consumption'!AS43</f>
        <v>0</v>
      </c>
      <c r="AE60" s="310">
        <f>'Baseline Consumption'!AT43</f>
        <v>0</v>
      </c>
      <c r="AF60" s="310">
        <f>'Baseline Consumption'!AU43</f>
        <v>0</v>
      </c>
      <c r="AG60" s="533"/>
    </row>
    <row r="61" spans="1:33" ht="12.9" customHeight="1">
      <c r="A61" s="280" t="s">
        <v>1254</v>
      </c>
      <c r="B61" s="310">
        <f>'Baseline Consumption'!Q44</f>
        <v>0</v>
      </c>
      <c r="C61" s="310">
        <f>'Baseline Consumption'!R44</f>
        <v>0</v>
      </c>
      <c r="D61" s="310">
        <f>'Baseline Consumption'!S44</f>
        <v>0</v>
      </c>
      <c r="E61" s="310">
        <f>'Baseline Consumption'!T44</f>
        <v>0</v>
      </c>
      <c r="F61" s="310">
        <f>'Baseline Consumption'!U44</f>
        <v>0</v>
      </c>
      <c r="G61" s="310">
        <f>'Baseline Consumption'!V44</f>
        <v>0</v>
      </c>
      <c r="H61" s="310">
        <f>'Baseline Consumption'!W44</f>
        <v>0</v>
      </c>
      <c r="I61" s="310">
        <f>'Baseline Consumption'!X44</f>
        <v>0</v>
      </c>
      <c r="J61" s="310">
        <f>'Baseline Consumption'!Y44</f>
        <v>0</v>
      </c>
      <c r="K61" s="310">
        <f>'Baseline Consumption'!Z44</f>
        <v>0</v>
      </c>
      <c r="L61" s="310">
        <f>'Baseline Consumption'!AA44</f>
        <v>0</v>
      </c>
      <c r="M61" s="310">
        <f>'Baseline Consumption'!AB44</f>
        <v>0</v>
      </c>
      <c r="N61" s="310">
        <f>'Baseline Consumption'!AC44</f>
        <v>0</v>
      </c>
      <c r="O61" s="310">
        <f>'Baseline Consumption'!AD44</f>
        <v>0</v>
      </c>
      <c r="P61" s="310">
        <f>'Baseline Consumption'!AE44</f>
        <v>0</v>
      </c>
      <c r="Q61" s="310">
        <f>'Baseline Consumption'!AF44</f>
        <v>0</v>
      </c>
      <c r="R61" s="310">
        <f>'Baseline Consumption'!AG44</f>
        <v>0</v>
      </c>
      <c r="S61" s="310">
        <f>'Baseline Consumption'!AH44</f>
        <v>0</v>
      </c>
      <c r="T61" s="310">
        <f>'Baseline Consumption'!AI44</f>
        <v>0</v>
      </c>
      <c r="U61" s="310">
        <f>'Baseline Consumption'!AJ44</f>
        <v>0</v>
      </c>
      <c r="V61" s="310">
        <f>'Baseline Consumption'!AK44</f>
        <v>0</v>
      </c>
      <c r="W61" s="310">
        <f>'Baseline Consumption'!AL44</f>
        <v>0</v>
      </c>
      <c r="X61" s="310">
        <f>'Baseline Consumption'!AM44</f>
        <v>0</v>
      </c>
      <c r="Y61" s="310">
        <f>'Baseline Consumption'!AN44</f>
        <v>0</v>
      </c>
      <c r="Z61" s="310">
        <f>'Baseline Consumption'!AO44</f>
        <v>0</v>
      </c>
      <c r="AA61" s="310">
        <f>'Baseline Consumption'!AP44</f>
        <v>0</v>
      </c>
      <c r="AB61" s="310">
        <f>'Baseline Consumption'!AQ44</f>
        <v>0</v>
      </c>
      <c r="AC61" s="310">
        <f>'Baseline Consumption'!AR44</f>
        <v>0</v>
      </c>
      <c r="AD61" s="310">
        <f>'Baseline Consumption'!AS44</f>
        <v>0</v>
      </c>
      <c r="AE61" s="310">
        <f>'Baseline Consumption'!AT44</f>
        <v>0</v>
      </c>
      <c r="AF61" s="310">
        <f>'Baseline Consumption'!AU44</f>
        <v>0</v>
      </c>
      <c r="AG61" s="533"/>
    </row>
    <row r="62" spans="1:33" ht="12.9" customHeight="1">
      <c r="A62" s="280" t="s">
        <v>1255</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533"/>
    </row>
    <row r="63" spans="1:33" ht="12.9" customHeight="1">
      <c r="A63" s="280" t="s">
        <v>1256</v>
      </c>
      <c r="B63" s="310">
        <f>'Baseline Consumption'!Q46</f>
        <v>1.9889454293571491E-2</v>
      </c>
      <c r="C63" s="310">
        <f>'Baseline Consumption'!R46</f>
        <v>1.9853302468950874E-2</v>
      </c>
      <c r="D63" s="310">
        <f>'Baseline Consumption'!S46</f>
        <v>1.9695490405470667E-2</v>
      </c>
      <c r="E63" s="310">
        <f>'Baseline Consumption'!T46</f>
        <v>1.9418061172551675E-2</v>
      </c>
      <c r="F63" s="310">
        <f>'Baseline Consumption'!U46</f>
        <v>1.9139581039458488E-2</v>
      </c>
      <c r="G63" s="310">
        <f>'Baseline Consumption'!V46</f>
        <v>1.8656396926684242E-2</v>
      </c>
      <c r="H63" s="310">
        <f>'Baseline Consumption'!W46</f>
        <v>1.8423834527361963E-2</v>
      </c>
      <c r="I63" s="310">
        <f>'Baseline Consumption'!X46</f>
        <v>1.8214092577693995E-2</v>
      </c>
      <c r="J63" s="310">
        <f>'Baseline Consumption'!Y46</f>
        <v>1.881766411231622E-2</v>
      </c>
      <c r="K63" s="310">
        <f>'Baseline Consumption'!Z46</f>
        <v>1.870247742115401E-2</v>
      </c>
      <c r="L63" s="310">
        <f>'Baseline Consumption'!AA46</f>
        <v>1.8862444162716083E-2</v>
      </c>
      <c r="M63" s="310">
        <f>'Baseline Consumption'!AB46</f>
        <v>1.8399634577748639E-2</v>
      </c>
      <c r="N63" s="310">
        <f>'Baseline Consumption'!AC46</f>
        <v>1.8050712362744203E-2</v>
      </c>
      <c r="O63" s="310">
        <f>'Baseline Consumption'!AD46</f>
        <v>1.7685906302609591E-2</v>
      </c>
      <c r="P63" s="310">
        <f>'Baseline Consumption'!AE46</f>
        <v>1.7426642776983775E-2</v>
      </c>
      <c r="Q63" s="310">
        <f>'Baseline Consumption'!AF46</f>
        <v>1.721356831409759E-2</v>
      </c>
      <c r="R63" s="310">
        <f>'Baseline Consumption'!AG46</f>
        <v>1.7197561954022597E-2</v>
      </c>
      <c r="S63" s="310">
        <f>'Baseline Consumption'!AH46</f>
        <v>1.7191757693403042E-2</v>
      </c>
      <c r="T63" s="310">
        <f>'Baseline Consumption'!AI46</f>
        <v>1.7185853787057913E-2</v>
      </c>
      <c r="U63" s="310">
        <f>'Baseline Consumption'!AJ46</f>
        <v>1.7196483627591058E-2</v>
      </c>
      <c r="V63" s="310">
        <f>'Baseline Consumption'!AK46</f>
        <v>1.7203328917754526E-2</v>
      </c>
      <c r="W63" s="310">
        <f>'Baseline Consumption'!AL46</f>
        <v>1.7209260670440471E-2</v>
      </c>
      <c r="X63" s="310">
        <f>'Baseline Consumption'!AM46</f>
        <v>1.6516290535705618E-2</v>
      </c>
      <c r="Y63" s="310">
        <f>'Baseline Consumption'!AN46</f>
        <v>1.5830472355375626E-2</v>
      </c>
      <c r="Z63" s="310">
        <f>'Baseline Consumption'!AO46</f>
        <v>1.5980459085688799E-2</v>
      </c>
      <c r="AA63" s="310">
        <f>'Baseline Consumption'!AP46</f>
        <v>1.6178713021897214E-2</v>
      </c>
      <c r="AB63" s="310">
        <f>'Baseline Consumption'!AQ46</f>
        <v>1.6186477688119063E-2</v>
      </c>
      <c r="AC63" s="310">
        <f>'Baseline Consumption'!AR46</f>
        <v>1.6220315582347995E-2</v>
      </c>
      <c r="AD63" s="310">
        <f>'Baseline Consumption'!AS46</f>
        <v>1.6222460583672303E-2</v>
      </c>
      <c r="AE63" s="310">
        <f>'Baseline Consumption'!AT46</f>
        <v>1.6189238884806494E-2</v>
      </c>
      <c r="AF63" s="310">
        <f>'Baseline Consumption'!AU46</f>
        <v>1.6147345722336597E-2</v>
      </c>
      <c r="AG63" s="533">
        <f>((AF63-B63)/B63)/30</f>
        <v>-6.2715120552509539E-3</v>
      </c>
    </row>
    <row r="64" spans="1:33" ht="12.9" customHeight="1">
      <c r="A64" s="280" t="s">
        <v>1244</v>
      </c>
      <c r="B64" s="310">
        <f>'Baseline Consumption'!Q47</f>
        <v>8.49020907744166E-2</v>
      </c>
      <c r="C64" s="310">
        <f>'Baseline Consumption'!R47</f>
        <v>8.7157366640221015E-2</v>
      </c>
      <c r="D64" s="310">
        <f>'Baseline Consumption'!S47</f>
        <v>8.9050990089436968E-2</v>
      </c>
      <c r="E64" s="310">
        <f>'Baseline Consumption'!T47</f>
        <v>9.1102807230961966E-2</v>
      </c>
      <c r="F64" s="310">
        <f>'Baseline Consumption'!U47</f>
        <v>9.342491622841631E-2</v>
      </c>
      <c r="G64" s="310">
        <f>'Baseline Consumption'!V47</f>
        <v>9.594733302024494E-2</v>
      </c>
      <c r="H64" s="310">
        <f>'Baseline Consumption'!W47</f>
        <v>9.798454757154175E-2</v>
      </c>
      <c r="I64" s="310">
        <f>'Baseline Consumption'!X47</f>
        <v>9.9191579653287343E-2</v>
      </c>
      <c r="J64" s="310">
        <f>'Baseline Consumption'!Y47</f>
        <v>0.10062618815910819</v>
      </c>
      <c r="K64" s="310">
        <f>'Baseline Consumption'!Z47</f>
        <v>0.10207682048368064</v>
      </c>
      <c r="L64" s="310">
        <f>'Baseline Consumption'!AA47</f>
        <v>0.10327909105533514</v>
      </c>
      <c r="M64" s="310">
        <f>'Baseline Consumption'!AB47</f>
        <v>0.10485450572927298</v>
      </c>
      <c r="N64" s="310">
        <f>'Baseline Consumption'!AC47</f>
        <v>0.10629087946990952</v>
      </c>
      <c r="O64" s="310">
        <f>'Baseline Consumption'!AD47</f>
        <v>0.10781484410728255</v>
      </c>
      <c r="P64" s="310">
        <f>'Baseline Consumption'!AE47</f>
        <v>0.11003931655214362</v>
      </c>
      <c r="Q64" s="310">
        <f>'Baseline Consumption'!AF47</f>
        <v>0.11237022434411294</v>
      </c>
      <c r="R64" s="310">
        <f>'Baseline Consumption'!AG47</f>
        <v>0.11466523408494736</v>
      </c>
      <c r="S64" s="310">
        <f>'Baseline Consumption'!AH47</f>
        <v>0.11690723844664606</v>
      </c>
      <c r="T64" s="310">
        <f>'Baseline Consumption'!AI47</f>
        <v>0.11928743949216483</v>
      </c>
      <c r="U64" s="310">
        <f>'Baseline Consumption'!AJ47</f>
        <v>0.12126463407293758</v>
      </c>
      <c r="V64" s="310">
        <f>'Baseline Consumption'!AK47</f>
        <v>0.12327964375939604</v>
      </c>
      <c r="W64" s="310">
        <f>'Baseline Consumption'!AL47</f>
        <v>0.12546212485811559</v>
      </c>
      <c r="X64" s="310">
        <f>'Baseline Consumption'!AM47</f>
        <v>0.12736088307329846</v>
      </c>
      <c r="Y64" s="310">
        <f>'Baseline Consumption'!AN47</f>
        <v>0.12907512505654559</v>
      </c>
      <c r="Z64" s="310">
        <f>'Baseline Consumption'!AO47</f>
        <v>0.13114663810251159</v>
      </c>
      <c r="AA64" s="310">
        <f>'Baseline Consumption'!AP47</f>
        <v>0.13329003042403997</v>
      </c>
      <c r="AB64" s="310">
        <f>'Baseline Consumption'!AQ47</f>
        <v>0.1354719488282588</v>
      </c>
      <c r="AC64" s="310">
        <f>'Baseline Consumption'!AR47</f>
        <v>0.13761067720570705</v>
      </c>
      <c r="AD64" s="310">
        <f>'Baseline Consumption'!AS47</f>
        <v>0.13959879625980559</v>
      </c>
      <c r="AE64" s="310">
        <f>'Baseline Consumption'!AT47</f>
        <v>0.14134206133713487</v>
      </c>
      <c r="AF64" s="310">
        <f>'Baseline Consumption'!AU47</f>
        <v>0.14313743379132579</v>
      </c>
      <c r="AG64" s="533">
        <f>((AF64-B64)/B64)/30</f>
        <v>2.2863725532052171E-2</v>
      </c>
    </row>
    <row r="65" spans="1:33" ht="12.9" customHeight="1">
      <c r="A65" s="377" t="s">
        <v>1261</v>
      </c>
      <c r="B65" s="310">
        <f>'Baseline Consumption'!Q48*ramps!C81*(1+'Price Change'!B30*ramps!C63)</f>
        <v>7.7058468294966806E-2</v>
      </c>
      <c r="C65" s="310">
        <f>'Baseline Consumption'!R48*ramps!D81*(1+'Price Change'!C30*ramps!D63)</f>
        <v>7.7519394932984528E-2</v>
      </c>
      <c r="D65" s="310">
        <f>'Baseline Consumption'!S48*ramps!E81*(1+'Price Change'!D30*ramps!E63)</f>
        <v>7.8050599379053009E-2</v>
      </c>
      <c r="E65" s="310">
        <f>'Baseline Consumption'!T48*ramps!F81*(1+'Price Change'!E30*ramps!F63)</f>
        <v>7.8553486294237404E-2</v>
      </c>
      <c r="F65" s="310">
        <f>'Baseline Consumption'!U48*ramps!G81*(1+'Price Change'!F30*ramps!G63)</f>
        <v>7.9256401373253557E-2</v>
      </c>
      <c r="G65" s="310">
        <f>'Baseline Consumption'!V48*ramps!H81*(1+'Price Change'!G30*ramps!H63)</f>
        <v>8.0226843129203793E-2</v>
      </c>
      <c r="H65" s="310">
        <f>'Baseline Consumption'!W48*ramps!I81*(1+'Price Change'!H30*ramps!I63)</f>
        <v>8.1089969558646072E-2</v>
      </c>
      <c r="I65" s="310">
        <f>'Baseline Consumption'!X48*ramps!J81*(1+'Price Change'!I30*ramps!J63)</f>
        <v>8.1854773336071607E-2</v>
      </c>
      <c r="J65" s="310">
        <f>'Baseline Consumption'!Y48*ramps!K81*(1+'Price Change'!J30*ramps!K63)</f>
        <v>8.2557822604748476E-2</v>
      </c>
      <c r="K65" s="310">
        <f>'Baseline Consumption'!Z48*ramps!L81*(1+'Price Change'!K30*ramps!L63)</f>
        <v>8.3275629914640367E-2</v>
      </c>
      <c r="L65" s="310">
        <f>'Baseline Consumption'!AA48*ramps!M81*(1+'Price Change'!L30*ramps!M63)</f>
        <v>8.4394149771862728E-2</v>
      </c>
      <c r="M65" s="310">
        <f>'Baseline Consumption'!AB48*ramps!N81*(1+'Price Change'!M30*ramps!N63)</f>
        <v>8.458322425970044E-2</v>
      </c>
      <c r="N65" s="310">
        <f>'Baseline Consumption'!AC48*ramps!O81*(1+'Price Change'!N30*ramps!O63)</f>
        <v>8.5759976618709668E-2</v>
      </c>
      <c r="O65" s="310">
        <f>'Baseline Consumption'!AD48*ramps!P81*(1+'Price Change'!O30*ramps!P63)</f>
        <v>8.6957832959381087E-2</v>
      </c>
      <c r="P65" s="310">
        <f>'Baseline Consumption'!AE48*ramps!Q81*(1+'Price Change'!P30*ramps!Q63)</f>
        <v>8.8226510799046448E-2</v>
      </c>
      <c r="Q65" s="310">
        <f>'Baseline Consumption'!AF48*ramps!R81*(1+'Price Change'!Q30*ramps!R63)</f>
        <v>8.9609924593044982E-2</v>
      </c>
      <c r="R65" s="310">
        <f>'Baseline Consumption'!AG48*ramps!S81*(1+'Price Change'!R30*ramps!S63)</f>
        <v>9.0540730363992072E-2</v>
      </c>
      <c r="S65" s="310">
        <f>'Baseline Consumption'!AH48*ramps!T81*(1+'Price Change'!S30*ramps!T63)</f>
        <v>9.1712016440545163E-2</v>
      </c>
      <c r="T65" s="310">
        <f>'Baseline Consumption'!AI48*ramps!U81*(1+'Price Change'!T30*ramps!U63)</f>
        <v>9.2888858670953589E-2</v>
      </c>
      <c r="U65" s="310">
        <f>'Baseline Consumption'!AJ48*ramps!V81*(1+'Price Change'!U30*ramps!V63)</f>
        <v>9.4072428722097312E-2</v>
      </c>
      <c r="V65" s="310">
        <f>'Baseline Consumption'!AK48*ramps!W81*(1+'Price Change'!V30*ramps!W63)</f>
        <v>9.5277613852821547E-2</v>
      </c>
      <c r="W65" s="310">
        <f>'Baseline Consumption'!AL48*ramps!X81*(1+'Price Change'!W30*ramps!X63)</f>
        <v>9.6486536581055146E-2</v>
      </c>
      <c r="X65" s="310">
        <f>'Baseline Consumption'!AM48*ramps!Y81*(1+'Price Change'!X30*ramps!Y63)</f>
        <v>9.7696115821392482E-2</v>
      </c>
      <c r="Y65" s="310">
        <f>'Baseline Consumption'!AN48*ramps!Z81*(1+'Price Change'!Y30*ramps!Z63)</f>
        <v>9.8907246792813444E-2</v>
      </c>
      <c r="Z65" s="310">
        <f>'Baseline Consumption'!AO48*ramps!AA81*(1+'Price Change'!Z30*ramps!AA63)</f>
        <v>0.10012042917161267</v>
      </c>
      <c r="AA65" s="310">
        <f>'Baseline Consumption'!AP48*ramps!AB81*(1+'Price Change'!AA30*ramps!AB63)</f>
        <v>0.10133550796422275</v>
      </c>
      <c r="AB65" s="310">
        <f>'Baseline Consumption'!AQ48*ramps!AC81*(1+'Price Change'!AB30*ramps!AC63)</f>
        <v>0.10248345456963964</v>
      </c>
      <c r="AC65" s="310">
        <f>'Baseline Consumption'!AR48*ramps!AD81*(1+'Price Change'!AC30*ramps!AD63)</f>
        <v>0.10363147367317802</v>
      </c>
      <c r="AD65" s="310">
        <f>'Baseline Consumption'!AS48*ramps!AE81*(1+'Price Change'!AD30*ramps!AE63)</f>
        <v>0.10477944856514293</v>
      </c>
      <c r="AE65" s="310">
        <f>'Baseline Consumption'!AT48*ramps!AF81*(1+'Price Change'!AE30*ramps!AF63)</f>
        <v>0.10592750881696905</v>
      </c>
      <c r="AF65" s="310">
        <f>'Baseline Consumption'!AU48*ramps!AG81*(1+'Price Change'!AF30*ramps!AG63)</f>
        <v>0.10707561879723222</v>
      </c>
      <c r="AG65" s="533">
        <f>((AF65-B65)/B65)/30</f>
        <v>1.2984577886739557E-2</v>
      </c>
    </row>
    <row r="66" spans="1:33" ht="12.9" customHeight="1">
      <c r="A66" s="71" t="s">
        <v>1245</v>
      </c>
      <c r="B66" s="310">
        <f t="shared" ref="B66:V66" si="14">SUM(B48:B56,B58:B65)</f>
        <v>0.36741638272179472</v>
      </c>
      <c r="C66" s="310">
        <f t="shared" si="14"/>
        <v>0.36666540746054538</v>
      </c>
      <c r="D66" s="310">
        <f t="shared" si="14"/>
        <v>0.36569384155751683</v>
      </c>
      <c r="E66" s="310">
        <f t="shared" si="14"/>
        <v>0.3639546302331067</v>
      </c>
      <c r="F66" s="310">
        <f t="shared" si="14"/>
        <v>0.37030713004585331</v>
      </c>
      <c r="G66" s="310">
        <f t="shared" si="14"/>
        <v>0.37063064331439355</v>
      </c>
      <c r="H66" s="310">
        <f t="shared" si="14"/>
        <v>0.36994299923248614</v>
      </c>
      <c r="I66" s="310">
        <f t="shared" si="14"/>
        <v>0.36312621558442099</v>
      </c>
      <c r="J66" s="310">
        <f t="shared" si="14"/>
        <v>0.36160967938059529</v>
      </c>
      <c r="K66" s="310">
        <f t="shared" si="14"/>
        <v>0.35293366380983765</v>
      </c>
      <c r="L66" s="310">
        <f t="shared" si="14"/>
        <v>0.3530367463436575</v>
      </c>
      <c r="M66" s="310">
        <f t="shared" si="14"/>
        <v>0.35095217789948335</v>
      </c>
      <c r="N66" s="310">
        <f t="shared" si="14"/>
        <v>0.35132865906957</v>
      </c>
      <c r="O66" s="310">
        <f t="shared" si="14"/>
        <v>0.35212104140991812</v>
      </c>
      <c r="P66" s="310">
        <f t="shared" si="14"/>
        <v>0.35698000881849379</v>
      </c>
      <c r="Q66" s="310">
        <f t="shared" si="14"/>
        <v>0.36130256959831497</v>
      </c>
      <c r="R66" s="310">
        <f t="shared" si="14"/>
        <v>0.36506372331150022</v>
      </c>
      <c r="S66" s="310">
        <f t="shared" si="14"/>
        <v>0.36923072226261083</v>
      </c>
      <c r="T66" s="310">
        <f t="shared" si="14"/>
        <v>0.37417331671826604</v>
      </c>
      <c r="U66" s="310">
        <f t="shared" si="14"/>
        <v>0.37975871782046877</v>
      </c>
      <c r="V66" s="418">
        <f t="shared" si="14"/>
        <v>0.38427462768826215</v>
      </c>
      <c r="W66" s="418">
        <f t="shared" ref="W66:AF66" si="15">SUM(W48:W56,W58:W65)</f>
        <v>0.38954246162411815</v>
      </c>
      <c r="X66" s="418">
        <f t="shared" si="15"/>
        <v>0.3931673994983782</v>
      </c>
      <c r="Y66" s="418">
        <f t="shared" si="15"/>
        <v>0.39796549006625531</v>
      </c>
      <c r="Z66" s="418">
        <f t="shared" si="15"/>
        <v>0.40366130708444881</v>
      </c>
      <c r="AA66" s="418">
        <f t="shared" si="15"/>
        <v>0.41179624592759684</v>
      </c>
      <c r="AB66" s="418">
        <f t="shared" si="15"/>
        <v>0.41696296934447591</v>
      </c>
      <c r="AC66" s="418">
        <f t="shared" si="15"/>
        <v>0.42275500092851848</v>
      </c>
      <c r="AD66" s="418">
        <f t="shared" si="15"/>
        <v>0.42899298864239138</v>
      </c>
      <c r="AE66" s="418">
        <f t="shared" si="15"/>
        <v>0.43433089035217726</v>
      </c>
      <c r="AF66" s="418">
        <f t="shared" si="15"/>
        <v>0.44042120305476257</v>
      </c>
      <c r="AG66" s="533">
        <f>((AF66-B66)/B66)/30</f>
        <v>6.6232594014229186E-3</v>
      </c>
    </row>
    <row r="67" spans="1:33" ht="12.9" customHeight="1">
      <c r="A67" s="28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row>
    <row r="68" spans="1:33" ht="12.9" customHeight="1">
      <c r="A68" s="250" t="s">
        <v>79</v>
      </c>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6"/>
    </row>
    <row r="69" spans="1:33" s="377" customFormat="1" ht="12.9" customHeight="1">
      <c r="A69" s="253" t="s">
        <v>6</v>
      </c>
      <c r="B69" s="417">
        <v>2020</v>
      </c>
      <c r="C69" s="417">
        <v>2021</v>
      </c>
      <c r="D69" s="417">
        <v>2022</v>
      </c>
      <c r="E69" s="417">
        <v>2023</v>
      </c>
      <c r="F69" s="417">
        <v>2024</v>
      </c>
      <c r="G69" s="417">
        <v>2025</v>
      </c>
      <c r="H69" s="417">
        <v>2026</v>
      </c>
      <c r="I69" s="417">
        <v>2027</v>
      </c>
      <c r="J69" s="417">
        <v>2028</v>
      </c>
      <c r="K69" s="417">
        <v>2029</v>
      </c>
      <c r="L69" s="417">
        <v>2030</v>
      </c>
      <c r="M69" s="417">
        <v>2031</v>
      </c>
      <c r="N69" s="417">
        <v>2032</v>
      </c>
      <c r="O69" s="417">
        <v>2033</v>
      </c>
      <c r="P69" s="417">
        <v>2034</v>
      </c>
      <c r="Q69" s="417">
        <v>2035</v>
      </c>
      <c r="R69" s="417">
        <v>2036</v>
      </c>
      <c r="S69" s="417">
        <v>2037</v>
      </c>
      <c r="T69" s="417">
        <v>2038</v>
      </c>
      <c r="U69" s="417">
        <v>2039</v>
      </c>
      <c r="V69" s="417">
        <v>2040</v>
      </c>
      <c r="W69" s="417">
        <v>2041</v>
      </c>
      <c r="X69" s="417">
        <v>2042</v>
      </c>
      <c r="Y69" s="417">
        <v>2043</v>
      </c>
      <c r="Z69" s="417">
        <v>2044</v>
      </c>
      <c r="AA69" s="417">
        <v>2045</v>
      </c>
      <c r="AB69" s="417">
        <v>2046</v>
      </c>
      <c r="AC69" s="417">
        <v>2047</v>
      </c>
      <c r="AD69" s="417">
        <v>2048</v>
      </c>
      <c r="AE69" s="417">
        <v>2049</v>
      </c>
      <c r="AF69" s="417">
        <v>2050</v>
      </c>
    </row>
    <row r="70" spans="1:33" ht="12.9" customHeight="1">
      <c r="A70" s="280" t="s">
        <v>1242</v>
      </c>
      <c r="B70" s="310">
        <f>'Baseline Consumption'!Q53*(1+'Price Change'!B34*ramps!C51)</f>
        <v>2.1360353522349785E-4</v>
      </c>
      <c r="C70" s="310">
        <f>'Baseline Consumption'!R53*(1+'Price Change'!C34*ramps!D51)</f>
        <v>2.1132433324705504E-4</v>
      </c>
      <c r="D70" s="310">
        <f>'Baseline Consumption'!S53*(1+'Price Change'!D34*ramps!E51)</f>
        <v>2.0748848888737162E-4</v>
      </c>
      <c r="E70" s="310">
        <f>'Baseline Consumption'!T53*(1+'Price Change'!E34*ramps!F51)</f>
        <v>2.0466097587976123E-4</v>
      </c>
      <c r="F70" s="310">
        <f>'Baseline Consumption'!U53*(1+'Price Change'!F34*ramps!G51)</f>
        <v>2.0081171935999303E-4</v>
      </c>
      <c r="G70" s="310">
        <f>'Baseline Consumption'!V53*(1+'Price Change'!G34*ramps!H51)</f>
        <v>1.9602996155413267E-4</v>
      </c>
      <c r="H70" s="310">
        <f>'Baseline Consumption'!W53*(1+'Price Change'!H34*ramps!I51)</f>
        <v>1.925071827926257E-4</v>
      </c>
      <c r="I70" s="310">
        <f>'Baseline Consumption'!X53*(1+'Price Change'!I34*ramps!J51)</f>
        <v>1.8998924625577743E-4</v>
      </c>
      <c r="J70" s="310">
        <f>'Baseline Consumption'!Y53*(1+'Price Change'!J34*ramps!K51)</f>
        <v>1.8687396739817637E-4</v>
      </c>
      <c r="K70" s="310">
        <f>'Baseline Consumption'!Z53*(1+'Price Change'!K34*ramps!L51)</f>
        <v>1.8504052620978118E-4</v>
      </c>
      <c r="L70" s="310">
        <f>'Baseline Consumption'!AA53*(1+'Price Change'!L34*ramps!M51)</f>
        <v>1.8317278310737154E-4</v>
      </c>
      <c r="M70" s="310">
        <f>'Baseline Consumption'!AB53*(1+'Price Change'!M34*ramps!N51)</f>
        <v>1.8148879711324005E-4</v>
      </c>
      <c r="N70" s="310">
        <f>'Baseline Consumption'!AC53*(1+'Price Change'!N34*ramps!O51)</f>
        <v>1.8084076845959195E-4</v>
      </c>
      <c r="O70" s="310">
        <f>'Baseline Consumption'!AD53*(1+'Price Change'!O34*ramps!P51)</f>
        <v>1.8024084904622815E-4</v>
      </c>
      <c r="P70" s="310">
        <f>'Baseline Consumption'!AE53*(1+'Price Change'!P34*ramps!Q51)</f>
        <v>1.8090680307989446E-4</v>
      </c>
      <c r="Q70" s="310">
        <f>'Baseline Consumption'!AF53*(1+'Price Change'!Q34*ramps!R51)</f>
        <v>1.8212254648837991E-4</v>
      </c>
      <c r="R70" s="310">
        <f>'Baseline Consumption'!AG53*(1+'Price Change'!R34*ramps!S51)</f>
        <v>1.8454023905622891E-4</v>
      </c>
      <c r="S70" s="310">
        <f>'Baseline Consumption'!AH53*(1+'Price Change'!S34*ramps!T51)</f>
        <v>1.8696583982493121E-4</v>
      </c>
      <c r="T70" s="310">
        <f>'Baseline Consumption'!AI53*(1+'Price Change'!T34*ramps!U51)</f>
        <v>1.9007381603768954E-4</v>
      </c>
      <c r="U70" s="310">
        <f>'Baseline Consumption'!AJ53*(1+'Price Change'!U34*ramps!V51)</f>
        <v>1.9318542765005877E-4</v>
      </c>
      <c r="V70" s="310">
        <f>'Baseline Consumption'!AK53*(1+'Price Change'!V34*ramps!W51)</f>
        <v>1.9640019809102154E-4</v>
      </c>
      <c r="W70" s="310">
        <f>'Baseline Consumption'!AL53*(1+'Price Change'!W34*ramps!X51)</f>
        <v>2.0009273357429644E-4</v>
      </c>
      <c r="X70" s="310">
        <f>'Baseline Consumption'!AM53*(1+'Price Change'!X34*ramps!Y51)</f>
        <v>2.0371915424977408E-4</v>
      </c>
      <c r="Y70" s="310">
        <f>'Baseline Consumption'!AN53*(1+'Price Change'!Y34*ramps!Z51)</f>
        <v>2.0720236203851603E-4</v>
      </c>
      <c r="Z70" s="310">
        <f>'Baseline Consumption'!AO53*(1+'Price Change'!Z34*ramps!AA51)</f>
        <v>2.108018271051373E-4</v>
      </c>
      <c r="AA70" s="310">
        <f>'Baseline Consumption'!AP53*(1+'Price Change'!AA34*ramps!AB51)</f>
        <v>2.1459349745806312E-4</v>
      </c>
      <c r="AB70" s="310">
        <f>'Baseline Consumption'!AQ53*(1+'Price Change'!AB34*ramps!AC51)</f>
        <v>2.1870514193026539E-4</v>
      </c>
      <c r="AC70" s="310">
        <f>'Baseline Consumption'!AR53*(1+'Price Change'!AC34*ramps!AD51)</f>
        <v>2.2330597039650044E-4</v>
      </c>
      <c r="AD70" s="310">
        <f>'Baseline Consumption'!AS53*(1+'Price Change'!AD34*ramps!AE51)</f>
        <v>2.2735154654342045E-4</v>
      </c>
      <c r="AE70" s="310">
        <f>'Baseline Consumption'!AT53*(1+'Price Change'!AE34*ramps!AF51)</f>
        <v>2.317445662244029E-4</v>
      </c>
      <c r="AF70" s="310">
        <f>'Baseline Consumption'!AU53*(1+'Price Change'!AF34*ramps!AG51)</f>
        <v>2.3676058964408684E-4</v>
      </c>
      <c r="AG70" s="533">
        <f t="shared" ref="AG70:AG81" si="16">((AF70-B70)/B70)/30</f>
        <v>3.6137127281717311E-3</v>
      </c>
    </row>
    <row r="71" spans="1:33" ht="12.9" customHeight="1">
      <c r="A71" s="280" t="s">
        <v>1257</v>
      </c>
      <c r="B71" s="310">
        <f>'Baseline Consumption'!Q54*ramps!C83*(1+'Price Change'!B35*ramps!C51)</f>
        <v>1.4723154217455704E-3</v>
      </c>
      <c r="C71" s="310">
        <f>'Baseline Consumption'!R54*ramps!D83*(1+'Price Change'!C35*ramps!D51)</f>
        <v>1.7943809730757846E-3</v>
      </c>
      <c r="D71" s="310">
        <f>'Baseline Consumption'!S54*ramps!E83*(1+'Price Change'!D35*ramps!E51)</f>
        <v>2.0541731183825246E-3</v>
      </c>
      <c r="E71" s="310">
        <f>'Baseline Consumption'!T54*ramps!F83*(1+'Price Change'!E35*ramps!F51)</f>
        <v>2.2840610228499285E-3</v>
      </c>
      <c r="F71" s="310">
        <f>'Baseline Consumption'!U54*ramps!G83*(1+'Price Change'!F35*ramps!G51)</f>
        <v>3.1691766134350763E-3</v>
      </c>
      <c r="G71" s="310">
        <f>'Baseline Consumption'!V54*ramps!H83*(1+'Price Change'!G35*ramps!H51)</f>
        <v>4.1895408747923473E-3</v>
      </c>
      <c r="H71" s="310">
        <f>'Baseline Consumption'!W54*ramps!I83*(1+'Price Change'!H35*ramps!I51)</f>
        <v>4.2998386660355829E-3</v>
      </c>
      <c r="I71" s="310">
        <f>'Baseline Consumption'!X54*ramps!J83*(1+'Price Change'!I35*ramps!J51)</f>
        <v>4.8244847605722219E-3</v>
      </c>
      <c r="J71" s="310">
        <f>'Baseline Consumption'!Y54*ramps!K83*(1+'Price Change'!J35*ramps!K51)</f>
        <v>5.1937256496838108E-3</v>
      </c>
      <c r="K71" s="310">
        <f>'Baseline Consumption'!Z54*ramps!L83*(1+'Price Change'!K35*ramps!L51)</f>
        <v>6.4172218654860213E-3</v>
      </c>
      <c r="L71" s="310">
        <f>'Baseline Consumption'!AA54*ramps!M83*(1+'Price Change'!L35*ramps!M51)</f>
        <v>6.937049400776738E-3</v>
      </c>
      <c r="M71" s="310">
        <f>'Baseline Consumption'!AB54*ramps!N83*(1+'Price Change'!M35*ramps!N51)</f>
        <v>7.2530243422415566E-3</v>
      </c>
      <c r="N71" s="310">
        <f>'Baseline Consumption'!AC54*ramps!O83*(1+'Price Change'!N35*ramps!O51)</f>
        <v>7.3339498880097224E-3</v>
      </c>
      <c r="O71" s="310">
        <f>'Baseline Consumption'!AD54*ramps!P83*(1+'Price Change'!O35*ramps!P51)</f>
        <v>7.4723791336648859E-3</v>
      </c>
      <c r="P71" s="310">
        <f>'Baseline Consumption'!AE54*ramps!Q83*(1+'Price Change'!P35*ramps!Q51)</f>
        <v>7.7800124061583667E-3</v>
      </c>
      <c r="Q71" s="310">
        <f>'Baseline Consumption'!AF54*ramps!R83*(1+'Price Change'!Q35*ramps!R51)</f>
        <v>7.8462937188319391E-3</v>
      </c>
      <c r="R71" s="310">
        <f>'Baseline Consumption'!AG54*ramps!S83*(1+'Price Change'!R35*ramps!S51)</f>
        <v>8.1560029690829899E-3</v>
      </c>
      <c r="S71" s="310">
        <f>'Baseline Consumption'!AH54*ramps!T83*(1+'Price Change'!S35*ramps!T51)</f>
        <v>8.3788564320917292E-3</v>
      </c>
      <c r="T71" s="310">
        <f>'Baseline Consumption'!AI54*ramps!U83*(1+'Price Change'!T35*ramps!U51)</f>
        <v>8.5564072684058065E-3</v>
      </c>
      <c r="U71" s="310">
        <f>'Baseline Consumption'!AJ54*ramps!V83*(1+'Price Change'!U35*ramps!V51)</f>
        <v>8.5558933353119884E-3</v>
      </c>
      <c r="V71" s="310">
        <f>'Baseline Consumption'!AK54*ramps!W83*(1+'Price Change'!V35*ramps!W51)</f>
        <v>8.5560869636994788E-3</v>
      </c>
      <c r="W71" s="310">
        <f>'Baseline Consumption'!AL54*ramps!X83*(1+'Price Change'!W35*ramps!X51)</f>
        <v>8.3477619025228503E-3</v>
      </c>
      <c r="X71" s="310">
        <f>'Baseline Consumption'!AM54*ramps!Y83*(1+'Price Change'!X35*ramps!Y51)</f>
        <v>8.1291547651885527E-3</v>
      </c>
      <c r="Y71" s="310">
        <f>'Baseline Consumption'!AN54*ramps!Z83*(1+'Price Change'!Y35*ramps!Z51)</f>
        <v>7.7082220064733711E-3</v>
      </c>
      <c r="Z71" s="310">
        <f>'Baseline Consumption'!AO54*ramps!AA83*(1+'Price Change'!Z35*ramps!AA51)</f>
        <v>7.3240192079115684E-3</v>
      </c>
      <c r="AA71" s="310">
        <f>'Baseline Consumption'!AP54*ramps!AB83*(1+'Price Change'!AA35*ramps!AB51)</f>
        <v>7.0325171105741578E-3</v>
      </c>
      <c r="AB71" s="310">
        <f>'Baseline Consumption'!AQ54*ramps!AC83*(1+'Price Change'!AB35*ramps!AC51)</f>
        <v>6.2345106770138525E-3</v>
      </c>
      <c r="AC71" s="310">
        <f>'Baseline Consumption'!AR54*ramps!AD83*(1+'Price Change'!AC35*ramps!AD51)</f>
        <v>5.0822694360388642E-3</v>
      </c>
      <c r="AD71" s="310">
        <f>'Baseline Consumption'!AS54*ramps!AE83*(1+'Price Change'!AD35*ramps!AE51)</f>
        <v>4.3907061718875514E-3</v>
      </c>
      <c r="AE71" s="310">
        <f>'Baseline Consumption'!AT54*ramps!AF83*(1+'Price Change'!AE35*ramps!AF51)</f>
        <v>4.3038431890913614E-3</v>
      </c>
      <c r="AF71" s="310">
        <f>'Baseline Consumption'!AU54*ramps!AG83*(1+'Price Change'!AF35*ramps!AG51)</f>
        <v>4.2373930799289635E-3</v>
      </c>
      <c r="AG71" s="533">
        <f t="shared" si="16"/>
        <v>6.2601568870007715E-2</v>
      </c>
    </row>
    <row r="72" spans="1:33" ht="12.9" customHeight="1">
      <c r="A72" s="280" t="s">
        <v>0</v>
      </c>
      <c r="B72" s="310">
        <f>'Baseline Consumption'!Q55*ramps!C83*B99*(1+'Price Change'!B36*ramps!C51)</f>
        <v>0.30342221006713754</v>
      </c>
      <c r="C72" s="310">
        <f>'Baseline Consumption'!R55*ramps!D83*C99*(1+'Price Change'!C36*ramps!D51)</f>
        <v>0.297722661596308</v>
      </c>
      <c r="D72" s="310">
        <f>'Baseline Consumption'!S55*ramps!E83*D99*(1+'Price Change'!D36*ramps!E51)</f>
        <v>0.2912491139063168</v>
      </c>
      <c r="E72" s="310">
        <f>'Baseline Consumption'!T55*ramps!F83*E99*(1+'Price Change'!E36*ramps!F51)</f>
        <v>0.28474242940946604</v>
      </c>
      <c r="F72" s="310">
        <f>'Baseline Consumption'!U55*ramps!G83*F99*(1+'Price Change'!F36*ramps!G51)</f>
        <v>0.27920725766935772</v>
      </c>
      <c r="G72" s="310">
        <f>'Baseline Consumption'!V55*ramps!H83*G99*(1+'Price Change'!G36*ramps!H51)</f>
        <v>0.27140510900402109</v>
      </c>
      <c r="H72" s="310">
        <f>'Baseline Consumption'!W55*ramps!I83*H99*(1+'Price Change'!H36*ramps!I51)</f>
        <v>0.26436943136721164</v>
      </c>
      <c r="I72" s="310">
        <f>'Baseline Consumption'!X55*ramps!J83*I99*(1+'Price Change'!I36*ramps!J51)</f>
        <v>0.2574017710493342</v>
      </c>
      <c r="J72" s="310">
        <f>'Baseline Consumption'!Y55*ramps!K83*J99*(1+'Price Change'!J36*ramps!K51)</f>
        <v>0.25060794606352921</v>
      </c>
      <c r="K72" s="310">
        <f>'Baseline Consumption'!Z55*ramps!L83*K99*(1+'Price Change'!K36*ramps!L51)</f>
        <v>0.24379469540317703</v>
      </c>
      <c r="L72" s="310">
        <f>'Baseline Consumption'!AA55*ramps!M83*L99*(1+'Price Change'!L36*ramps!M51)</f>
        <v>0.23852111298807804</v>
      </c>
      <c r="M72" s="310">
        <f>'Baseline Consumption'!AB55*ramps!N83*M99*(1+'Price Change'!M36*ramps!N51)</f>
        <v>0.2335546449982718</v>
      </c>
      <c r="N72" s="310">
        <f>'Baseline Consumption'!AC55*ramps!O83*N99*(1+'Price Change'!N36*ramps!O51)</f>
        <v>0.22917697663945771</v>
      </c>
      <c r="O72" s="310">
        <f>'Baseline Consumption'!AD55*ramps!P83*O99*(1+'Price Change'!O36*ramps!P51)</f>
        <v>0.22491221230394312</v>
      </c>
      <c r="P72" s="310">
        <f>'Baseline Consumption'!AE55*ramps!Q83*P99*(1+'Price Change'!P36*ramps!Q51)</f>
        <v>0.2215522020681856</v>
      </c>
      <c r="Q72" s="310">
        <f>'Baseline Consumption'!AF55*ramps!R83*Q99*(1+'Price Change'!Q36*ramps!R51)</f>
        <v>0.21897675734057578</v>
      </c>
      <c r="R72" s="310">
        <f>'Baseline Consumption'!AG55*ramps!S83*R99*(1+'Price Change'!R36*ramps!S51)</f>
        <v>0.21670747051265385</v>
      </c>
      <c r="S72" s="310">
        <f>'Baseline Consumption'!AH55*ramps!T83*S99*(1+'Price Change'!S36*ramps!T51)</f>
        <v>0.21514570874234756</v>
      </c>
      <c r="T72" s="310">
        <f>'Baseline Consumption'!AI55*ramps!U83*T99*(1+'Price Change'!T36*ramps!U51)</f>
        <v>0.21381731736285123</v>
      </c>
      <c r="U72" s="310">
        <f>'Baseline Consumption'!AJ55*ramps!V83*U99*(1+'Price Change'!U36*ramps!V51)</f>
        <v>0.21297357875614994</v>
      </c>
      <c r="V72" s="310">
        <f>'Baseline Consumption'!AK55*ramps!W83*V99*(1+'Price Change'!V36*ramps!W51)</f>
        <v>0.21233914579480895</v>
      </c>
      <c r="W72" s="310">
        <f>'Baseline Consumption'!AL55*ramps!X83*W99*(1+'Price Change'!W36*ramps!X51)</f>
        <v>0.21203860859662799</v>
      </c>
      <c r="X72" s="310">
        <f>'Baseline Consumption'!AM55*ramps!Y83*X99*(1+'Price Change'!X36*ramps!Y51)</f>
        <v>0.21175733844790989</v>
      </c>
      <c r="Y72" s="310">
        <f>'Baseline Consumption'!AN55*ramps!Z83*Y99*(1+'Price Change'!Y36*ramps!Z51)</f>
        <v>0.21167203482448013</v>
      </c>
      <c r="Z72" s="310">
        <f>'Baseline Consumption'!AO55*ramps!AA83*Z99*(1+'Price Change'!Z36*ramps!AA51)</f>
        <v>0.21168734340744524</v>
      </c>
      <c r="AA72" s="310">
        <f>'Baseline Consumption'!AP55*ramps!AB83*AA99*(1+'Price Change'!AA36*ramps!AB51)</f>
        <v>0.2116942095184097</v>
      </c>
      <c r="AB72" s="310">
        <f>'Baseline Consumption'!AQ55*ramps!AC83*AB99*(1+'Price Change'!AB36*ramps!AC51)</f>
        <v>0.21193516856946804</v>
      </c>
      <c r="AC72" s="310">
        <f>'Baseline Consumption'!AR55*ramps!AD83*AC99*(1+'Price Change'!AC36*ramps!AD51)</f>
        <v>0.21248879406039081</v>
      </c>
      <c r="AD72" s="310">
        <f>'Baseline Consumption'!AS55*ramps!AE83*AD99*(1+'Price Change'!AD36*ramps!AE51)</f>
        <v>0.21281033217732009</v>
      </c>
      <c r="AE72" s="310">
        <f>'Baseline Consumption'!AT55*ramps!AF83*AE99*(1+'Price Change'!AE36*ramps!AF51)</f>
        <v>0.21271636374310082</v>
      </c>
      <c r="AF72" s="310">
        <f>'Baseline Consumption'!AU55*ramps!AG83*AF99*(1+'Price Change'!AF36*ramps!AG51)</f>
        <v>0.21258613244360788</v>
      </c>
      <c r="AG72" s="533">
        <f t="shared" si="16"/>
        <v>-9.9790626844609882E-3</v>
      </c>
    </row>
    <row r="73" spans="1:33" ht="12.9" customHeight="1">
      <c r="A73" s="280" t="s">
        <v>3</v>
      </c>
      <c r="B73" s="310">
        <f>'Baseline Consumption'!Q56*ramps!C85*(1+'Price Change'!B37*ramps!C55)</f>
        <v>0.10481966340285158</v>
      </c>
      <c r="C73" s="310">
        <f>'Baseline Consumption'!R56*ramps!D85*(1+'Price Change'!C37*ramps!D55)</f>
        <v>0.10573038539174713</v>
      </c>
      <c r="D73" s="310">
        <f>'Baseline Consumption'!S56*ramps!E85*(1+'Price Change'!D37*ramps!E55)</f>
        <v>0.10656430973700028</v>
      </c>
      <c r="E73" s="310">
        <f>'Baseline Consumption'!T56*ramps!F85*(1+'Price Change'!E37*ramps!F55)</f>
        <v>0.10722258566561468</v>
      </c>
      <c r="F73" s="310">
        <f>'Baseline Consumption'!U56*ramps!G85*(1+'Price Change'!F37*ramps!G55)</f>
        <v>0.10810606047911359</v>
      </c>
      <c r="G73" s="310">
        <f>'Baseline Consumption'!V56*ramps!H85*(1+'Price Change'!G37*ramps!H55)</f>
        <v>0.10931312988364453</v>
      </c>
      <c r="H73" s="310">
        <f>'Baseline Consumption'!W56*ramps!I85*(1+'Price Change'!H37*ramps!I55)</f>
        <v>0.11052437979055917</v>
      </c>
      <c r="I73" s="310">
        <f>'Baseline Consumption'!X56*ramps!J85*(1+'Price Change'!I37*ramps!J55)</f>
        <v>0.11167716051224516</v>
      </c>
      <c r="J73" s="310">
        <f>'Baseline Consumption'!Y56*ramps!K85*(1+'Price Change'!J37*ramps!K55)</f>
        <v>0.11321763194433435</v>
      </c>
      <c r="K73" s="310">
        <f>'Baseline Consumption'!Z56*ramps!L85*(1+'Price Change'!K37*ramps!L55)</f>
        <v>0.11444038654139431</v>
      </c>
      <c r="L73" s="310">
        <f>'Baseline Consumption'!AA56*ramps!M85*(1+'Price Change'!L37*ramps!M55)</f>
        <v>0.1157124690809738</v>
      </c>
      <c r="M73" s="310">
        <f>'Baseline Consumption'!AB56*ramps!N85*(1+'Price Change'!M37*ramps!N55)</f>
        <v>0.11702653515537022</v>
      </c>
      <c r="N73" s="310">
        <f>'Baseline Consumption'!AC56*ramps!O85*(1+'Price Change'!N37*ramps!O55)</f>
        <v>0.11827045171102162</v>
      </c>
      <c r="O73" s="310">
        <f>'Baseline Consumption'!AD56*ramps!P85*(1+'Price Change'!O37*ramps!P55)</f>
        <v>0.11948853472841098</v>
      </c>
      <c r="P73" s="310">
        <f>'Baseline Consumption'!AE56*ramps!Q85*(1+'Price Change'!P37*ramps!Q55)</f>
        <v>0.12077762737008697</v>
      </c>
      <c r="Q73" s="310">
        <f>'Baseline Consumption'!AF56*ramps!R85*(1+'Price Change'!Q37*ramps!R55)</f>
        <v>0.12204741169036844</v>
      </c>
      <c r="R73" s="310">
        <f>'Baseline Consumption'!AG56*ramps!S85*(1+'Price Change'!R37*ramps!S55)</f>
        <v>0.12331810446246433</v>
      </c>
      <c r="S73" s="310">
        <f>'Baseline Consumption'!AH56*ramps!T85*(1+'Price Change'!S37*ramps!T55)</f>
        <v>0.12459878570110666</v>
      </c>
      <c r="T73" s="310">
        <f>'Baseline Consumption'!AI56*ramps!U85*(1+'Price Change'!T37*ramps!U55)</f>
        <v>0.1258997962975778</v>
      </c>
      <c r="U73" s="310">
        <f>'Baseline Consumption'!AJ56*ramps!V85*(1+'Price Change'!U37*ramps!V55)</f>
        <v>0.12718937186492094</v>
      </c>
      <c r="V73" s="310">
        <f>'Baseline Consumption'!AK56*ramps!W85*(1+'Price Change'!V37*ramps!W55)</f>
        <v>0.12853050183560941</v>
      </c>
      <c r="W73" s="310">
        <f>'Baseline Consumption'!AL56*ramps!X85*(1+'Price Change'!W37*ramps!X55)</f>
        <v>0.12987152674060531</v>
      </c>
      <c r="X73" s="310">
        <f>'Baseline Consumption'!AM56*ramps!Y85*(1+'Price Change'!X37*ramps!Y55)</f>
        <v>0.13110901654105531</v>
      </c>
      <c r="Y73" s="310">
        <f>'Baseline Consumption'!AN56*ramps!Z85*(1+'Price Change'!Y37*ramps!Z55)</f>
        <v>0.13238547047102234</v>
      </c>
      <c r="Z73" s="310">
        <f>'Baseline Consumption'!AO56*ramps!AA85*(1+'Price Change'!Z37*ramps!AA55)</f>
        <v>0.13362607130925952</v>
      </c>
      <c r="AA73" s="310">
        <f>'Baseline Consumption'!AP56*ramps!AB85*(1+'Price Change'!AA37*ramps!AB55)</f>
        <v>0.1349327451811512</v>
      </c>
      <c r="AB73" s="310">
        <f>'Baseline Consumption'!AQ56*ramps!AC85*(1+'Price Change'!AB37*ramps!AC55)</f>
        <v>0.13621011035623118</v>
      </c>
      <c r="AC73" s="310">
        <f>'Baseline Consumption'!AR56*ramps!AD85*(1+'Price Change'!AC37*ramps!AD55)</f>
        <v>0.13748469413578523</v>
      </c>
      <c r="AD73" s="310">
        <f>'Baseline Consumption'!AS56*ramps!AE85*(1+'Price Change'!AD37*ramps!AE55)</f>
        <v>0.13868827202629036</v>
      </c>
      <c r="AE73" s="310">
        <f>'Baseline Consumption'!AT56*ramps!AF85*(1+'Price Change'!AE37*ramps!AF55)</f>
        <v>0.13983344448507523</v>
      </c>
      <c r="AF73" s="310">
        <f>'Baseline Consumption'!AU56*ramps!AG85*(1+'Price Change'!AF37*ramps!AG55)</f>
        <v>0.14091472413499925</v>
      </c>
      <c r="AG73" s="533">
        <f t="shared" si="16"/>
        <v>1.1478463601313734E-2</v>
      </c>
    </row>
    <row r="74" spans="1:33" ht="12.9" customHeight="1">
      <c r="A74" s="280" t="s">
        <v>1243</v>
      </c>
      <c r="B74" s="310">
        <f>'Baseline Consumption'!Q57*B117*ramps!C84*(1+'Price Change'!B38*ramps!C53)</f>
        <v>0.14230982683013399</v>
      </c>
      <c r="C74" s="310">
        <f>'Baseline Consumption'!R57*C117*ramps!D84*(1+'Price Change'!C38*ramps!D53)</f>
        <v>0.14139842450788692</v>
      </c>
      <c r="D74" s="310">
        <f>'Baseline Consumption'!S57*D117*ramps!E84*(1+'Price Change'!D38*ramps!E53)</f>
        <v>0.13718540090477868</v>
      </c>
      <c r="E74" s="310">
        <f>'Baseline Consumption'!T57*E117*ramps!F84*(1+'Price Change'!E38*ramps!F53)</f>
        <v>0.13568243151857337</v>
      </c>
      <c r="F74" s="310">
        <f>'Baseline Consumption'!U57*F117*ramps!G84*(1+'Price Change'!F38*ramps!G53)</f>
        <v>0.13475294554126885</v>
      </c>
      <c r="G74" s="310">
        <f>'Baseline Consumption'!V57*G117*ramps!H84*(1+'Price Change'!G38*ramps!H53)</f>
        <v>0.13401070998227801</v>
      </c>
      <c r="H74" s="310">
        <f>'Baseline Consumption'!W57*H117*ramps!I84*(1+'Price Change'!H38*ramps!I53)</f>
        <v>0.13341460312441258</v>
      </c>
      <c r="I74" s="310">
        <f>'Baseline Consumption'!X57*I117*ramps!J84*(1+'Price Change'!I38*ramps!J53)</f>
        <v>0.13223896978527802</v>
      </c>
      <c r="J74" s="310">
        <f>'Baseline Consumption'!Y57*J117*ramps!K84*(1+'Price Change'!J38*ramps!K53)</f>
        <v>0.13115676777443114</v>
      </c>
      <c r="K74" s="310">
        <f>'Baseline Consumption'!Z57*K117*ramps!L84*(1+'Price Change'!K38*ramps!L53)</f>
        <v>0.12975180892515917</v>
      </c>
      <c r="L74" s="310">
        <f>'Baseline Consumption'!AA57*L117*ramps!M84*(1+'Price Change'!L38*ramps!M53)</f>
        <v>0.12921602485852424</v>
      </c>
      <c r="M74" s="310">
        <f>'Baseline Consumption'!AB57*M117*ramps!N84*(1+'Price Change'!M38*ramps!N53)</f>
        <v>0.12838710693021352</v>
      </c>
      <c r="N74" s="310">
        <f>'Baseline Consumption'!AC57*N117*ramps!O84*(1+'Price Change'!N38*ramps!O53)</f>
        <v>0.12746451148142063</v>
      </c>
      <c r="O74" s="310">
        <f>'Baseline Consumption'!AD57*O117*ramps!P84*(1+'Price Change'!O38*ramps!P53)</f>
        <v>0.12652823032649721</v>
      </c>
      <c r="P74" s="310">
        <f>'Baseline Consumption'!AE57*P117*ramps!Q84*(1+'Price Change'!P38*ramps!Q53)</f>
        <v>0.12625284201254508</v>
      </c>
      <c r="Q74" s="310">
        <f>'Baseline Consumption'!AF57*Q117*ramps!R84*(1+'Price Change'!Q38*ramps!R53)</f>
        <v>0.12713911280608106</v>
      </c>
      <c r="R74" s="310">
        <f>'Baseline Consumption'!AG57*R117*ramps!S84*(1+'Price Change'!R38*ramps!S53)</f>
        <v>0.12733973001319557</v>
      </c>
      <c r="S74" s="310">
        <f>'Baseline Consumption'!AH57*S117*ramps!T84*(1+'Price Change'!S38*ramps!T53)</f>
        <v>0.12786260816835163</v>
      </c>
      <c r="T74" s="310">
        <f>'Baseline Consumption'!AI57*T117*ramps!U84*(1+'Price Change'!T38*ramps!U53)</f>
        <v>0.12834109318482381</v>
      </c>
      <c r="U74" s="310">
        <f>'Baseline Consumption'!AJ57*U117*ramps!V84*(1+'Price Change'!U38*ramps!V53)</f>
        <v>0.12879905225103169</v>
      </c>
      <c r="V74" s="310">
        <f>'Baseline Consumption'!AK57*V117*ramps!W84*(1+'Price Change'!V38*ramps!W53)</f>
        <v>0.12917297799093388</v>
      </c>
      <c r="W74" s="310">
        <f>'Baseline Consumption'!AL57*W117*ramps!X84*(1+'Price Change'!W38*ramps!X53)</f>
        <v>0.12967865299748124</v>
      </c>
      <c r="X74" s="310">
        <f>'Baseline Consumption'!AM57*X117*ramps!Y84*(1+'Price Change'!X38*ramps!Y53)</f>
        <v>0.1299405400716051</v>
      </c>
      <c r="Y74" s="310">
        <f>'Baseline Consumption'!AN57*Y117*ramps!Z84*(1+'Price Change'!Y38*ramps!Z53)</f>
        <v>0.13018205555203785</v>
      </c>
      <c r="Z74" s="310">
        <f>'Baseline Consumption'!AO57*Z117*ramps!AA84*(1+'Price Change'!Z38*ramps!AA53)</f>
        <v>0.1310902406174802</v>
      </c>
      <c r="AA74" s="310">
        <f>'Baseline Consumption'!AP57*AA117*ramps!AB84*(1+'Price Change'!AA38*ramps!AB53)</f>
        <v>0.13168100828254847</v>
      </c>
      <c r="AB74" s="310">
        <f>'Baseline Consumption'!AQ57*AB117*ramps!AC84*(1+'Price Change'!AB38*ramps!AC53)</f>
        <v>0.13240010646643505</v>
      </c>
      <c r="AC74" s="310">
        <f>'Baseline Consumption'!AR57*AC117*ramps!AD84*(1+'Price Change'!AC38*ramps!AD53)</f>
        <v>0.13305008073343247</v>
      </c>
      <c r="AD74" s="310">
        <f>'Baseline Consumption'!AS57*AD117*ramps!AE84*(1+'Price Change'!AD38*ramps!AE53)</f>
        <v>0.13370640723438068</v>
      </c>
      <c r="AE74" s="310">
        <f>'Baseline Consumption'!AT57*AE117*ramps!AF84*(1+'Price Change'!AE38*ramps!AF53)</f>
        <v>0.134160874806032</v>
      </c>
      <c r="AF74" s="310">
        <f>'Baseline Consumption'!AU57*AF117*ramps!AG84*(1+'Price Change'!AF38*ramps!AG53)</f>
        <v>0.13472520483454606</v>
      </c>
      <c r="AG74" s="533">
        <f t="shared" si="16"/>
        <v>-1.776551477980787E-3</v>
      </c>
    </row>
    <row r="75" spans="1:33" ht="12.9" customHeight="1">
      <c r="A75" s="280" t="s">
        <v>254</v>
      </c>
      <c r="B75" s="310">
        <f>'Baseline Consumption'!Q58*(1+'Price Change'!B39*ramps!C54)</f>
        <v>3.5104021157369186E-2</v>
      </c>
      <c r="C75" s="310">
        <f>'Baseline Consumption'!R58*(1+'Price Change'!C39*ramps!D54)</f>
        <v>4.1887007620191839E-2</v>
      </c>
      <c r="D75" s="310">
        <f>'Baseline Consumption'!S58*(1+'Price Change'!D39*ramps!E54)</f>
        <v>5.577501044073184E-2</v>
      </c>
      <c r="E75" s="310">
        <f>'Baseline Consumption'!T58*(1+'Price Change'!E39*ramps!F54)</f>
        <v>5.8393412437976945E-2</v>
      </c>
      <c r="F75" s="310">
        <f>'Baseline Consumption'!U58*(1+'Price Change'!F39*ramps!G54)</f>
        <v>5.9718089365162201E-2</v>
      </c>
      <c r="G75" s="310">
        <f>'Baseline Consumption'!V58*(1+'Price Change'!G39*ramps!H54)</f>
        <v>6.0902191969638704E-2</v>
      </c>
      <c r="H75" s="310">
        <f>'Baseline Consumption'!W58*(1+'Price Change'!H39*ramps!I54)</f>
        <v>5.9810593732811924E-2</v>
      </c>
      <c r="I75" s="310">
        <f>'Baseline Consumption'!X58*(1+'Price Change'!I39*ramps!J54)</f>
        <v>5.8895739156510217E-2</v>
      </c>
      <c r="J75" s="310">
        <f>'Baseline Consumption'!Y58*(1+'Price Change'!J39*ramps!K54)</f>
        <v>5.8348769302971427E-2</v>
      </c>
      <c r="K75" s="310">
        <f>'Baseline Consumption'!Z58*(1+'Price Change'!K39*ramps!L54)</f>
        <v>5.8672254889090752E-2</v>
      </c>
      <c r="L75" s="310">
        <f>'Baseline Consumption'!AA58*(1+'Price Change'!L39*ramps!M54)</f>
        <v>5.6713435022579146E-2</v>
      </c>
      <c r="M75" s="310">
        <f>'Baseline Consumption'!AB58*(1+'Price Change'!M39*ramps!N54)</f>
        <v>5.6418837933535339E-2</v>
      </c>
      <c r="N75" s="310">
        <f>'Baseline Consumption'!AC58*(1+'Price Change'!N39*ramps!O54)</f>
        <v>5.6234043074776113E-2</v>
      </c>
      <c r="O75" s="310">
        <f>'Baseline Consumption'!AD58*(1+'Price Change'!O39*ramps!P54)</f>
        <v>5.6078456783324911E-2</v>
      </c>
      <c r="P75" s="310">
        <f>'Baseline Consumption'!AE58*(1+'Price Change'!P39*ramps!Q54)</f>
        <v>5.5711460160968736E-2</v>
      </c>
      <c r="Q75" s="310">
        <f>'Baseline Consumption'!AF58*(1+'Price Change'!Q39*ramps!R54)</f>
        <v>5.2124524174877389E-2</v>
      </c>
      <c r="R75" s="310">
        <f>'Baseline Consumption'!AG58*(1+'Price Change'!R39*ramps!S54)</f>
        <v>5.1862774747502373E-2</v>
      </c>
      <c r="S75" s="310">
        <f>'Baseline Consumption'!AH58*(1+'Price Change'!S39*ramps!T54)</f>
        <v>5.0988161247541228E-2</v>
      </c>
      <c r="T75" s="310">
        <f>'Baseline Consumption'!AI58*(1+'Price Change'!T39*ramps!U54)</f>
        <v>5.0706993349437901E-2</v>
      </c>
      <c r="U75" s="310">
        <f>'Baseline Consumption'!AJ58*(1+'Price Change'!U39*ramps!V54)</f>
        <v>5.0458510739123837E-2</v>
      </c>
      <c r="V75" s="310">
        <f>'Baseline Consumption'!AK58*(1+'Price Change'!V39*ramps!W54)</f>
        <v>5.0268765316248264E-2</v>
      </c>
      <c r="W75" s="310">
        <f>'Baseline Consumption'!AL58*(1+'Price Change'!W39*ramps!X54)</f>
        <v>4.9998861070399289E-2</v>
      </c>
      <c r="X75" s="310">
        <f>'Baseline Consumption'!AM58*(1+'Price Change'!X39*ramps!Y54)</f>
        <v>4.9458638615243807E-2</v>
      </c>
      <c r="Y75" s="310">
        <f>'Baseline Consumption'!AN58*(1+'Price Change'!Y39*ramps!Z54)</f>
        <v>5.0930606524188932E-2</v>
      </c>
      <c r="Z75" s="310">
        <f>'Baseline Consumption'!AO58*(1+'Price Change'!Z39*ramps!AA54)</f>
        <v>4.9184956699710236E-2</v>
      </c>
      <c r="AA75" s="310">
        <f>'Baseline Consumption'!AP58*(1+'Price Change'!AA39*ramps!AB54)</f>
        <v>4.9076399901367314E-2</v>
      </c>
      <c r="AB75" s="310">
        <f>'Baseline Consumption'!AQ58*(1+'Price Change'!AB39*ramps!AC54)</f>
        <v>4.8132535361124822E-2</v>
      </c>
      <c r="AC75" s="310">
        <f>'Baseline Consumption'!AR58*(1+'Price Change'!AC39*ramps!AD54)</f>
        <v>4.7950955796398811E-2</v>
      </c>
      <c r="AD75" s="310">
        <f>'Baseline Consumption'!AS58*(1+'Price Change'!AD39*ramps!AE54)</f>
        <v>4.7844475716781673E-2</v>
      </c>
      <c r="AE75" s="310">
        <f>'Baseline Consumption'!AT58*(1+'Price Change'!AE39*ramps!AF54)</f>
        <v>4.7895019001948522E-2</v>
      </c>
      <c r="AF75" s="310">
        <f>'Baseline Consumption'!AU58*(1+'Price Change'!AF39*ramps!AG54)</f>
        <v>4.7693288454933438E-2</v>
      </c>
      <c r="AG75" s="533">
        <f t="shared" si="16"/>
        <v>1.1954249952474424E-2</v>
      </c>
    </row>
    <row r="76" spans="1:33" ht="12.9" customHeight="1">
      <c r="A76" s="280" t="s">
        <v>1247</v>
      </c>
      <c r="B76" s="310">
        <f>'Baseline Consumption'!Q59</f>
        <v>7.5397585354500403E-4</v>
      </c>
      <c r="C76" s="310">
        <f>'Baseline Consumption'!R59</f>
        <v>7.5309841860112122E-4</v>
      </c>
      <c r="D76" s="310">
        <f>'Baseline Consumption'!S59</f>
        <v>7.514836890581293E-4</v>
      </c>
      <c r="E76" s="310">
        <f>'Baseline Consumption'!T59</f>
        <v>7.5003356811979155E-4</v>
      </c>
      <c r="F76" s="310">
        <f>'Baseline Consumption'!U59</f>
        <v>7.4907150030834339E-4</v>
      </c>
      <c r="G76" s="310">
        <f>'Baseline Consumption'!V59</f>
        <v>7.4772192906430294E-4</v>
      </c>
      <c r="H76" s="310">
        <f>'Baseline Consumption'!W59</f>
        <v>7.4653169479281252E-4</v>
      </c>
      <c r="I76" s="310">
        <f>'Baseline Consumption'!X59</f>
        <v>7.4545707462144199E-4</v>
      </c>
      <c r="J76" s="310">
        <f>'Baseline Consumption'!Y59</f>
        <v>7.4452876634826224E-4</v>
      </c>
      <c r="K76" s="310">
        <f>'Baseline Consumption'!Z59</f>
        <v>7.4392593889379658E-4</v>
      </c>
      <c r="L76" s="310">
        <f>'Baseline Consumption'!AA59</f>
        <v>7.4398289664378192E-4</v>
      </c>
      <c r="M76" s="310">
        <f>'Baseline Consumption'!AB59</f>
        <v>7.4450004931154729E-4</v>
      </c>
      <c r="N76" s="310">
        <f>'Baseline Consumption'!AC59</f>
        <v>7.4468629287446984E-4</v>
      </c>
      <c r="O76" s="310">
        <f>'Baseline Consumption'!AD59</f>
        <v>7.4491767026377915E-4</v>
      </c>
      <c r="P76" s="310">
        <f>'Baseline Consumption'!AE59</f>
        <v>7.4578457609241866E-4</v>
      </c>
      <c r="Q76" s="310">
        <f>'Baseline Consumption'!AF59</f>
        <v>7.4670496940114014E-4</v>
      </c>
      <c r="R76" s="310">
        <f>'Baseline Consumption'!AG59</f>
        <v>7.4771892404620552E-4</v>
      </c>
      <c r="S76" s="310">
        <f>'Baseline Consumption'!AH59</f>
        <v>7.488853071352824E-4</v>
      </c>
      <c r="T76" s="310">
        <f>'Baseline Consumption'!AI59</f>
        <v>7.4998264298143562E-4</v>
      </c>
      <c r="U76" s="310">
        <f>'Baseline Consumption'!AJ59</f>
        <v>7.5108901228373591E-4</v>
      </c>
      <c r="V76" s="310">
        <f>'Baseline Consumption'!AK59</f>
        <v>7.5259206028735059E-4</v>
      </c>
      <c r="W76" s="310">
        <f>'Baseline Consumption'!AL59</f>
        <v>7.5403471136325628E-4</v>
      </c>
      <c r="X76" s="310">
        <f>'Baseline Consumption'!AM59</f>
        <v>7.549849955091006E-4</v>
      </c>
      <c r="Y76" s="310">
        <f>'Baseline Consumption'!AN59</f>
        <v>7.555656477835071E-4</v>
      </c>
      <c r="Z76" s="310">
        <f>'Baseline Consumption'!AO59</f>
        <v>7.5599661044534064E-4</v>
      </c>
      <c r="AA76" s="310">
        <f>'Baseline Consumption'!AP59</f>
        <v>7.5633611961873227E-4</v>
      </c>
      <c r="AB76" s="310">
        <f>'Baseline Consumption'!AQ59</f>
        <v>7.5651897884350123E-4</v>
      </c>
      <c r="AC76" s="310">
        <f>'Baseline Consumption'!AR59</f>
        <v>7.5612368182809391E-4</v>
      </c>
      <c r="AD76" s="310">
        <f>'Baseline Consumption'!AS59</f>
        <v>7.5513831975401648E-4</v>
      </c>
      <c r="AE76" s="310">
        <f>'Baseline Consumption'!AT59</f>
        <v>7.5403138391517955E-4</v>
      </c>
      <c r="AF76" s="310">
        <f>'Baseline Consumption'!AU59</f>
        <v>7.5271804536849605E-4</v>
      </c>
      <c r="AG76" s="533">
        <f t="shared" si="16"/>
        <v>-5.5607800992303387E-5</v>
      </c>
    </row>
    <row r="77" spans="1:33" ht="12.9" customHeight="1">
      <c r="A77" s="280" t="s">
        <v>1258</v>
      </c>
      <c r="B77" s="310">
        <f>'Baseline Consumption'!Q60*(1+'Price Change'!B40*ramps!C51)</f>
        <v>9.0032726913800501E-3</v>
      </c>
      <c r="C77" s="310">
        <f>'Baseline Consumption'!R60*(1+'Price Change'!C40*ramps!D51)</f>
        <v>9.2217672819147056E-3</v>
      </c>
      <c r="D77" s="310">
        <f>'Baseline Consumption'!S60*(1+'Price Change'!D40*ramps!E51)</f>
        <v>9.0698623744103393E-3</v>
      </c>
      <c r="E77" s="310">
        <f>'Baseline Consumption'!T60*(1+'Price Change'!E40*ramps!F51)</f>
        <v>9.0447498438193837E-3</v>
      </c>
      <c r="F77" s="310">
        <f>'Baseline Consumption'!U60*(1+'Price Change'!F40*ramps!G51)</f>
        <v>8.9807825532171991E-3</v>
      </c>
      <c r="G77" s="310">
        <f>'Baseline Consumption'!V60*(1+'Price Change'!G40*ramps!H51)</f>
        <v>8.9998596243964103E-3</v>
      </c>
      <c r="H77" s="310">
        <f>'Baseline Consumption'!W60*(1+'Price Change'!H40*ramps!I51)</f>
        <v>9.0048790740511284E-3</v>
      </c>
      <c r="I77" s="310">
        <f>'Baseline Consumption'!X60*(1+'Price Change'!I40*ramps!J51)</f>
        <v>8.9862528507679874E-3</v>
      </c>
      <c r="J77" s="310">
        <f>'Baseline Consumption'!Y60*(1+'Price Change'!J40*ramps!K51)</f>
        <v>8.9962254899107127E-3</v>
      </c>
      <c r="K77" s="310">
        <f>'Baseline Consumption'!Z60*(1+'Price Change'!K40*ramps!L51)</f>
        <v>8.782132689403992E-3</v>
      </c>
      <c r="L77" s="310">
        <f>'Baseline Consumption'!AA60*(1+'Price Change'!L40*ramps!M51)</f>
        <v>8.7612561380627264E-3</v>
      </c>
      <c r="M77" s="310">
        <f>'Baseline Consumption'!AB60*(1+'Price Change'!M40*ramps!N51)</f>
        <v>8.7513652232199916E-3</v>
      </c>
      <c r="N77" s="310">
        <f>'Baseline Consumption'!AC60*(1+'Price Change'!N40*ramps!O51)</f>
        <v>8.8052694668939065E-3</v>
      </c>
      <c r="O77" s="310">
        <f>'Baseline Consumption'!AD60*(1+'Price Change'!O40*ramps!P51)</f>
        <v>8.8019157086927577E-3</v>
      </c>
      <c r="P77" s="310">
        <f>'Baseline Consumption'!AE60*(1+'Price Change'!P40*ramps!Q51)</f>
        <v>8.8603105044172369E-3</v>
      </c>
      <c r="Q77" s="310">
        <f>'Baseline Consumption'!AF60*(1+'Price Change'!Q40*ramps!R51)</f>
        <v>9.0032423556645255E-3</v>
      </c>
      <c r="R77" s="310">
        <f>'Baseline Consumption'!AG60*(1+'Price Change'!R40*ramps!S51)</f>
        <v>9.0614147604085871E-3</v>
      </c>
      <c r="S77" s="310">
        <f>'Baseline Consumption'!AH60*(1+'Price Change'!S40*ramps!T51)</f>
        <v>9.1547355458086732E-3</v>
      </c>
      <c r="T77" s="310">
        <f>'Baseline Consumption'!AI60*(1+'Price Change'!T40*ramps!U51)</f>
        <v>9.2502643134203498E-3</v>
      </c>
      <c r="U77" s="310">
        <f>'Baseline Consumption'!AJ60*(1+'Price Change'!U40*ramps!V51)</f>
        <v>9.3458699268972947E-3</v>
      </c>
      <c r="V77" s="310">
        <f>'Baseline Consumption'!AK60*(1+'Price Change'!V40*ramps!W51)</f>
        <v>9.460498081949674E-3</v>
      </c>
      <c r="W77" s="310">
        <f>'Baseline Consumption'!AL60*(1+'Price Change'!W40*ramps!X51)</f>
        <v>9.5565861190505634E-3</v>
      </c>
      <c r="X77" s="310">
        <f>'Baseline Consumption'!AM60*(1+'Price Change'!X40*ramps!Y51)</f>
        <v>9.6517883424532668E-3</v>
      </c>
      <c r="Y77" s="310">
        <f>'Baseline Consumption'!AN60*(1+'Price Change'!Y40*ramps!Z51)</f>
        <v>9.7107745216978465E-3</v>
      </c>
      <c r="Z77" s="310">
        <f>'Baseline Consumption'!AO60*(1+'Price Change'!Z40*ramps!AA51)</f>
        <v>9.7954400799766216E-3</v>
      </c>
      <c r="AA77" s="310">
        <f>'Baseline Consumption'!AP60*(1+'Price Change'!AA40*ramps!AB51)</f>
        <v>9.8903334374519855E-3</v>
      </c>
      <c r="AB77" s="310">
        <f>'Baseline Consumption'!AQ60*(1+'Price Change'!AB40*ramps!AC51)</f>
        <v>9.9605372216014232E-3</v>
      </c>
      <c r="AC77" s="310">
        <f>'Baseline Consumption'!AR60*(1+'Price Change'!AC40*ramps!AD51)</f>
        <v>1.0041392021563166E-2</v>
      </c>
      <c r="AD77" s="310">
        <f>'Baseline Consumption'!AS60*(1+'Price Change'!AD40*ramps!AE51)</f>
        <v>1.0098536597505127E-2</v>
      </c>
      <c r="AE77" s="310">
        <f>'Baseline Consumption'!AT60*(1+'Price Change'!AE40*ramps!AF51)</f>
        <v>1.0139711278932245E-2</v>
      </c>
      <c r="AF77" s="310">
        <f>'Baseline Consumption'!AU60*(1+'Price Change'!AF40*ramps!AG51)</f>
        <v>1.0186055613936649E-2</v>
      </c>
      <c r="AG77" s="533">
        <f t="shared" si="16"/>
        <v>4.3790851138276422E-3</v>
      </c>
    </row>
    <row r="78" spans="1:33" ht="12.9" customHeight="1">
      <c r="A78" s="280" t="s">
        <v>1259</v>
      </c>
      <c r="B78" s="310">
        <f>'Baseline Consumption'!Q61*(1+'Price Change'!B40*ramps!C51)</f>
        <v>3.9791330785039648E-3</v>
      </c>
      <c r="C78" s="310">
        <f>'Baseline Consumption'!R61*(1+'Price Change'!C40*ramps!D51)</f>
        <v>6.1275117640003565E-3</v>
      </c>
      <c r="D78" s="310">
        <f>'Baseline Consumption'!S61*(1+'Price Change'!D40*ramps!E51)</f>
        <v>5.5515588923959061E-3</v>
      </c>
      <c r="E78" s="310">
        <f>'Baseline Consumption'!T61*(1+'Price Change'!E40*ramps!F51)</f>
        <v>5.7332059567226906E-3</v>
      </c>
      <c r="F78" s="310">
        <f>'Baseline Consumption'!U61*(1+'Price Change'!F40*ramps!G51)</f>
        <v>5.9461501410255193E-3</v>
      </c>
      <c r="G78" s="310">
        <f>'Baseline Consumption'!V61*(1+'Price Change'!G40*ramps!H51)</f>
        <v>5.9660163231491873E-3</v>
      </c>
      <c r="H78" s="310">
        <f>'Baseline Consumption'!W61*(1+'Price Change'!H40*ramps!I51)</f>
        <v>6.2041463312965889E-3</v>
      </c>
      <c r="I78" s="310">
        <f>'Baseline Consumption'!X61*(1+'Price Change'!I40*ramps!J51)</f>
        <v>6.6708331326083264E-3</v>
      </c>
      <c r="J78" s="310">
        <f>'Baseline Consumption'!Y61*(1+'Price Change'!J40*ramps!K51)</f>
        <v>6.8765776074822121E-3</v>
      </c>
      <c r="K78" s="310">
        <f>'Baseline Consumption'!Z61*(1+'Price Change'!K40*ramps!L51)</f>
        <v>6.9326698325836763E-3</v>
      </c>
      <c r="L78" s="310">
        <f>'Baseline Consumption'!AA61*(1+'Price Change'!L40*ramps!M51)</f>
        <v>7.3343125644528256E-3</v>
      </c>
      <c r="M78" s="310">
        <f>'Baseline Consumption'!AB61*(1+'Price Change'!M40*ramps!N51)</f>
        <v>7.6425579858691341E-3</v>
      </c>
      <c r="N78" s="310">
        <f>'Baseline Consumption'!AC61*(1+'Price Change'!N40*ramps!O51)</f>
        <v>7.8810642387143193E-3</v>
      </c>
      <c r="O78" s="310">
        <f>'Baseline Consumption'!AD61*(1+'Price Change'!O40*ramps!P51)</f>
        <v>8.0583785564279434E-3</v>
      </c>
      <c r="P78" s="310">
        <f>'Baseline Consumption'!AE61*(1+'Price Change'!P40*ramps!Q51)</f>
        <v>8.3342532660984382E-3</v>
      </c>
      <c r="Q78" s="310">
        <f>'Baseline Consumption'!AF61*(1+'Price Change'!Q40*ramps!R51)</f>
        <v>9.0089881754332902E-3</v>
      </c>
      <c r="R78" s="310">
        <f>'Baseline Consumption'!AG61*(1+'Price Change'!R40*ramps!S51)</f>
        <v>9.3931337098759528E-3</v>
      </c>
      <c r="S78" s="310">
        <f>'Baseline Consumption'!AH61*(1+'Price Change'!S40*ramps!T51)</f>
        <v>9.7224644732848784E-3</v>
      </c>
      <c r="T78" s="310">
        <f>'Baseline Consumption'!AI61*(1+'Price Change'!T40*ramps!U51)</f>
        <v>1.0089121917472698E-2</v>
      </c>
      <c r="U78" s="310">
        <f>'Baseline Consumption'!AJ61*(1+'Price Change'!U40*ramps!V51)</f>
        <v>1.047982446742265E-2</v>
      </c>
      <c r="V78" s="310">
        <f>'Baseline Consumption'!AK61*(1+'Price Change'!V40*ramps!W51)</f>
        <v>1.080660632959749E-2</v>
      </c>
      <c r="W78" s="310">
        <f>'Baseline Consumption'!AL61*(1+'Price Change'!W40*ramps!X51)</f>
        <v>1.118131307320981E-2</v>
      </c>
      <c r="X78" s="310">
        <f>'Baseline Consumption'!AM61*(1+'Price Change'!X40*ramps!Y51)</f>
        <v>1.16690428977381E-2</v>
      </c>
      <c r="Y78" s="310">
        <f>'Baseline Consumption'!AN61*(1+'Price Change'!Y40*ramps!Z51)</f>
        <v>1.1718131150388368E-2</v>
      </c>
      <c r="Z78" s="310">
        <f>'Baseline Consumption'!AO61*(1+'Price Change'!Z40*ramps!AA51)</f>
        <v>1.2101732222552715E-2</v>
      </c>
      <c r="AA78" s="310">
        <f>'Baseline Consumption'!AP61*(1+'Price Change'!AA40*ramps!AB51)</f>
        <v>1.2368789060055905E-2</v>
      </c>
      <c r="AB78" s="310">
        <f>'Baseline Consumption'!AQ61*(1+'Price Change'!AB40*ramps!AC51)</f>
        <v>1.2687914347621043E-2</v>
      </c>
      <c r="AC78" s="310">
        <f>'Baseline Consumption'!AR61*(1+'Price Change'!AC40*ramps!AD51)</f>
        <v>1.2926866159461219E-2</v>
      </c>
      <c r="AD78" s="310">
        <f>'Baseline Consumption'!AS61*(1+'Price Change'!AD40*ramps!AE51)</f>
        <v>1.3107861341304818E-2</v>
      </c>
      <c r="AE78" s="310">
        <f>'Baseline Consumption'!AT61*(1+'Price Change'!AE40*ramps!AF51)</f>
        <v>1.3271362567495592E-2</v>
      </c>
      <c r="AF78" s="310">
        <f>'Baseline Consumption'!AU61*(1+'Price Change'!AF40*ramps!AG51)</f>
        <v>1.3528621301848944E-2</v>
      </c>
      <c r="AG78" s="533">
        <f t="shared" si="16"/>
        <v>7.9996388115568307E-2</v>
      </c>
    </row>
    <row r="79" spans="1:33" ht="12.9" customHeight="1">
      <c r="A79" s="280" t="s">
        <v>1260</v>
      </c>
      <c r="B79" s="310">
        <f>'Baseline Consumption'!Q62</f>
        <v>7.9345436863558668E-5</v>
      </c>
      <c r="C79" s="310">
        <f>'Baseline Consumption'!R62</f>
        <v>1.2386381645327737E-4</v>
      </c>
      <c r="D79" s="310">
        <f>'Baseline Consumption'!S62</f>
        <v>1.8111951121604756E-4</v>
      </c>
      <c r="E79" s="310">
        <f>'Baseline Consumption'!T62</f>
        <v>2.3373988219327352E-4</v>
      </c>
      <c r="F79" s="310">
        <f>'Baseline Consumption'!U62</f>
        <v>2.8416668765723994E-4</v>
      </c>
      <c r="G79" s="310">
        <f>'Baseline Consumption'!V62</f>
        <v>3.3299243323328529E-4</v>
      </c>
      <c r="H79" s="310">
        <f>'Baseline Consumption'!W62</f>
        <v>3.8115045375704102E-4</v>
      </c>
      <c r="I79" s="310">
        <f>'Baseline Consumption'!X62</f>
        <v>4.2474034376904546E-4</v>
      </c>
      <c r="J79" s="310">
        <f>'Baseline Consumption'!Y62</f>
        <v>4.6189651661751829E-4</v>
      </c>
      <c r="K79" s="310">
        <f>'Baseline Consumption'!Z62</f>
        <v>4.9579609943867155E-4</v>
      </c>
      <c r="L79" s="310">
        <f>'Baseline Consumption'!AA62</f>
        <v>5.2636443162641861E-4</v>
      </c>
      <c r="M79" s="310">
        <f>'Baseline Consumption'!AB62</f>
        <v>5.535951580285445E-4</v>
      </c>
      <c r="N79" s="310">
        <f>'Baseline Consumption'!AC62</f>
        <v>5.7411988555796766E-4</v>
      </c>
      <c r="O79" s="310">
        <f>'Baseline Consumption'!AD62</f>
        <v>5.8951693589678433E-4</v>
      </c>
      <c r="P79" s="310">
        <f>'Baseline Consumption'!AE62</f>
        <v>6.033442137558969E-4</v>
      </c>
      <c r="Q79" s="310">
        <f>'Baseline Consumption'!AF62</f>
        <v>6.1515823654994693E-4</v>
      </c>
      <c r="R79" s="310">
        <f>'Baseline Consumption'!AG62</f>
        <v>6.3351573593142102E-4</v>
      </c>
      <c r="S79" s="310">
        <f>'Baseline Consumption'!AH62</f>
        <v>6.4998143665167196E-4</v>
      </c>
      <c r="T79" s="310">
        <f>'Baseline Consumption'!AI62</f>
        <v>6.658129946360016E-4</v>
      </c>
      <c r="U79" s="310">
        <f>'Baseline Consumption'!AJ62</f>
        <v>6.8157396898205333E-4</v>
      </c>
      <c r="V79" s="310">
        <f>'Baseline Consumption'!AK62</f>
        <v>6.9786507255199814E-4</v>
      </c>
      <c r="W79" s="310">
        <f>'Baseline Consumption'!AL62</f>
        <v>7.1280082206587618E-4</v>
      </c>
      <c r="X79" s="310">
        <f>'Baseline Consumption'!AM62</f>
        <v>7.2673125382376723E-4</v>
      </c>
      <c r="Y79" s="310">
        <f>'Baseline Consumption'!AN62</f>
        <v>7.4026513366181007E-4</v>
      </c>
      <c r="Z79" s="310">
        <f>'Baseline Consumption'!AO62</f>
        <v>7.5402648336232226E-4</v>
      </c>
      <c r="AA79" s="310">
        <f>'Baseline Consumption'!AP62</f>
        <v>7.6771768728378653E-4</v>
      </c>
      <c r="AB79" s="310">
        <f>'Baseline Consumption'!AQ62</f>
        <v>7.8182221089138828E-4</v>
      </c>
      <c r="AC79" s="310">
        <f>'Baseline Consumption'!AR62</f>
        <v>7.9663733938925628E-4</v>
      </c>
      <c r="AD79" s="310">
        <f>'Baseline Consumption'!AS62</f>
        <v>8.1279004451246498E-4</v>
      </c>
      <c r="AE79" s="310">
        <f>'Baseline Consumption'!AT62</f>
        <v>8.3009500360448931E-4</v>
      </c>
      <c r="AF79" s="310">
        <f>'Baseline Consumption'!AU62</f>
        <v>8.4853702549097393E-4</v>
      </c>
      <c r="AG79" s="533">
        <f t="shared" si="16"/>
        <v>0.32314044303522527</v>
      </c>
    </row>
    <row r="80" spans="1:33" ht="12.9" customHeight="1">
      <c r="A80" s="377" t="s">
        <v>1261</v>
      </c>
      <c r="B80" s="310">
        <f>('Baseline Consumption'!Q63+B105+B123)*(1+'Price Change'!B41*ramps!C61)</f>
        <v>1.5132552298368592E-3</v>
      </c>
      <c r="C80" s="310">
        <f>('Baseline Consumption'!R63+C105+C123)*(1+'Price Change'!C41*ramps!D61)</f>
        <v>1.9408506821040092E-3</v>
      </c>
      <c r="D80" s="310">
        <f>('Baseline Consumption'!S63+D105+D123)*(1+'Price Change'!D41*ramps!E61)</f>
        <v>2.3984276184084142E-3</v>
      </c>
      <c r="E80" s="310">
        <f>('Baseline Consumption'!T63+E105+E123)*(1+'Price Change'!E41*ramps!F61)</f>
        <v>2.8862162437059717E-3</v>
      </c>
      <c r="F80" s="310">
        <f>('Baseline Consumption'!U63+F105+F123)*(1+'Price Change'!F41*ramps!G61)</f>
        <v>3.3883687618971991E-3</v>
      </c>
      <c r="G80" s="310">
        <f>('Baseline Consumption'!V63+G105+G123)*(1+'Price Change'!G41*ramps!H61)</f>
        <v>3.9231567714545805E-3</v>
      </c>
      <c r="H80" s="310">
        <f>('Baseline Consumption'!W63+H105+H123)*(1+'Price Change'!H41*ramps!I61)</f>
        <v>4.4158199376890727E-3</v>
      </c>
      <c r="I80" s="310">
        <f>('Baseline Consumption'!X63+I105+I123)*(1+'Price Change'!I41*ramps!J61)</f>
        <v>4.9022019418877008E-3</v>
      </c>
      <c r="J80" s="310">
        <f>('Baseline Consumption'!Y63+J105+J123)*(1+'Price Change'!J41*ramps!K61)</f>
        <v>5.3791108800025295E-3</v>
      </c>
      <c r="K80" s="310">
        <f>('Baseline Consumption'!Z63+K105+K123)*(1+'Price Change'!K41*ramps!L61)</f>
        <v>5.8347835997443606E-3</v>
      </c>
      <c r="L80" s="310">
        <f>('Baseline Consumption'!AA63+L105+L123)*(1+'Price Change'!L41*ramps!M61)</f>
        <v>6.2742163862415492E-3</v>
      </c>
      <c r="M80" s="310">
        <f>('Baseline Consumption'!AB63+M105+M123)*(1+'Price Change'!M41*ramps!N61)</f>
        <v>6.6194301735171927E-3</v>
      </c>
      <c r="N80" s="310">
        <f>('Baseline Consumption'!AC63+N105+N123)*(1+'Price Change'!N41*ramps!O61)</f>
        <v>6.9536705569918436E-3</v>
      </c>
      <c r="O80" s="310">
        <f>('Baseline Consumption'!AD63+O105+O123)*(1+'Price Change'!O41*ramps!P61)</f>
        <v>7.2391292108937291E-3</v>
      </c>
      <c r="P80" s="310">
        <f>('Baseline Consumption'!AE63+P105+P123)*(1+'Price Change'!P41*ramps!Q61)</f>
        <v>7.5220164995917511E-3</v>
      </c>
      <c r="Q80" s="310">
        <f>('Baseline Consumption'!AF63+Q105+Q123)*(1+'Price Change'!Q41*ramps!R61)</f>
        <v>7.7219652608031281E-3</v>
      </c>
      <c r="R80" s="310">
        <f>('Baseline Consumption'!AG63+R105+R123)*(1+'Price Change'!R41*ramps!S61)</f>
        <v>8.0853150703067127E-3</v>
      </c>
      <c r="S80" s="310">
        <f>('Baseline Consumption'!AH63+S105+S123)*(1+'Price Change'!S41*ramps!T61)</f>
        <v>8.3822883954899688E-3</v>
      </c>
      <c r="T80" s="310">
        <f>('Baseline Consumption'!AI63+T105+T123)*(1+'Price Change'!T41*ramps!U61)</f>
        <v>8.6796952833310473E-3</v>
      </c>
      <c r="U80" s="310">
        <f>('Baseline Consumption'!AJ63+U105+U123)*(1+'Price Change'!U41*ramps!V61)</f>
        <v>8.977504061729407E-3</v>
      </c>
      <c r="V80" s="310">
        <f>('Baseline Consumption'!AK63+V105+V123)*(1+'Price Change'!V41*ramps!W61)</f>
        <v>9.2757005903383663E-3</v>
      </c>
      <c r="W80" s="310">
        <f>('Baseline Consumption'!AL63+W105+W123)*(1+'Price Change'!W41*ramps!X61)</f>
        <v>9.5741141436597108E-3</v>
      </c>
      <c r="X80" s="310">
        <f>('Baseline Consumption'!AM63+X105+X123)*(1+'Price Change'!X41*ramps!Y61)</f>
        <v>9.872734778208634E-3</v>
      </c>
      <c r="Y80" s="310">
        <f>('Baseline Consumption'!AN63+Y105+Y123)*(1+'Price Change'!Y41*ramps!Z61)</f>
        <v>1.0171550639516578E-2</v>
      </c>
      <c r="Z80" s="310">
        <f>('Baseline Consumption'!AO63+Z105+Z123)*(1+'Price Change'!Z41*ramps!AA61)</f>
        <v>1.0470577106461064E-2</v>
      </c>
      <c r="AA80" s="310">
        <f>('Baseline Consumption'!AP63+AA105+AA123)*(1+'Price Change'!AA41*ramps!AB61)</f>
        <v>1.0769813211447975E-2</v>
      </c>
      <c r="AB80" s="310">
        <f>('Baseline Consumption'!AQ63+AB105+AB123)*(1+'Price Change'!AB41*ramps!AC61)</f>
        <v>1.1066819554230743E-2</v>
      </c>
      <c r="AC80" s="310">
        <f>('Baseline Consumption'!AR63+AC105+AC123)*(1+'Price Change'!AC41*ramps!AD61)</f>
        <v>1.1363875811112659E-2</v>
      </c>
      <c r="AD80" s="310">
        <f>('Baseline Consumption'!AS63+AD105+AD123)*(1+'Price Change'!AD41*ramps!AE61)</f>
        <v>1.1660980776892866E-2</v>
      </c>
      <c r="AE80" s="310">
        <f>('Baseline Consumption'!AT63+AE105+AE123)*(1+'Price Change'!AE41*ramps!AF61)</f>
        <v>1.195813250889961E-2</v>
      </c>
      <c r="AF80" s="310">
        <f>('Baseline Consumption'!AU63+AF105+AF123)*(1+'Price Change'!AF41*ramps!AG61)</f>
        <v>1.2255335626373431E-2</v>
      </c>
      <c r="AG80" s="533">
        <f t="shared" si="16"/>
        <v>0.23662191247792466</v>
      </c>
    </row>
    <row r="81" spans="1:33" ht="12.9" customHeight="1">
      <c r="A81" s="71" t="s">
        <v>1245</v>
      </c>
      <c r="B81" s="310">
        <f t="shared" ref="B81:U81" si="17">SUM(B70:B80)</f>
        <v>0.60267062270459071</v>
      </c>
      <c r="C81" s="310">
        <f t="shared" si="17"/>
        <v>0.60691127638553022</v>
      </c>
      <c r="D81" s="310">
        <f t="shared" si="17"/>
        <v>0.61098794868158612</v>
      </c>
      <c r="E81" s="310">
        <f t="shared" si="17"/>
        <v>0.60717752652492185</v>
      </c>
      <c r="F81" s="310">
        <f t="shared" si="17"/>
        <v>0.60450288103180294</v>
      </c>
      <c r="G81" s="310">
        <f t="shared" si="17"/>
        <v>0.59998645875722667</v>
      </c>
      <c r="H81" s="310">
        <f t="shared" si="17"/>
        <v>0.59336388135541018</v>
      </c>
      <c r="I81" s="310">
        <f t="shared" si="17"/>
        <v>0.58695759985385021</v>
      </c>
      <c r="J81" s="310">
        <f t="shared" si="17"/>
        <v>0.58117005396270938</v>
      </c>
      <c r="K81" s="310">
        <f t="shared" si="17"/>
        <v>0.57605071631058147</v>
      </c>
      <c r="L81" s="310">
        <f t="shared" si="17"/>
        <v>0.57092339655106683</v>
      </c>
      <c r="M81" s="310">
        <f t="shared" si="17"/>
        <v>0.56713308674669205</v>
      </c>
      <c r="N81" s="310">
        <f t="shared" si="17"/>
        <v>0.56361958400417789</v>
      </c>
      <c r="O81" s="310">
        <f t="shared" si="17"/>
        <v>0.56009391220706228</v>
      </c>
      <c r="P81" s="310">
        <f t="shared" si="17"/>
        <v>0.5583207598809804</v>
      </c>
      <c r="Q81" s="310">
        <f t="shared" si="17"/>
        <v>0.55541228127507491</v>
      </c>
      <c r="R81" s="310">
        <f t="shared" si="17"/>
        <v>0.55548972114452411</v>
      </c>
      <c r="S81" s="310">
        <f t="shared" si="17"/>
        <v>0.55581944128963412</v>
      </c>
      <c r="T81" s="310">
        <f t="shared" si="17"/>
        <v>0.55694655843097574</v>
      </c>
      <c r="U81" s="310">
        <f t="shared" si="17"/>
        <v>0.55840545381150364</v>
      </c>
      <c r="V81" s="310">
        <f>SUM(V70:V80)</f>
        <v>0.56005714023411579</v>
      </c>
      <c r="W81" s="310">
        <f t="shared" ref="W81:AF81" si="18">SUM(W70:W80)</f>
        <v>0.56191435291056024</v>
      </c>
      <c r="X81" s="310">
        <f t="shared" si="18"/>
        <v>0.56327368986298521</v>
      </c>
      <c r="Y81" s="310">
        <f t="shared" si="18"/>
        <v>0.56618187883328919</v>
      </c>
      <c r="Z81" s="310">
        <f t="shared" si="18"/>
        <v>0.56700120557170985</v>
      </c>
      <c r="AA81" s="310">
        <f t="shared" si="18"/>
        <v>0.56918446300736736</v>
      </c>
      <c r="AB81" s="310">
        <f t="shared" si="18"/>
        <v>0.57038474888539137</v>
      </c>
      <c r="AC81" s="310">
        <f t="shared" si="18"/>
        <v>0.57216499514579722</v>
      </c>
      <c r="AD81" s="310">
        <f t="shared" si="18"/>
        <v>0.57410285195317301</v>
      </c>
      <c r="AE81" s="310">
        <f t="shared" si="18"/>
        <v>0.57609462253431953</v>
      </c>
      <c r="AF81" s="310">
        <f t="shared" si="18"/>
        <v>0.57796477115067812</v>
      </c>
      <c r="AG81" s="533">
        <f t="shared" si="16"/>
        <v>-1.366465120590565E-3</v>
      </c>
    </row>
    <row r="82" spans="1:33" ht="12.9" customHeight="1">
      <c r="A82" s="44"/>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310"/>
      <c r="AE82" s="310"/>
      <c r="AF82" s="310"/>
    </row>
    <row r="83" spans="1:33" s="291" customFormat="1" ht="12.9" customHeight="1">
      <c r="A83" s="50" t="s">
        <v>1332</v>
      </c>
      <c r="B83" s="419"/>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30"/>
    </row>
    <row r="84" spans="1:33" s="408" customFormat="1" ht="12.9" customHeight="1">
      <c r="A84" s="385" t="s">
        <v>1354</v>
      </c>
      <c r="B84" s="419"/>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30"/>
    </row>
    <row r="85" spans="1:33" s="408" customFormat="1" ht="12.9" customHeight="1">
      <c r="A85" s="411" t="s">
        <v>1349</v>
      </c>
      <c r="B85" s="455" t="b">
        <f>AND(B$69&gt;=dashboard!$C$95,B$69&lt;=dashboard!$D$95,dashboard!$F$95="o.k.")</f>
        <v>1</v>
      </c>
      <c r="C85" s="456" t="b">
        <f>AND(C$69&gt;=dashboard!$C$95,C$69&lt;=dashboard!$D$95,dashboard!$F$95="o.k.")</f>
        <v>1</v>
      </c>
      <c r="D85" s="456" t="b">
        <f>AND(D$69&gt;=dashboard!$C$95,D$69&lt;=dashboard!$D$95,dashboard!$F$95="o.k.")</f>
        <v>0</v>
      </c>
      <c r="E85" s="456" t="b">
        <f>AND(E$69&gt;=dashboard!$C$95,E$69&lt;=dashboard!$D$95,dashboard!$F$95="o.k.")</f>
        <v>0</v>
      </c>
      <c r="F85" s="456" t="b">
        <f>AND(F$69&gt;=dashboard!$C$95,F$69&lt;=dashboard!$D$95,dashboard!$F$95="o.k.")</f>
        <v>0</v>
      </c>
      <c r="G85" s="457" t="b">
        <f>AND(G$69&gt;=dashboard!$C$95,G$69&lt;=dashboard!$D$95,dashboard!$F$95="o.k.")</f>
        <v>0</v>
      </c>
      <c r="H85" s="310" t="b">
        <f>AND(H$69&gt;=dashboard!$C$95,H$69&lt;=dashboard!$D$95,dashboard!$F$95="o.k.")</f>
        <v>0</v>
      </c>
      <c r="I85" s="310" t="b">
        <f>AND(I$69&gt;=dashboard!$C$95,I$69&lt;=dashboard!$D$95,dashboard!$F$95="o.k.")</f>
        <v>0</v>
      </c>
      <c r="J85" s="310" t="b">
        <f>AND(J$69&gt;=dashboard!$C$95,J$69&lt;=dashboard!$D$95,dashboard!$F$95="o.k.")</f>
        <v>0</v>
      </c>
      <c r="K85" s="310" t="b">
        <f>AND(K$69&gt;=dashboard!$C$95,K$69&lt;=dashboard!$D$95,dashboard!$F$95="o.k.")</f>
        <v>0</v>
      </c>
      <c r="L85" s="310" t="b">
        <f>AND(L$69&gt;=dashboard!$C$95,L$69&lt;=dashboard!$D$95,dashboard!$F$95="o.k.")</f>
        <v>0</v>
      </c>
      <c r="M85" s="310" t="b">
        <f>AND(M$69&gt;=dashboard!$C$95,M$69&lt;=dashboard!$D$95,dashboard!$F$95="o.k.")</f>
        <v>0</v>
      </c>
      <c r="N85" s="310" t="b">
        <f>AND(N$69&gt;=dashboard!$C$95,N$69&lt;=dashboard!$D$95,dashboard!$F$95="o.k.")</f>
        <v>0</v>
      </c>
      <c r="O85" s="310" t="b">
        <f>AND(O$69&gt;=dashboard!$C$95,O$69&lt;=dashboard!$D$95,dashboard!$F$95="o.k.")</f>
        <v>0</v>
      </c>
      <c r="P85" s="310" t="b">
        <f>AND(P$69&gt;=dashboard!$C$95,P$69&lt;=dashboard!$D$95,dashboard!$F$95="o.k.")</f>
        <v>0</v>
      </c>
      <c r="Q85" s="310" t="b">
        <f>AND(Q$69&gt;=dashboard!$C$95,Q$69&lt;=dashboard!$D$95,dashboard!$F$95="o.k.")</f>
        <v>0</v>
      </c>
      <c r="R85" s="310" t="b">
        <f>AND(R$69&gt;=dashboard!$C$95,R$69&lt;=dashboard!$D$95,dashboard!$F$95="o.k.")</f>
        <v>0</v>
      </c>
      <c r="S85" s="310" t="b">
        <f>AND(S$69&gt;=dashboard!$C$95,S$69&lt;=dashboard!$D$95,dashboard!$F$95="o.k.")</f>
        <v>0</v>
      </c>
      <c r="T85" s="310" t="b">
        <f>AND(T$69&gt;=dashboard!$C$95,T$69&lt;=dashboard!$D$95,dashboard!$F$95="o.k.")</f>
        <v>0</v>
      </c>
      <c r="U85" s="310" t="b">
        <f>AND(U$69&gt;=dashboard!$C$95,U$69&lt;=dashboard!$D$95,dashboard!$F$95="o.k.")</f>
        <v>0</v>
      </c>
      <c r="V85" s="310" t="b">
        <f>AND(V$69&gt;=dashboard!$C$95,V$69&lt;=dashboard!$D$95,dashboard!$F$95="o.k.")</f>
        <v>0</v>
      </c>
      <c r="W85" s="310" t="b">
        <f>AND(W$69&gt;=dashboard!$C$95,W$69&lt;=dashboard!$D$95,dashboard!$F$95="o.k.")</f>
        <v>0</v>
      </c>
      <c r="X85" s="310" t="b">
        <f>AND(X$69&gt;=dashboard!$C$95,X$69&lt;=dashboard!$D$95,dashboard!$F$95="o.k.")</f>
        <v>0</v>
      </c>
      <c r="Y85" s="310" t="b">
        <f>AND(Y$69&gt;=dashboard!$C$95,Y$69&lt;=dashboard!$D$95,dashboard!$F$95="o.k.")</f>
        <v>0</v>
      </c>
      <c r="Z85" s="310" t="b">
        <f>AND(Z$69&gt;=dashboard!$C$95,Z$69&lt;=dashboard!$D$95,dashboard!$F$95="o.k.")</f>
        <v>0</v>
      </c>
      <c r="AA85" s="310" t="b">
        <f>AND(AA$69&gt;=dashboard!$C$95,AA$69&lt;=dashboard!$D$95,dashboard!$F$95="o.k.")</f>
        <v>0</v>
      </c>
      <c r="AB85" s="310" t="b">
        <f>AND(AB$69&gt;=dashboard!$C$95,AB$69&lt;=dashboard!$D$95,dashboard!$F$95="o.k.")</f>
        <v>0</v>
      </c>
      <c r="AC85" s="310" t="b">
        <f>AND(AC$69&gt;=dashboard!$C$95,AC$69&lt;=dashboard!$D$95,dashboard!$F$95="o.k.")</f>
        <v>0</v>
      </c>
      <c r="AD85" s="310" t="b">
        <f>AND(AD$69&gt;=dashboard!$C$95,AD$69&lt;=dashboard!$D$95,dashboard!$F$95="o.k.")</f>
        <v>0</v>
      </c>
      <c r="AE85" s="310" t="b">
        <f>AND(AE$69&gt;=dashboard!$C$95,AE$69&lt;=dashboard!$D$95,dashboard!$F$95="o.k.")</f>
        <v>0</v>
      </c>
      <c r="AF85" s="310" t="b">
        <f>AND(AF$69&gt;=dashboard!$C$95,AF$69&lt;=dashboard!$D$95,dashboard!$F$95="o.k.")</f>
        <v>0</v>
      </c>
      <c r="AG85" s="230"/>
    </row>
    <row r="86" spans="1:33" s="408" customFormat="1" ht="12.9" customHeight="1">
      <c r="A86" s="411" t="s">
        <v>1350</v>
      </c>
      <c r="B86" s="458" t="b">
        <f>AND(B$69&gt;=dashboard!$C$96,B$69&lt;=dashboard!$D$96,dashboard!$F$96="o.k.")</f>
        <v>0</v>
      </c>
      <c r="C86" s="459" t="b">
        <f>AND(C$69&gt;=dashboard!$C$96,C$69&lt;=dashboard!$D$96,dashboard!$F$96="o.k.")</f>
        <v>0</v>
      </c>
      <c r="D86" s="459" t="b">
        <f>AND(D$69&gt;=dashboard!$C$96,D$69&lt;=dashboard!$D$96,dashboard!$F$96="o.k.")</f>
        <v>1</v>
      </c>
      <c r="E86" s="459" t="b">
        <f>AND(E$69&gt;=dashboard!$C$96,E$69&lt;=dashboard!$D$96,dashboard!$F$96="o.k.")</f>
        <v>1</v>
      </c>
      <c r="F86" s="459" t="b">
        <f>AND(F$69&gt;=dashboard!$C$96,F$69&lt;=dashboard!$D$96,dashboard!$F$96="o.k.")</f>
        <v>0</v>
      </c>
      <c r="G86" s="460" t="b">
        <f>AND(G$69&gt;=dashboard!$C$96,G$69&lt;=dashboard!$D$96,dashboard!$F$96="o.k.")</f>
        <v>0</v>
      </c>
      <c r="H86" s="310" t="b">
        <f>AND(H$69&gt;=dashboard!$C$96,H$69&lt;=dashboard!$D$96,dashboard!$F$96="o.k.")</f>
        <v>0</v>
      </c>
      <c r="I86" s="310" t="b">
        <f>AND(I$69&gt;=dashboard!$C$96,I$69&lt;=dashboard!$D$96,dashboard!$F$96="o.k.")</f>
        <v>0</v>
      </c>
      <c r="J86" s="310" t="b">
        <f>AND(J$69&gt;=dashboard!$C$96,J$69&lt;=dashboard!$D$96,dashboard!$F$96="o.k.")</f>
        <v>0</v>
      </c>
      <c r="K86" s="310" t="b">
        <f>AND(K$69&gt;=dashboard!$C$96,K$69&lt;=dashboard!$D$96,dashboard!$F$96="o.k.")</f>
        <v>0</v>
      </c>
      <c r="L86" s="310" t="b">
        <f>AND(L$69&gt;=dashboard!$C$96,L$69&lt;=dashboard!$D$96,dashboard!$F$96="o.k.")</f>
        <v>0</v>
      </c>
      <c r="M86" s="310" t="b">
        <f>AND(M$69&gt;=dashboard!$C$96,M$69&lt;=dashboard!$D$96,dashboard!$F$96="o.k.")</f>
        <v>0</v>
      </c>
      <c r="N86" s="310" t="b">
        <f>AND(N$69&gt;=dashboard!$C$96,N$69&lt;=dashboard!$D$96,dashboard!$F$96="o.k.")</f>
        <v>0</v>
      </c>
      <c r="O86" s="310" t="b">
        <f>AND(O$69&gt;=dashboard!$C$96,O$69&lt;=dashboard!$D$96,dashboard!$F$96="o.k.")</f>
        <v>0</v>
      </c>
      <c r="P86" s="310" t="b">
        <f>AND(P$69&gt;=dashboard!$C$96,P$69&lt;=dashboard!$D$96,dashboard!$F$96="o.k.")</f>
        <v>0</v>
      </c>
      <c r="Q86" s="310" t="b">
        <f>AND(Q$69&gt;=dashboard!$C$96,Q$69&lt;=dashboard!$D$96,dashboard!$F$96="o.k.")</f>
        <v>0</v>
      </c>
      <c r="R86" s="310" t="b">
        <f>AND(R$69&gt;=dashboard!$C$96,R$69&lt;=dashboard!$D$96,dashboard!$F$96="o.k.")</f>
        <v>0</v>
      </c>
      <c r="S86" s="310" t="b">
        <f>AND(S$69&gt;=dashboard!$C$96,S$69&lt;=dashboard!$D$96,dashboard!$F$96="o.k.")</f>
        <v>0</v>
      </c>
      <c r="T86" s="310" t="b">
        <f>AND(T$69&gt;=dashboard!$C$96,T$69&lt;=dashboard!$D$96,dashboard!$F$96="o.k.")</f>
        <v>0</v>
      </c>
      <c r="U86" s="310" t="b">
        <f>AND(U$69&gt;=dashboard!$C$96,U$69&lt;=dashboard!$D$96,dashboard!$F$96="o.k.")</f>
        <v>0</v>
      </c>
      <c r="V86" s="310" t="b">
        <f>AND(V$69&gt;=dashboard!$C$96,V$69&lt;=dashboard!$D$96,dashboard!$F$96="o.k.")</f>
        <v>0</v>
      </c>
      <c r="W86" s="310" t="b">
        <f>AND(W$69&gt;=dashboard!$C$96,W$69&lt;=dashboard!$D$96,dashboard!$F$96="o.k.")</f>
        <v>0</v>
      </c>
      <c r="X86" s="310" t="b">
        <f>AND(X$69&gt;=dashboard!$C$96,X$69&lt;=dashboard!$D$96,dashboard!$F$96="o.k.")</f>
        <v>0</v>
      </c>
      <c r="Y86" s="310" t="b">
        <f>AND(Y$69&gt;=dashboard!$C$96,Y$69&lt;=dashboard!$D$96,dashboard!$F$96="o.k.")</f>
        <v>0</v>
      </c>
      <c r="Z86" s="310" t="b">
        <f>AND(Z$69&gt;=dashboard!$C$96,Z$69&lt;=dashboard!$D$96,dashboard!$F$96="o.k.")</f>
        <v>0</v>
      </c>
      <c r="AA86" s="310" t="b">
        <f>AND(AA$69&gt;=dashboard!$C$96,AA$69&lt;=dashboard!$D$96,dashboard!$F$96="o.k.")</f>
        <v>0</v>
      </c>
      <c r="AB86" s="310" t="b">
        <f>AND(AB$69&gt;=dashboard!$C$96,AB$69&lt;=dashboard!$D$96,dashboard!$F$96="o.k.")</f>
        <v>0</v>
      </c>
      <c r="AC86" s="310" t="b">
        <f>AND(AC$69&gt;=dashboard!$C$96,AC$69&lt;=dashboard!$D$96,dashboard!$F$96="o.k.")</f>
        <v>0</v>
      </c>
      <c r="AD86" s="310" t="b">
        <f>AND(AD$69&gt;=dashboard!$C$96,AD$69&lt;=dashboard!$D$96,dashboard!$F$96="o.k.")</f>
        <v>0</v>
      </c>
      <c r="AE86" s="310" t="b">
        <f>AND(AE$69&gt;=dashboard!$C$96,AE$69&lt;=dashboard!$D$96,dashboard!$F$96="o.k.")</f>
        <v>0</v>
      </c>
      <c r="AF86" s="310" t="b">
        <f>AND(AF$69&gt;=dashboard!$C$96,AF$69&lt;=dashboard!$D$96,dashboard!$F$96="o.k.")</f>
        <v>0</v>
      </c>
      <c r="AG86" s="230"/>
    </row>
    <row r="87" spans="1:33" s="408" customFormat="1" ht="12.9" customHeight="1">
      <c r="A87" s="411" t="s">
        <v>1351</v>
      </c>
      <c r="B87" s="458" t="b">
        <f>AND(B$69&gt;=dashboard!$C$97,B$69&lt;=dashboard!$D$97,dashboard!$F$97="o.k.")</f>
        <v>0</v>
      </c>
      <c r="C87" s="459" t="b">
        <f>AND(C$69&gt;=dashboard!$C$97,C$69&lt;=dashboard!$D$97,dashboard!$F$97="o.k.")</f>
        <v>0</v>
      </c>
      <c r="D87" s="459" t="b">
        <f>AND(D$69&gt;=dashboard!$C$97,D$69&lt;=dashboard!$D$97,dashboard!$F$97="o.k.")</f>
        <v>0</v>
      </c>
      <c r="E87" s="459" t="b">
        <f>AND(E$69&gt;=dashboard!$C$97,E$69&lt;=dashboard!$D$97,dashboard!$F$97="o.k.")</f>
        <v>0</v>
      </c>
      <c r="F87" s="459" t="b">
        <f>AND(F$69&gt;=dashboard!$C$97,F$69&lt;=dashboard!$D$97,dashboard!$F$97="o.k.")</f>
        <v>1</v>
      </c>
      <c r="G87" s="460" t="b">
        <f>AND(G$69&gt;=dashboard!$C$97,G$69&lt;=dashboard!$D$97,dashboard!$F$97="o.k.")</f>
        <v>1</v>
      </c>
      <c r="H87" s="310" t="b">
        <f>AND(H$69&gt;=dashboard!$C$97,H$69&lt;=dashboard!$D$97,dashboard!$F$97="o.k.")</f>
        <v>0</v>
      </c>
      <c r="I87" s="310" t="b">
        <f>AND(I$69&gt;=dashboard!$C$97,I$69&lt;=dashboard!$D$97,dashboard!$F$97="o.k.")</f>
        <v>0</v>
      </c>
      <c r="J87" s="310" t="b">
        <f>AND(J$69&gt;=dashboard!$C$97,J$69&lt;=dashboard!$D$97,dashboard!$F$97="o.k.")</f>
        <v>0</v>
      </c>
      <c r="K87" s="310" t="b">
        <f>AND(K$69&gt;=dashboard!$C$97,K$69&lt;=dashboard!$D$97,dashboard!$F$97="o.k.")</f>
        <v>0</v>
      </c>
      <c r="L87" s="310" t="b">
        <f>AND(L$69&gt;=dashboard!$C$97,L$69&lt;=dashboard!$D$97,dashboard!$F$97="o.k.")</f>
        <v>0</v>
      </c>
      <c r="M87" s="310" t="b">
        <f>AND(M$69&gt;=dashboard!$C$97,M$69&lt;=dashboard!$D$97,dashboard!$F$97="o.k.")</f>
        <v>0</v>
      </c>
      <c r="N87" s="310" t="b">
        <f>AND(N$69&gt;=dashboard!$C$97,N$69&lt;=dashboard!$D$97,dashboard!$F$97="o.k.")</f>
        <v>0</v>
      </c>
      <c r="O87" s="310" t="b">
        <f>AND(O$69&gt;=dashboard!$C$97,O$69&lt;=dashboard!$D$97,dashboard!$F$97="o.k.")</f>
        <v>0</v>
      </c>
      <c r="P87" s="310" t="b">
        <f>AND(P$69&gt;=dashboard!$C$97,P$69&lt;=dashboard!$D$97,dashboard!$F$97="o.k.")</f>
        <v>0</v>
      </c>
      <c r="Q87" s="310" t="b">
        <f>AND(Q$69&gt;=dashboard!$C$97,Q$69&lt;=dashboard!$D$97,dashboard!$F$97="o.k.")</f>
        <v>0</v>
      </c>
      <c r="R87" s="310" t="b">
        <f>AND(R$69&gt;=dashboard!$C$97,R$69&lt;=dashboard!$D$97,dashboard!$F$97="o.k.")</f>
        <v>0</v>
      </c>
      <c r="S87" s="310" t="b">
        <f>AND(S$69&gt;=dashboard!$C$97,S$69&lt;=dashboard!$D$97,dashboard!$F$97="o.k.")</f>
        <v>0</v>
      </c>
      <c r="T87" s="310" t="b">
        <f>AND(T$69&gt;=dashboard!$C$97,T$69&lt;=dashboard!$D$97,dashboard!$F$97="o.k.")</f>
        <v>0</v>
      </c>
      <c r="U87" s="310" t="b">
        <f>AND(U$69&gt;=dashboard!$C$97,U$69&lt;=dashboard!$D$97,dashboard!$F$97="o.k.")</f>
        <v>0</v>
      </c>
      <c r="V87" s="310" t="b">
        <f>AND(V$69&gt;=dashboard!$C$97,V$69&lt;=dashboard!$D$97,dashboard!$F$97="o.k.")</f>
        <v>0</v>
      </c>
      <c r="W87" s="310" t="b">
        <f>AND(W$69&gt;=dashboard!$C$97,W$69&lt;=dashboard!$D$97,dashboard!$F$97="o.k.")</f>
        <v>0</v>
      </c>
      <c r="X87" s="310" t="b">
        <f>AND(X$69&gt;=dashboard!$C$97,X$69&lt;=dashboard!$D$97,dashboard!$F$97="o.k.")</f>
        <v>0</v>
      </c>
      <c r="Y87" s="310" t="b">
        <f>AND(Y$69&gt;=dashboard!$C$97,Y$69&lt;=dashboard!$D$97,dashboard!$F$97="o.k.")</f>
        <v>0</v>
      </c>
      <c r="Z87" s="310" t="b">
        <f>AND(Z$69&gt;=dashboard!$C$97,Z$69&lt;=dashboard!$D$97,dashboard!$F$97="o.k.")</f>
        <v>0</v>
      </c>
      <c r="AA87" s="310" t="b">
        <f>AND(AA$69&gt;=dashboard!$C$97,AA$69&lt;=dashboard!$D$97,dashboard!$F$97="o.k.")</f>
        <v>0</v>
      </c>
      <c r="AB87" s="310" t="b">
        <f>AND(AB$69&gt;=dashboard!$C$97,AB$69&lt;=dashboard!$D$97,dashboard!$F$97="o.k.")</f>
        <v>0</v>
      </c>
      <c r="AC87" s="310" t="b">
        <f>AND(AC$69&gt;=dashboard!$C$97,AC$69&lt;=dashboard!$D$97,dashboard!$F$97="o.k.")</f>
        <v>0</v>
      </c>
      <c r="AD87" s="310" t="b">
        <f>AND(AD$69&gt;=dashboard!$C$97,AD$69&lt;=dashboard!$D$97,dashboard!$F$97="o.k.")</f>
        <v>0</v>
      </c>
      <c r="AE87" s="310" t="b">
        <f>AND(AE$69&gt;=dashboard!$C$97,AE$69&lt;=dashboard!$D$97,dashboard!$F$97="o.k.")</f>
        <v>0</v>
      </c>
      <c r="AF87" s="310" t="b">
        <f>AND(AF$69&gt;=dashboard!$C$97,AF$69&lt;=dashboard!$D$97,dashboard!$F$97="o.k.")</f>
        <v>0</v>
      </c>
      <c r="AG87" s="230"/>
    </row>
    <row r="88" spans="1:33" s="408" customFormat="1" ht="12.9" customHeight="1">
      <c r="A88" s="411" t="s">
        <v>1352</v>
      </c>
      <c r="B88" s="461" t="b">
        <f>IF(COUNTIF(B85:B87,TRUE)&gt;1,TRUE,FALSE)</f>
        <v>0</v>
      </c>
      <c r="C88" s="462" t="b">
        <f t="shared" ref="C88:AF88" si="19">IF(COUNTIF(C85:C87,TRUE)&gt;1,TRUE,FALSE)</f>
        <v>0</v>
      </c>
      <c r="D88" s="462" t="b">
        <f t="shared" si="19"/>
        <v>0</v>
      </c>
      <c r="E88" s="462" t="b">
        <f t="shared" si="19"/>
        <v>0</v>
      </c>
      <c r="F88" s="462" t="b">
        <f t="shared" si="19"/>
        <v>0</v>
      </c>
      <c r="G88" s="463" t="b">
        <f t="shared" si="19"/>
        <v>0</v>
      </c>
      <c r="H88" s="283" t="b">
        <f t="shared" si="19"/>
        <v>0</v>
      </c>
      <c r="I88" s="283" t="b">
        <f t="shared" si="19"/>
        <v>0</v>
      </c>
      <c r="J88" s="283" t="b">
        <f t="shared" si="19"/>
        <v>0</v>
      </c>
      <c r="K88" s="283" t="b">
        <f t="shared" si="19"/>
        <v>0</v>
      </c>
      <c r="L88" s="283" t="b">
        <f t="shared" si="19"/>
        <v>0</v>
      </c>
      <c r="M88" s="283" t="b">
        <f t="shared" si="19"/>
        <v>0</v>
      </c>
      <c r="N88" s="283" t="b">
        <f t="shared" si="19"/>
        <v>0</v>
      </c>
      <c r="O88" s="283" t="b">
        <f t="shared" si="19"/>
        <v>0</v>
      </c>
      <c r="P88" s="283" t="b">
        <f t="shared" si="19"/>
        <v>0</v>
      </c>
      <c r="Q88" s="283" t="b">
        <f t="shared" si="19"/>
        <v>0</v>
      </c>
      <c r="R88" s="283" t="b">
        <f t="shared" si="19"/>
        <v>0</v>
      </c>
      <c r="S88" s="283" t="b">
        <f t="shared" si="19"/>
        <v>0</v>
      </c>
      <c r="T88" s="283" t="b">
        <f t="shared" si="19"/>
        <v>0</v>
      </c>
      <c r="U88" s="283" t="b">
        <f t="shared" si="19"/>
        <v>0</v>
      </c>
      <c r="V88" s="283" t="b">
        <f t="shared" si="19"/>
        <v>0</v>
      </c>
      <c r="W88" s="283" t="b">
        <f t="shared" si="19"/>
        <v>0</v>
      </c>
      <c r="X88" s="283" t="b">
        <f t="shared" si="19"/>
        <v>0</v>
      </c>
      <c r="Y88" s="283" t="b">
        <f t="shared" si="19"/>
        <v>0</v>
      </c>
      <c r="Z88" s="283" t="b">
        <f t="shared" si="19"/>
        <v>0</v>
      </c>
      <c r="AA88" s="283" t="b">
        <f t="shared" si="19"/>
        <v>0</v>
      </c>
      <c r="AB88" s="283" t="b">
        <f t="shared" si="19"/>
        <v>0</v>
      </c>
      <c r="AC88" s="283" t="b">
        <f t="shared" si="19"/>
        <v>0</v>
      </c>
      <c r="AD88" s="283" t="b">
        <f t="shared" si="19"/>
        <v>0</v>
      </c>
      <c r="AE88" s="283" t="b">
        <f t="shared" si="19"/>
        <v>0</v>
      </c>
      <c r="AF88" s="283" t="b">
        <f t="shared" si="19"/>
        <v>0</v>
      </c>
      <c r="AG88" s="230"/>
    </row>
    <row r="89" spans="1:33" s="291" customFormat="1" ht="12.9" customHeight="1">
      <c r="A89" s="411" t="s">
        <v>1353</v>
      </c>
      <c r="B89" s="314">
        <f>IF(B85,1,IF(B86,2,IF(B87,3,4)))</f>
        <v>1</v>
      </c>
      <c r="C89" s="314">
        <f t="shared" ref="C89:AF89" si="20">IF(C85,1,IF(C86,2,IF(C87,3,4)))</f>
        <v>1</v>
      </c>
      <c r="D89" s="314">
        <f t="shared" si="20"/>
        <v>2</v>
      </c>
      <c r="E89" s="314">
        <f t="shared" si="20"/>
        <v>2</v>
      </c>
      <c r="F89" s="314">
        <f t="shared" si="20"/>
        <v>3</v>
      </c>
      <c r="G89" s="314">
        <f t="shared" si="20"/>
        <v>3</v>
      </c>
      <c r="H89" s="314">
        <f t="shared" si="20"/>
        <v>4</v>
      </c>
      <c r="I89" s="314">
        <f t="shared" si="20"/>
        <v>4</v>
      </c>
      <c r="J89" s="314">
        <f t="shared" si="20"/>
        <v>4</v>
      </c>
      <c r="K89" s="314">
        <f t="shared" si="20"/>
        <v>4</v>
      </c>
      <c r="L89" s="314">
        <f t="shared" si="20"/>
        <v>4</v>
      </c>
      <c r="M89" s="314">
        <f t="shared" si="20"/>
        <v>4</v>
      </c>
      <c r="N89" s="314">
        <f t="shared" si="20"/>
        <v>4</v>
      </c>
      <c r="O89" s="314">
        <f t="shared" si="20"/>
        <v>4</v>
      </c>
      <c r="P89" s="314">
        <f t="shared" si="20"/>
        <v>4</v>
      </c>
      <c r="Q89" s="314">
        <f t="shared" si="20"/>
        <v>4</v>
      </c>
      <c r="R89" s="314">
        <f t="shared" si="20"/>
        <v>4</v>
      </c>
      <c r="S89" s="314">
        <f t="shared" si="20"/>
        <v>4</v>
      </c>
      <c r="T89" s="314">
        <f t="shared" si="20"/>
        <v>4</v>
      </c>
      <c r="U89" s="314">
        <f t="shared" si="20"/>
        <v>4</v>
      </c>
      <c r="V89" s="314">
        <f t="shared" si="20"/>
        <v>4</v>
      </c>
      <c r="W89" s="314">
        <f t="shared" si="20"/>
        <v>4</v>
      </c>
      <c r="X89" s="314">
        <f t="shared" si="20"/>
        <v>4</v>
      </c>
      <c r="Y89" s="314">
        <f t="shared" si="20"/>
        <v>4</v>
      </c>
      <c r="Z89" s="314">
        <f t="shared" si="20"/>
        <v>4</v>
      </c>
      <c r="AA89" s="314">
        <f t="shared" si="20"/>
        <v>4</v>
      </c>
      <c r="AB89" s="314">
        <f t="shared" si="20"/>
        <v>4</v>
      </c>
      <c r="AC89" s="314">
        <f t="shared" si="20"/>
        <v>4</v>
      </c>
      <c r="AD89" s="314">
        <f t="shared" si="20"/>
        <v>4</v>
      </c>
      <c r="AE89" s="314">
        <f t="shared" si="20"/>
        <v>4</v>
      </c>
      <c r="AF89" s="314">
        <f t="shared" si="20"/>
        <v>4</v>
      </c>
    </row>
    <row r="90" spans="1:33" s="513" customFormat="1" ht="12.9" customHeight="1">
      <c r="A90" s="385" t="s">
        <v>1458</v>
      </c>
      <c r="B90" s="308">
        <f>CHOOSE(B89,parameters!$B$65,parameters!$B$66,parameters!$B$67,0)</f>
        <v>0.2145</v>
      </c>
      <c r="C90" s="308">
        <f>CHOOSE(C89,parameters!$B$65,parameters!$B$66,parameters!$B$67,0)</f>
        <v>0.2145</v>
      </c>
      <c r="D90" s="308">
        <f>CHOOSE(D89,parameters!$B$65,parameters!$B$66,parameters!$B$67,0)</f>
        <v>0.19500000000000001</v>
      </c>
      <c r="E90" s="308">
        <f>CHOOSE(E89,parameters!$B$65,parameters!$B$66,parameters!$B$67,0)</f>
        <v>0.19500000000000001</v>
      </c>
      <c r="F90" s="308">
        <f>CHOOSE(F89,parameters!$B$65,parameters!$B$66,parameters!$B$67,0)</f>
        <v>0.156</v>
      </c>
      <c r="G90" s="308">
        <f>CHOOSE(G89,parameters!$B$65,parameters!$B$66,parameters!$B$67,0)</f>
        <v>0.156</v>
      </c>
      <c r="H90" s="308">
        <f>CHOOSE(H89,parameters!$B$65,parameters!$B$66,parameters!$B$67,0)</f>
        <v>0</v>
      </c>
      <c r="I90" s="308">
        <f>CHOOSE(I89,parameters!$B$65,parameters!$B$66,parameters!$B$67,0)</f>
        <v>0</v>
      </c>
      <c r="J90" s="308">
        <f>CHOOSE(J89,parameters!$B$65,parameters!$B$66,parameters!$B$67,0)</f>
        <v>0</v>
      </c>
      <c r="K90" s="308">
        <f>CHOOSE(K89,parameters!$B$65,parameters!$B$66,parameters!$B$67,0)</f>
        <v>0</v>
      </c>
      <c r="L90" s="308">
        <f>CHOOSE(L89,parameters!$B$65,parameters!$B$66,parameters!$B$67,0)</f>
        <v>0</v>
      </c>
      <c r="M90" s="308">
        <f>CHOOSE(M89,parameters!$B$65,parameters!$B$66,parameters!$B$67,0)</f>
        <v>0</v>
      </c>
      <c r="N90" s="308">
        <f>CHOOSE(N89,parameters!$B$65,parameters!$B$66,parameters!$B$67,0)</f>
        <v>0</v>
      </c>
      <c r="O90" s="308">
        <f>CHOOSE(O89,parameters!$B$65,parameters!$B$66,parameters!$B$67,0)</f>
        <v>0</v>
      </c>
      <c r="P90" s="308">
        <f>CHOOSE(P89,parameters!$B$65,parameters!$B$66,parameters!$B$67,0)</f>
        <v>0</v>
      </c>
      <c r="Q90" s="308">
        <f>CHOOSE(Q89,parameters!$B$65,parameters!$B$66,parameters!$B$67,0)</f>
        <v>0</v>
      </c>
      <c r="R90" s="308">
        <f>CHOOSE(R89,parameters!$B$65,parameters!$B$66,parameters!$B$67,0)</f>
        <v>0</v>
      </c>
      <c r="S90" s="308">
        <f>CHOOSE(S89,parameters!$B$65,parameters!$B$66,parameters!$B$67,0)</f>
        <v>0</v>
      </c>
      <c r="T90" s="308">
        <f>CHOOSE(T89,parameters!$B$65,parameters!$B$66,parameters!$B$67,0)</f>
        <v>0</v>
      </c>
      <c r="U90" s="308">
        <f>CHOOSE(U89,parameters!$B$65,parameters!$B$66,parameters!$B$67,0)</f>
        <v>0</v>
      </c>
      <c r="V90" s="308">
        <f>CHOOSE(V89,parameters!$B$65,parameters!$B$66,parameters!$B$67,0)</f>
        <v>0</v>
      </c>
      <c r="W90" s="308">
        <f>CHOOSE(W89,parameters!$B$65,parameters!$B$66,parameters!$B$67,0)</f>
        <v>0</v>
      </c>
      <c r="X90" s="308">
        <f>CHOOSE(X89,parameters!$B$65,parameters!$B$66,parameters!$B$67,0)</f>
        <v>0</v>
      </c>
      <c r="Y90" s="308">
        <f>CHOOSE(Y89,parameters!$B$65,parameters!$B$66,parameters!$B$67,0)</f>
        <v>0</v>
      </c>
      <c r="Z90" s="308">
        <f>CHOOSE(Z89,parameters!$B$65,parameters!$B$66,parameters!$B$67,0)</f>
        <v>0</v>
      </c>
      <c r="AA90" s="308">
        <f>CHOOSE(AA89,parameters!$B$65,parameters!$B$66,parameters!$B$67,0)</f>
        <v>0</v>
      </c>
      <c r="AB90" s="308">
        <f>CHOOSE(AB89,parameters!$B$65,parameters!$B$66,parameters!$B$67,0)</f>
        <v>0</v>
      </c>
      <c r="AC90" s="308">
        <f>CHOOSE(AC89,parameters!$B$65,parameters!$B$66,parameters!$B$67,0)</f>
        <v>0</v>
      </c>
      <c r="AD90" s="308">
        <f>CHOOSE(AD89,parameters!$B$65,parameters!$B$66,parameters!$B$67,0)</f>
        <v>0</v>
      </c>
      <c r="AE90" s="308">
        <f>CHOOSE(AE89,parameters!$B$65,parameters!$B$66,parameters!$B$67,0)</f>
        <v>0</v>
      </c>
      <c r="AF90" s="308">
        <f>CHOOSE(AF89,parameters!$B$65,parameters!$B$66,parameters!$B$67,0)</f>
        <v>0</v>
      </c>
    </row>
    <row r="91" spans="1:33" s="408" customFormat="1" ht="12.9" customHeight="1">
      <c r="A91" s="385" t="s">
        <v>1459</v>
      </c>
      <c r="B91" s="308">
        <f>CHOOSE(B89,parameters!$B$65,parameters!$B$66,parameters!$B$67,0)+B114</f>
        <v>0.30350095693783463</v>
      </c>
      <c r="C91" s="308">
        <f>CHOOSE(C89,parameters!$B$65,parameters!$B$66,parameters!$B$67,0)+C114</f>
        <v>0.31738982801811899</v>
      </c>
      <c r="D91" s="308">
        <f>CHOOSE(D89,parameters!$B$65,parameters!$B$66,parameters!$B$67,0)+D114</f>
        <v>0.31133412194320287</v>
      </c>
      <c r="E91" s="308">
        <f>CHOOSE(E89,parameters!$B$65,parameters!$B$66,parameters!$B$67,0)+E114</f>
        <v>0.3240867318088706</v>
      </c>
      <c r="F91" s="308">
        <f>CHOOSE(F89,parameters!$B$65,parameters!$B$66,parameters!$B$67,0)+F114</f>
        <v>0.2961148171893383</v>
      </c>
      <c r="G91" s="308">
        <f>CHOOSE(G89,parameters!$B$65,parameters!$B$66,parameters!$B$67,0)+G114</f>
        <v>0.30722867927477837</v>
      </c>
      <c r="H91" s="308">
        <f>CHOOSE(H89,parameters!$B$65,parameters!$B$66,parameters!$B$67,0)+H114</f>
        <v>0.15922126053917798</v>
      </c>
      <c r="I91" s="308">
        <f>CHOOSE(I89,parameters!$B$65,parameters!$B$66,parameters!$B$67,0)+I114</f>
        <v>0.16620231667845659</v>
      </c>
      <c r="J91" s="308">
        <f>CHOOSE(J89,parameters!$B$65,parameters!$B$66,parameters!$B$67,0)+J114</f>
        <v>0.17247505736089902</v>
      </c>
      <c r="K91" s="308">
        <f>CHOOSE(K89,parameters!$B$65,parameters!$B$66,parameters!$B$67,0)+K114</f>
        <v>0.17791929739297166</v>
      </c>
      <c r="L91" s="308">
        <f>CHOOSE(L89,parameters!$B$65,parameters!$B$66,parameters!$B$67,0)+L114</f>
        <v>0.18277142180469574</v>
      </c>
      <c r="M91" s="308">
        <f>CHOOSE(M89,parameters!$B$65,parameters!$B$66,parameters!$B$67,0)+M114</f>
        <v>0.18674339030145753</v>
      </c>
      <c r="N91" s="308">
        <f>CHOOSE(N89,parameters!$B$65,parameters!$B$66,parameters!$B$67,0)+N114</f>
        <v>0.18977664041891157</v>
      </c>
      <c r="O91" s="308">
        <f>CHOOSE(O89,parameters!$B$65,parameters!$B$66,parameters!$B$67,0)+O114</f>
        <v>0.191876855874347</v>
      </c>
      <c r="P91" s="308">
        <f>CHOOSE(P89,parameters!$B$65,parameters!$B$66,parameters!$B$67,0)+P114</f>
        <v>0.19319652680516325</v>
      </c>
      <c r="Q91" s="308">
        <f>CHOOSE(Q89,parameters!$B$65,parameters!$B$66,parameters!$B$67,0)+Q114</f>
        <v>0.1942343969992604</v>
      </c>
      <c r="R91" s="308">
        <f>CHOOSE(R89,parameters!$B$65,parameters!$B$66,parameters!$B$67,0)+R114</f>
        <v>0.19528003891797088</v>
      </c>
      <c r="S91" s="308">
        <f>CHOOSE(S89,parameters!$B$65,parameters!$B$66,parameters!$B$67,0)+S114</f>
        <v>0.19673878494752972</v>
      </c>
      <c r="T91" s="308">
        <f>CHOOSE(T89,parameters!$B$65,parameters!$B$66,parameters!$B$67,0)+T114</f>
        <v>0.19803059478288901</v>
      </c>
      <c r="U91" s="308">
        <f>CHOOSE(U89,parameters!$B$65,parameters!$B$66,parameters!$B$67,0)+U114</f>
        <v>0.19915877811474089</v>
      </c>
      <c r="V91" s="308">
        <f>CHOOSE(V89,parameters!$B$65,parameters!$B$66,parameters!$B$67,0)+V114</f>
        <v>0.20015959860801449</v>
      </c>
      <c r="W91" s="308">
        <f>CHOOSE(W89,parameters!$B$65,parameters!$B$66,parameters!$B$67,0)+W114</f>
        <v>0.20039410646129027</v>
      </c>
      <c r="X91" s="308">
        <f>CHOOSE(X89,parameters!$B$65,parameters!$B$66,parameters!$B$67,0)+X114</f>
        <v>0.2006022403883306</v>
      </c>
      <c r="Y91" s="308">
        <f>CHOOSE(Y89,parameters!$B$65,parameters!$B$66,parameters!$B$67,0)+Y114</f>
        <v>0.20081233771562454</v>
      </c>
      <c r="Z91" s="308">
        <f>CHOOSE(Z89,parameters!$B$65,parameters!$B$66,parameters!$B$67,0)+Z114</f>
        <v>0.20101926110345758</v>
      </c>
      <c r="AA91" s="308">
        <f>CHOOSE(AA89,parameters!$B$65,parameters!$B$66,parameters!$B$67,0)+AA114</f>
        <v>0.20121419140922364</v>
      </c>
      <c r="AB91" s="308">
        <f>CHOOSE(AB89,parameters!$B$65,parameters!$B$66,parameters!$B$67,0)+AB114</f>
        <v>0.20141026720228114</v>
      </c>
      <c r="AC91" s="308">
        <f>CHOOSE(AC89,parameters!$B$65,parameters!$B$66,parameters!$B$67,0)+AC114</f>
        <v>0.20160377782806088</v>
      </c>
      <c r="AD91" s="308">
        <f>CHOOSE(AD89,parameters!$B$65,parameters!$B$66,parameters!$B$67,0)+AD114</f>
        <v>0.20178913586511579</v>
      </c>
      <c r="AE91" s="308">
        <f>CHOOSE(AE89,parameters!$B$65,parameters!$B$66,parameters!$B$67,0)+AE114</f>
        <v>0.20197357563993643</v>
      </c>
      <c r="AF91" s="308">
        <f>CHOOSE(AF89,parameters!$B$65,parameters!$B$66,parameters!$B$67,0)+AF114</f>
        <v>0.20217857786122312</v>
      </c>
    </row>
    <row r="92" spans="1:33" s="291" customFormat="1" ht="12.9" customHeight="1">
      <c r="A92" s="385" t="s">
        <v>1239</v>
      </c>
      <c r="B92" s="373">
        <f>'Baseline Consumption'!Q63-'Baseline Consumption'!P63</f>
        <v>2.9537072129748191E-4</v>
      </c>
      <c r="C92" s="373">
        <f>'Baseline Consumption'!R63-'Baseline Consumption'!Q63</f>
        <v>3.2527870251813896E-4</v>
      </c>
      <c r="D92" s="373">
        <f>'Baseline Consumption'!S63-'Baseline Consumption'!R63</f>
        <v>3.4922646180110973E-4</v>
      </c>
      <c r="E92" s="373">
        <f>'Baseline Consumption'!T63-'Baseline Consumption'!S63</f>
        <v>3.6953546734955212E-4</v>
      </c>
      <c r="F92" s="373">
        <f>'Baseline Consumption'!U63-'Baseline Consumption'!T63</f>
        <v>3.8722424242424239E-4</v>
      </c>
      <c r="G92" s="373">
        <f>'Baseline Consumption'!V63-'Baseline Consumption'!U63</f>
        <v>4.0580281690140831E-4</v>
      </c>
      <c r="H92" s="373">
        <f>'Baseline Consumption'!W63-'Baseline Consumption'!V63</f>
        <v>4.2236995305164338E-4</v>
      </c>
      <c r="I92" s="373">
        <f>'Baseline Consumption'!X63-'Baseline Consumption'!W63</f>
        <v>4.1707212974818669E-4</v>
      </c>
      <c r="J92" s="373">
        <f>'Baseline Consumption'!Y63-'Baseline Consumption'!X63</f>
        <v>4.0739223218096404E-4</v>
      </c>
      <c r="K92" s="373">
        <f>'Baseline Consumption'!Z63-'Baseline Consumption'!Y63</f>
        <v>3.925599658557398E-4</v>
      </c>
      <c r="L92" s="373">
        <f>'Baseline Consumption'!AA63-'Baseline Consumption'!Z63</f>
        <v>3.7366453265044904E-4</v>
      </c>
      <c r="M92" s="373">
        <f>'Baseline Consumption'!AB63-'Baseline Consumption'!AA63</f>
        <v>2.9341186513017533E-4</v>
      </c>
      <c r="N92" s="373">
        <f>'Baseline Consumption'!AC63-'Baseline Consumption'!AB63</f>
        <v>2.8368075117370887E-4</v>
      </c>
      <c r="O92" s="373">
        <f>'Baseline Consumption'!AD63-'Baseline Consumption'!AC63</f>
        <v>2.419974391805373E-4</v>
      </c>
      <c r="P92" s="373">
        <f>'Baseline Consumption'!AE63-'Baseline Consumption'!AD63</f>
        <v>2.380401195049087E-4</v>
      </c>
      <c r="Q92" s="373">
        <f>'Baseline Consumption'!AF63-'Baseline Consumption'!AE63</f>
        <v>1.6648740930430995E-4</v>
      </c>
      <c r="R92" s="373">
        <f>'Baseline Consumption'!AG63-'Baseline Consumption'!AF63</f>
        <v>3.0323016076253938E-4</v>
      </c>
      <c r="S92" s="373">
        <f>'Baseline Consumption'!AH63-'Baseline Consumption'!AG63</f>
        <v>2.4717829400646481E-4</v>
      </c>
      <c r="T92" s="373">
        <f>'Baseline Consumption'!AI63-'Baseline Consumption'!AH63</f>
        <v>2.4717829400646568E-4</v>
      </c>
      <c r="U92" s="373">
        <f>'Baseline Consumption'!AJ63-'Baseline Consumption'!AI63</f>
        <v>2.4717829400646481E-4</v>
      </c>
      <c r="V92" s="373">
        <f>'Baseline Consumption'!AK63-'Baseline Consumption'!AJ63</f>
        <v>2.4717829400646481E-4</v>
      </c>
      <c r="W92" s="373">
        <f>'Baseline Consumption'!AL63-'Baseline Consumption'!AK63</f>
        <v>2.4717829400646481E-4</v>
      </c>
      <c r="X92" s="373">
        <f>'Baseline Consumption'!AM63-'Baseline Consumption'!AL63</f>
        <v>2.4717829400646395E-4</v>
      </c>
      <c r="Y92" s="373">
        <f>'Baseline Consumption'!AN63-'Baseline Consumption'!AM63</f>
        <v>2.4717829400646568E-4</v>
      </c>
      <c r="Z92" s="373">
        <f>'Baseline Consumption'!AO63-'Baseline Consumption'!AN63</f>
        <v>2.4717829400646395E-4</v>
      </c>
      <c r="AA92" s="373">
        <f>'Baseline Consumption'!AP63-'Baseline Consumption'!AO63</f>
        <v>2.4717829400646568E-4</v>
      </c>
      <c r="AB92" s="373">
        <f>'Baseline Consumption'!AQ63-'Baseline Consumption'!AP63</f>
        <v>2.4717829400646568E-4</v>
      </c>
      <c r="AC92" s="373">
        <f>'Baseline Consumption'!AR63-'Baseline Consumption'!AQ63</f>
        <v>2.4717829400646395E-4</v>
      </c>
      <c r="AD92" s="373">
        <f>'Baseline Consumption'!AS63-'Baseline Consumption'!AR63</f>
        <v>2.4717829400646395E-4</v>
      </c>
      <c r="AE92" s="373">
        <f>'Baseline Consumption'!AT63-'Baseline Consumption'!AS63</f>
        <v>2.4717829400646395E-4</v>
      </c>
      <c r="AF92" s="373">
        <f>'Baseline Consumption'!AU63-'Baseline Consumption'!AT63</f>
        <v>2.4717829400646568E-4</v>
      </c>
    </row>
    <row r="93" spans="1:33" s="291" customFormat="1" ht="12.9" customHeight="1">
      <c r="A93" s="385" t="s">
        <v>1241</v>
      </c>
      <c r="B93" s="373">
        <f>B92*B91</f>
        <v>8.9645296565204211E-5</v>
      </c>
      <c r="C93" s="373">
        <f t="shared" ref="C93:AF93" si="21">C92*C91</f>
        <v>1.0324015145018901E-4</v>
      </c>
      <c r="D93" s="373">
        <f t="shared" si="21"/>
        <v>1.0872611384417998E-4</v>
      </c>
      <c r="E93" s="373">
        <f t="shared" si="21"/>
        <v>1.1976154190077995E-4</v>
      </c>
      <c r="F93" s="373">
        <f t="shared" si="21"/>
        <v>1.1466283575673455E-4</v>
      </c>
      <c r="G93" s="373">
        <f t="shared" si="21"/>
        <v>1.2467426348260438E-4</v>
      </c>
      <c r="H93" s="373">
        <f t="shared" si="21"/>
        <v>6.7250276338756085E-5</v>
      </c>
      <c r="I93" s="373">
        <f t="shared" si="21"/>
        <v>6.9318354186166455E-5</v>
      </c>
      <c r="J93" s="373">
        <f t="shared" si="21"/>
        <v>7.0264998613796462E-5</v>
      </c>
      <c r="K93" s="373">
        <f t="shared" si="21"/>
        <v>6.9843993309662172E-5</v>
      </c>
      <c r="L93" s="373">
        <f t="shared" si="21"/>
        <v>6.8295197910509727E-5</v>
      </c>
      <c r="M93" s="373">
        <f t="shared" si="21"/>
        <v>5.4792726449082949E-5</v>
      </c>
      <c r="N93" s="373">
        <f t="shared" si="21"/>
        <v>5.3835979909259674E-5</v>
      </c>
      <c r="O93" s="373">
        <f t="shared" si="21"/>
        <v>4.6433707759605007E-5</v>
      </c>
      <c r="P93" s="373">
        <f t="shared" si="21"/>
        <v>4.5988524328634358E-5</v>
      </c>
      <c r="Q93" s="373">
        <f t="shared" si="21"/>
        <v>3.2337581554191697E-5</v>
      </c>
      <c r="R93" s="373">
        <f t="shared" si="21"/>
        <v>5.9214797594811262E-5</v>
      </c>
      <c r="S93" s="373">
        <f t="shared" si="21"/>
        <v>4.8629557228235157E-5</v>
      </c>
      <c r="T93" s="373">
        <f t="shared" si="21"/>
        <v>4.8948864579520206E-5</v>
      </c>
      <c r="U93" s="373">
        <f t="shared" si="21"/>
        <v>4.9227727010813714E-5</v>
      </c>
      <c r="V93" s="373">
        <f t="shared" si="21"/>
        <v>4.947510811294779E-5</v>
      </c>
      <c r="W93" s="373">
        <f t="shared" si="21"/>
        <v>4.9533073364051618E-5</v>
      </c>
      <c r="X93" s="373">
        <f t="shared" si="21"/>
        <v>4.9584519553062138E-5</v>
      </c>
      <c r="Y93" s="373">
        <f t="shared" si="21"/>
        <v>4.963645105199832E-5</v>
      </c>
      <c r="Z93" s="373">
        <f t="shared" si="21"/>
        <v>4.9687598021992583E-5</v>
      </c>
      <c r="AA93" s="373">
        <f t="shared" si="21"/>
        <v>4.9735780562422339E-5</v>
      </c>
      <c r="AB93" s="373">
        <f t="shared" si="21"/>
        <v>4.9784246242446257E-5</v>
      </c>
      <c r="AC93" s="373">
        <f t="shared" si="21"/>
        <v>4.9832077868798269E-5</v>
      </c>
      <c r="AD93" s="373">
        <f t="shared" si="21"/>
        <v>4.9877894352177891E-5</v>
      </c>
      <c r="AE93" s="373">
        <f t="shared" si="21"/>
        <v>4.9923483861064987E-5</v>
      </c>
      <c r="AF93" s="373">
        <f t="shared" si="21"/>
        <v>4.9974155960390523E-5</v>
      </c>
    </row>
    <row r="94" spans="1:33" s="291" customFormat="1" ht="12.9" customHeight="1">
      <c r="A94" s="385" t="s">
        <v>1331</v>
      </c>
      <c r="B94" s="373">
        <f>B93</f>
        <v>8.9645296565204211E-5</v>
      </c>
      <c r="C94" s="373">
        <f t="shared" ref="C94:AF94" si="22">B94+C93</f>
        <v>1.9288544801539324E-4</v>
      </c>
      <c r="D94" s="373">
        <f t="shared" si="22"/>
        <v>3.0161156185957321E-4</v>
      </c>
      <c r="E94" s="373">
        <f t="shared" si="22"/>
        <v>4.2137310376035318E-4</v>
      </c>
      <c r="F94" s="373">
        <f t="shared" si="22"/>
        <v>5.3603593951708774E-4</v>
      </c>
      <c r="G94" s="373">
        <f t="shared" si="22"/>
        <v>6.6071020299969215E-4</v>
      </c>
      <c r="H94" s="373">
        <f t="shared" si="22"/>
        <v>7.2796047933844821E-4</v>
      </c>
      <c r="I94" s="373">
        <f t="shared" si="22"/>
        <v>7.9727883352461468E-4</v>
      </c>
      <c r="J94" s="373">
        <f t="shared" si="22"/>
        <v>8.6754383213841115E-4</v>
      </c>
      <c r="K94" s="373">
        <f t="shared" si="22"/>
        <v>9.3738782544807331E-4</v>
      </c>
      <c r="L94" s="373">
        <f t="shared" si="22"/>
        <v>1.0056830233585831E-3</v>
      </c>
      <c r="M94" s="373">
        <f t="shared" si="22"/>
        <v>1.060475749807666E-3</v>
      </c>
      <c r="N94" s="373">
        <f t="shared" si="22"/>
        <v>1.1143117297169258E-3</v>
      </c>
      <c r="O94" s="373">
        <f t="shared" si="22"/>
        <v>1.1607454374765308E-3</v>
      </c>
      <c r="P94" s="373">
        <f t="shared" si="22"/>
        <v>1.2067339618051652E-3</v>
      </c>
      <c r="Q94" s="373">
        <f t="shared" si="22"/>
        <v>1.2390715433593569E-3</v>
      </c>
      <c r="R94" s="373">
        <f t="shared" si="22"/>
        <v>1.2982863409541682E-3</v>
      </c>
      <c r="S94" s="373">
        <f t="shared" si="22"/>
        <v>1.3469158981824034E-3</v>
      </c>
      <c r="T94" s="373">
        <f t="shared" si="22"/>
        <v>1.3958647627619236E-3</v>
      </c>
      <c r="U94" s="373">
        <f t="shared" si="22"/>
        <v>1.4450924897727374E-3</v>
      </c>
      <c r="V94" s="373">
        <f t="shared" si="22"/>
        <v>1.4945675978856852E-3</v>
      </c>
      <c r="W94" s="373">
        <f t="shared" si="22"/>
        <v>1.5441006712497369E-3</v>
      </c>
      <c r="X94" s="373">
        <f t="shared" si="22"/>
        <v>1.593685190802799E-3</v>
      </c>
      <c r="Y94" s="373">
        <f t="shared" si="22"/>
        <v>1.6433216418547973E-3</v>
      </c>
      <c r="Z94" s="373">
        <f t="shared" si="22"/>
        <v>1.69300923987679E-3</v>
      </c>
      <c r="AA94" s="373">
        <f t="shared" si="22"/>
        <v>1.7427450204392124E-3</v>
      </c>
      <c r="AB94" s="373">
        <f t="shared" si="22"/>
        <v>1.7925292666816587E-3</v>
      </c>
      <c r="AC94" s="373">
        <f t="shared" si="22"/>
        <v>1.842361344550457E-3</v>
      </c>
      <c r="AD94" s="373">
        <f t="shared" si="22"/>
        <v>1.8922392389026349E-3</v>
      </c>
      <c r="AE94" s="373">
        <f t="shared" si="22"/>
        <v>1.9421627227636999E-3</v>
      </c>
      <c r="AF94" s="373">
        <f t="shared" si="22"/>
        <v>1.9921368787240903E-3</v>
      </c>
    </row>
    <row r="95" spans="1:33" s="408" customFormat="1" ht="12.9" customHeight="1">
      <c r="A95" s="385" t="s">
        <v>1330</v>
      </c>
      <c r="B95" s="373">
        <f>B94/B104</f>
        <v>3.4901997340272008E-4</v>
      </c>
      <c r="C95" s="373">
        <f t="shared" ref="C95:AF95" si="23">C94/C104</f>
        <v>7.3764629068039664E-4</v>
      </c>
      <c r="D95" s="373">
        <f t="shared" si="23"/>
        <v>1.1320193004221814E-3</v>
      </c>
      <c r="E95" s="373">
        <f t="shared" si="23"/>
        <v>1.5505521186828732E-3</v>
      </c>
      <c r="F95" s="373">
        <f t="shared" si="23"/>
        <v>1.9318255784069019E-3</v>
      </c>
      <c r="G95" s="373">
        <f t="shared" si="23"/>
        <v>2.327452488733164E-3</v>
      </c>
      <c r="H95" s="373">
        <f t="shared" si="23"/>
        <v>2.5097059112188626E-3</v>
      </c>
      <c r="I95" s="373">
        <f t="shared" si="23"/>
        <v>2.6938762089739319E-3</v>
      </c>
      <c r="J95" s="373">
        <f t="shared" si="23"/>
        <v>2.8781187268986917E-3</v>
      </c>
      <c r="K95" s="373">
        <f t="shared" si="23"/>
        <v>3.0587214165701863E-3</v>
      </c>
      <c r="L95" s="373">
        <f t="shared" si="23"/>
        <v>3.2330974838672938E-3</v>
      </c>
      <c r="M95" s="373">
        <f t="shared" si="23"/>
        <v>3.3647171321777923E-3</v>
      </c>
      <c r="N95" s="373">
        <f t="shared" si="23"/>
        <v>3.4952617286172953E-3</v>
      </c>
      <c r="O95" s="373">
        <f t="shared" si="23"/>
        <v>3.6055757100779615E-3</v>
      </c>
      <c r="P95" s="373">
        <f t="shared" si="23"/>
        <v>3.7177778991850474E-3</v>
      </c>
      <c r="Q95" s="373">
        <f t="shared" si="23"/>
        <v>3.7919436871804275E-3</v>
      </c>
      <c r="R95" s="373">
        <f t="shared" si="23"/>
        <v>3.9523427597109115E-3</v>
      </c>
      <c r="S95" s="373">
        <f t="shared" si="23"/>
        <v>4.0844211192073796E-3</v>
      </c>
      <c r="T95" s="373">
        <f t="shared" si="23"/>
        <v>4.2217577456155021E-3</v>
      </c>
      <c r="U95" s="373">
        <f t="shared" si="23"/>
        <v>4.3642245345705795E-3</v>
      </c>
      <c r="V95" s="373">
        <f t="shared" si="23"/>
        <v>4.5116955188568104E-3</v>
      </c>
      <c r="W95" s="373">
        <f t="shared" si="23"/>
        <v>4.6938510333152531E-3</v>
      </c>
      <c r="X95" s="373">
        <f t="shared" si="23"/>
        <v>4.8784931358714471E-3</v>
      </c>
      <c r="Y95" s="373">
        <f t="shared" si="23"/>
        <v>5.0656503115271145E-3</v>
      </c>
      <c r="Z95" s="373">
        <f t="shared" si="23"/>
        <v>5.2553474091270045E-3</v>
      </c>
      <c r="AA95" s="373">
        <f t="shared" si="23"/>
        <v>5.4476026618147343E-3</v>
      </c>
      <c r="AB95" s="373">
        <f t="shared" si="23"/>
        <v>5.6424445341461812E-3</v>
      </c>
      <c r="AC95" s="373">
        <f t="shared" si="23"/>
        <v>5.8398988763787808E-3</v>
      </c>
      <c r="AD95" s="373">
        <f t="shared" si="23"/>
        <v>6.0399873448594979E-3</v>
      </c>
      <c r="AE95" s="373">
        <f t="shared" si="23"/>
        <v>6.242737436240476E-3</v>
      </c>
      <c r="AF95" s="373">
        <f t="shared" si="23"/>
        <v>6.4481940861277273E-3</v>
      </c>
    </row>
    <row r="96" spans="1:33" s="408" customFormat="1" ht="12.9" customHeight="1">
      <c r="A96" s="385" t="s">
        <v>1333</v>
      </c>
      <c r="B96" s="310">
        <f>('Baseline Consumption'!Q55-B95)/'Baseline Consumption'!Q55</f>
        <v>0.99885301781567892</v>
      </c>
      <c r="C96" s="310">
        <f>('Baseline Consumption'!R55-C95)/'Baseline Consumption'!R55</f>
        <v>0.99753894367466411</v>
      </c>
      <c r="D96" s="310">
        <f>('Baseline Consumption'!S55-D95)/'Baseline Consumption'!S55</f>
        <v>0.99615779068811716</v>
      </c>
      <c r="E96" s="310">
        <f>('Baseline Consumption'!T55-E95)/'Baseline Consumption'!T55</f>
        <v>0.99464820185596459</v>
      </c>
      <c r="F96" s="310">
        <f>('Baseline Consumption'!U55-F95)/'Baseline Consumption'!U55</f>
        <v>0.99323481434299865</v>
      </c>
      <c r="G96" s="310">
        <f>('Baseline Consumption'!V55-G95)/'Baseline Consumption'!V55</f>
        <v>0.99167597048833023</v>
      </c>
      <c r="H96" s="310">
        <f>('Baseline Consumption'!W55-H95)/'Baseline Consumption'!W55</f>
        <v>0.99085323077209175</v>
      </c>
      <c r="I96" s="310">
        <f>('Baseline Consumption'!X55-I95)/'Baseline Consumption'!X55</f>
        <v>0.98999891989206401</v>
      </c>
      <c r="J96" s="310">
        <f>('Baseline Consumption'!Y55-J95)/'Baseline Consumption'!Y55</f>
        <v>0.98912288860869979</v>
      </c>
      <c r="K96" s="310">
        <f>('Baseline Consumption'!Z55-K95)/'Baseline Consumption'!Z55</f>
        <v>0.98822571064088505</v>
      </c>
      <c r="L96" s="310">
        <f>('Baseline Consumption'!AA55-L95)/'Baseline Consumption'!AA55</f>
        <v>0.98734218709535115</v>
      </c>
      <c r="M96" s="310">
        <f>('Baseline Consumption'!AB55-M95)/'Baseline Consumption'!AB55</f>
        <v>0.98660549110674234</v>
      </c>
      <c r="N96" s="310">
        <f>('Baseline Consumption'!AC55-N95)/'Baseline Consumption'!AC55</f>
        <v>0.98588694623817352</v>
      </c>
      <c r="O96" s="310">
        <f>('Baseline Consumption'!AD55-O95)/'Baseline Consumption'!AD55</f>
        <v>0.98523662192748174</v>
      </c>
      <c r="P96" s="310">
        <f>('Baseline Consumption'!AE55-P95)/'Baseline Consumption'!AE55</f>
        <v>0.98457271964371262</v>
      </c>
      <c r="Q96" s="310">
        <f>('Baseline Consumption'!AF55-Q95)/'Baseline Consumption'!AF55</f>
        <v>0.98408307965047426</v>
      </c>
      <c r="R96" s="310">
        <f>('Baseline Consumption'!AG55-R95)/'Baseline Consumption'!AG55</f>
        <v>0.98324904277644798</v>
      </c>
      <c r="S96" s="310">
        <f>('Baseline Consumption'!AH55-S95)/'Baseline Consumption'!AH55</f>
        <v>0.982561245525711</v>
      </c>
      <c r="T96" s="310">
        <f>('Baseline Consumption'!AI55-T95)/'Baseline Consumption'!AI55</f>
        <v>0.9818716911896278</v>
      </c>
      <c r="U96" s="310">
        <f>('Baseline Consumption'!AJ55-U95)/'Baseline Consumption'!AJ55</f>
        <v>0.9811910565651546</v>
      </c>
      <c r="V96" s="310">
        <f>('Baseline Consumption'!AK55-V95)/'Baseline Consumption'!AK55</f>
        <v>0.98050193512714345</v>
      </c>
      <c r="W96" s="310">
        <f>('Baseline Consumption'!AL55-W95)/'Baseline Consumption'!AL55</f>
        <v>0.97969545724645379</v>
      </c>
      <c r="X96" s="310">
        <f>('Baseline Consumption'!AM55-X95)/'Baseline Consumption'!AM55</f>
        <v>0.9788807843220787</v>
      </c>
      <c r="Y96" s="310">
        <f>('Baseline Consumption'!AN55-Y95)/'Baseline Consumption'!AN55</f>
        <v>0.97807625978673585</v>
      </c>
      <c r="Z96" s="310">
        <f>('Baseline Consumption'!AO55-Z95)/'Baseline Consumption'!AO55</f>
        <v>0.97727213109762578</v>
      </c>
      <c r="AA96" s="310">
        <f>('Baseline Consumption'!AP55-AA95)/'Baseline Consumption'!AP55</f>
        <v>0.97645540598980363</v>
      </c>
      <c r="AB96" s="310">
        <f>('Baseline Consumption'!AQ55-AB95)/'Baseline Consumption'!AQ55</f>
        <v>0.97566513091434148</v>
      </c>
      <c r="AC96" s="310">
        <f>('Baseline Consumption'!AR55-AC95)/'Baseline Consumption'!AR55</f>
        <v>0.97489244949477039</v>
      </c>
      <c r="AD96" s="310">
        <f>('Baseline Consumption'!AS55-AD95)/'Baseline Consumption'!AS55</f>
        <v>0.97408364578158135</v>
      </c>
      <c r="AE96" s="310">
        <f>('Baseline Consumption'!AT55-AE95)/'Baseline Consumption'!AT55</f>
        <v>0.97322334521307108</v>
      </c>
      <c r="AF96" s="310">
        <f>('Baseline Consumption'!AU55-AF95)/'Baseline Consumption'!AU55</f>
        <v>0.97234463060813991</v>
      </c>
    </row>
    <row r="97" spans="1:39" s="408" customFormat="1" ht="12.9" customHeight="1">
      <c r="A97" s="50"/>
      <c r="B97" s="76"/>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row>
    <row r="98" spans="1:39" s="127" customFormat="1" ht="12.9" customHeight="1">
      <c r="A98" s="50" t="s">
        <v>1329</v>
      </c>
      <c r="B98" s="419"/>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30"/>
    </row>
    <row r="99" spans="1:39" s="127" customFormat="1" ht="12.9" customHeight="1">
      <c r="A99" s="385" t="s">
        <v>1333</v>
      </c>
      <c r="B99" s="310">
        <f>IF(dashboard!$F89="o.k.",IF(B69&lt;=dashboard!$D89,MIN(1-dashboard!$E89*(1-(dashboard!$D89-B69)/dashboard!$C89),1),1-dashboard!$E89),B96)</f>
        <v>0.99885301781567892</v>
      </c>
      <c r="C99" s="310">
        <f>IF(dashboard!$F89="o.k.",IF(C69&lt;=dashboard!$D89,MIN(1-dashboard!$E89*(1-(dashboard!$D89-C69)/dashboard!$C89),1),1-dashboard!$E89),C96)</f>
        <v>0.99753894367466411</v>
      </c>
      <c r="D99" s="310">
        <f>IF(dashboard!$F89="o.k.",IF(D69&lt;=dashboard!$D89,MIN(1-dashboard!$E89*(1-(dashboard!$D89-D69)/dashboard!$C89),1),1-dashboard!$E89),D96)</f>
        <v>0.99615779068811716</v>
      </c>
      <c r="E99" s="310">
        <f>IF(dashboard!$F89="o.k.",IF(E69&lt;=dashboard!$D89,MIN(1-dashboard!$E89*(1-(dashboard!$D89-E69)/dashboard!$C89),1),1-dashboard!$E89),E96)</f>
        <v>0.99464820185596459</v>
      </c>
      <c r="F99" s="310">
        <f>IF(dashboard!$F89="o.k.",IF(F69&lt;=dashboard!$D89,MIN(1-dashboard!$E89*(1-(dashboard!$D89-F69)/dashboard!$C89),1),1-dashboard!$E89),F96)</f>
        <v>0.99323481434299865</v>
      </c>
      <c r="G99" s="310">
        <f>IF(dashboard!$F89="o.k.",IF(G69&lt;=dashboard!$D89,MIN(1-dashboard!$E89*(1-(dashboard!$D89-G69)/dashboard!$C89),1),1-dashboard!$E89),G96)</f>
        <v>0.99167597048833023</v>
      </c>
      <c r="H99" s="310">
        <f>IF(dashboard!$F89="o.k.",IF(H69&lt;=dashboard!$D89,MIN(1-dashboard!$E89*(1-(dashboard!$D89-H69)/dashboard!$C89),1),1-dashboard!$E89),H96)</f>
        <v>0.99085323077209175</v>
      </c>
      <c r="I99" s="310">
        <f>IF(dashboard!$F89="o.k.",IF(I69&lt;=dashboard!$D89,MIN(1-dashboard!$E89*(1-(dashboard!$D89-I69)/dashboard!$C89),1),1-dashboard!$E89),I96)</f>
        <v>0.98999891989206401</v>
      </c>
      <c r="J99" s="310">
        <f>IF(dashboard!$F89="o.k.",IF(J69&lt;=dashboard!$D89,MIN(1-dashboard!$E89*(1-(dashboard!$D89-J69)/dashboard!$C89),1),1-dashboard!$E89),J96)</f>
        <v>0.98912288860869979</v>
      </c>
      <c r="K99" s="310">
        <f>IF(dashboard!$F89="o.k.",IF(K69&lt;=dashboard!$D89,MIN(1-dashboard!$E89*(1-(dashboard!$D89-K69)/dashboard!$C89),1),1-dashboard!$E89),K96)</f>
        <v>0.98822571064088505</v>
      </c>
      <c r="L99" s="310">
        <f>IF(dashboard!$F89="o.k.",IF(L69&lt;=dashboard!$D89,MIN(1-dashboard!$E89*(1-(dashboard!$D89-L69)/dashboard!$C89),1),1-dashboard!$E89),L96)</f>
        <v>0.98734218709535115</v>
      </c>
      <c r="M99" s="310">
        <f>IF(dashboard!$F89="o.k.",IF(M69&lt;=dashboard!$D89,MIN(1-dashboard!$E89*(1-(dashboard!$D89-M69)/dashboard!$C89),1),1-dashboard!$E89),M96)</f>
        <v>0.98660549110674234</v>
      </c>
      <c r="N99" s="310">
        <f>IF(dashboard!$F89="o.k.",IF(N69&lt;=dashboard!$D89,MIN(1-dashboard!$E89*(1-(dashboard!$D89-N69)/dashboard!$C89),1),1-dashboard!$E89),N96)</f>
        <v>0.98588694623817352</v>
      </c>
      <c r="O99" s="310">
        <f>IF(dashboard!$F89="o.k.",IF(O69&lt;=dashboard!$D89,MIN(1-dashboard!$E89*(1-(dashboard!$D89-O69)/dashboard!$C89),1),1-dashboard!$E89),O96)</f>
        <v>0.98523662192748174</v>
      </c>
      <c r="P99" s="310">
        <f>IF(dashboard!$F89="o.k.",IF(P69&lt;=dashboard!$D89,MIN(1-dashboard!$E89*(1-(dashboard!$D89-P69)/dashboard!$C89),1),1-dashboard!$E89),P96)</f>
        <v>0.98457271964371262</v>
      </c>
      <c r="Q99" s="310">
        <f>IF(dashboard!$F89="o.k.",IF(Q69&lt;=dashboard!$D89,MIN(1-dashboard!$E89*(1-(dashboard!$D89-Q69)/dashboard!$C89),1),1-dashboard!$E89),Q96)</f>
        <v>0.98408307965047426</v>
      </c>
      <c r="R99" s="310">
        <f>IF(dashboard!$F89="o.k.",IF(R69&lt;=dashboard!$D89,MIN(1-dashboard!$E89*(1-(dashboard!$D89-R69)/dashboard!$C89),1),1-dashboard!$E89),R96)</f>
        <v>0.98324904277644798</v>
      </c>
      <c r="S99" s="310">
        <f>IF(dashboard!$F89="o.k.",IF(S69&lt;=dashboard!$D89,MIN(1-dashboard!$E89*(1-(dashboard!$D89-S69)/dashboard!$C89),1),1-dashboard!$E89),S96)</f>
        <v>0.982561245525711</v>
      </c>
      <c r="T99" s="310">
        <f>IF(dashboard!$F89="o.k.",IF(T69&lt;=dashboard!$D89,MIN(1-dashboard!$E89*(1-(dashboard!$D89-T69)/dashboard!$C89),1),1-dashboard!$E89),T96)</f>
        <v>0.9818716911896278</v>
      </c>
      <c r="U99" s="310">
        <f>IF(dashboard!$F89="o.k.",IF(U69&lt;=dashboard!$D89,MIN(1-dashboard!$E89*(1-(dashboard!$D89-U69)/dashboard!$C89),1),1-dashboard!$E89),U96)</f>
        <v>0.9811910565651546</v>
      </c>
      <c r="V99" s="310">
        <f>IF(dashboard!$F89="o.k.",IF(V69&lt;=dashboard!$D89,MIN(1-dashboard!$E89*(1-(dashboard!$D89-V69)/dashboard!$C89),1),1-dashboard!$E89),V96)</f>
        <v>0.98050193512714345</v>
      </c>
      <c r="W99" s="310">
        <f>IF(dashboard!$F89="o.k.",IF(W69&lt;=dashboard!$D89,MIN(1-dashboard!$E89*(1-(dashboard!$D89-W69)/dashboard!$C89),1),1-dashboard!$E89),W96)</f>
        <v>0.97969545724645379</v>
      </c>
      <c r="X99" s="310">
        <f>IF(dashboard!$F89="o.k.",IF(X69&lt;=dashboard!$D89,MIN(1-dashboard!$E89*(1-(dashboard!$D89-X69)/dashboard!$C89),1),1-dashboard!$E89),X96)</f>
        <v>0.9788807843220787</v>
      </c>
      <c r="Y99" s="310">
        <f>IF(dashboard!$F89="o.k.",IF(Y69&lt;=dashboard!$D89,MIN(1-dashboard!$E89*(1-(dashboard!$D89-Y69)/dashboard!$C89),1),1-dashboard!$E89),Y96)</f>
        <v>0.97807625978673585</v>
      </c>
      <c r="Z99" s="310">
        <f>IF(dashboard!$F89="o.k.",IF(Z69&lt;=dashboard!$D89,MIN(1-dashboard!$E89*(1-(dashboard!$D89-Z69)/dashboard!$C89),1),1-dashboard!$E89),Z96)</f>
        <v>0.97727213109762578</v>
      </c>
      <c r="AA99" s="310">
        <f>IF(dashboard!$F89="o.k.",IF(AA69&lt;=dashboard!$D89,MIN(1-dashboard!$E89*(1-(dashboard!$D89-AA69)/dashboard!$C89),1),1-dashboard!$E89),AA96)</f>
        <v>0.97645540598980363</v>
      </c>
      <c r="AB99" s="310">
        <f>IF(dashboard!$F89="o.k.",IF(AB69&lt;=dashboard!$D89,MIN(1-dashboard!$E89*(1-(dashboard!$D89-AB69)/dashboard!$C89),1),1-dashboard!$E89),AB96)</f>
        <v>0.97566513091434148</v>
      </c>
      <c r="AC99" s="310">
        <f>IF(dashboard!$F89="o.k.",IF(AC69&lt;=dashboard!$D89,MIN(1-dashboard!$E89*(1-(dashboard!$D89-AC69)/dashboard!$C89),1),1-dashboard!$E89),AC96)</f>
        <v>0.97489244949477039</v>
      </c>
      <c r="AD99" s="310">
        <f>IF(dashboard!$F89="o.k.",IF(AD69&lt;=dashboard!$D89,MIN(1-dashboard!$E89*(1-(dashboard!$D89-AD69)/dashboard!$C89),1),1-dashboard!$E89),AD96)</f>
        <v>0.97408364578158135</v>
      </c>
      <c r="AE99" s="310">
        <f>IF(dashboard!$F89="o.k.",IF(AE69&lt;=dashboard!$D89,MIN(1-dashboard!$E89*(1-(dashboard!$D89-AE69)/dashboard!$C89),1),1-dashboard!$E89),AE96)</f>
        <v>0.97322334521307108</v>
      </c>
      <c r="AF99" s="310">
        <f>IF(dashboard!$F89="o.k.",IF(AF69&lt;=dashboard!$D89,MIN(1-dashboard!$E89*(1-(dashboard!$D89-AF69)/dashboard!$C89),1),1-dashboard!$E89),AF96)</f>
        <v>0.97234463060813991</v>
      </c>
    </row>
    <row r="100" spans="1:39" s="127" customFormat="1" ht="12.9" customHeight="1">
      <c r="A100" s="385" t="s">
        <v>1334</v>
      </c>
      <c r="B100" s="310">
        <f t="shared" ref="B100:AF100" si="24">1-B99</f>
        <v>1.146982184321077E-3</v>
      </c>
      <c r="C100" s="310">
        <f t="shared" si="24"/>
        <v>2.4610563253358864E-3</v>
      </c>
      <c r="D100" s="310">
        <f t="shared" si="24"/>
        <v>3.8422093118828382E-3</v>
      </c>
      <c r="E100" s="310">
        <f t="shared" si="24"/>
        <v>5.3517981440354134E-3</v>
      </c>
      <c r="F100" s="310">
        <f t="shared" si="24"/>
        <v>6.7651856570013491E-3</v>
      </c>
      <c r="G100" s="310">
        <f t="shared" si="24"/>
        <v>8.3240295116697727E-3</v>
      </c>
      <c r="H100" s="310">
        <f t="shared" si="24"/>
        <v>9.1467692279082469E-3</v>
      </c>
      <c r="I100" s="310">
        <f t="shared" si="24"/>
        <v>1.0001080107935989E-2</v>
      </c>
      <c r="J100" s="310">
        <f t="shared" si="24"/>
        <v>1.0877111391300209E-2</v>
      </c>
      <c r="K100" s="310">
        <f t="shared" si="24"/>
        <v>1.1774289359114953E-2</v>
      </c>
      <c r="L100" s="310">
        <f t="shared" si="24"/>
        <v>1.2657812904648846E-2</v>
      </c>
      <c r="M100" s="310">
        <f t="shared" si="24"/>
        <v>1.3394508893257662E-2</v>
      </c>
      <c r="N100" s="310">
        <f t="shared" si="24"/>
        <v>1.4113053761826477E-2</v>
      </c>
      <c r="O100" s="310">
        <f t="shared" si="24"/>
        <v>1.4763378072518263E-2</v>
      </c>
      <c r="P100" s="310">
        <f t="shared" si="24"/>
        <v>1.5427280356287376E-2</v>
      </c>
      <c r="Q100" s="310">
        <f t="shared" si="24"/>
        <v>1.5916920349525743E-2</v>
      </c>
      <c r="R100" s="310">
        <f t="shared" si="24"/>
        <v>1.6750957223552021E-2</v>
      </c>
      <c r="S100" s="310">
        <f t="shared" si="24"/>
        <v>1.7438754474288998E-2</v>
      </c>
      <c r="T100" s="310">
        <f t="shared" si="24"/>
        <v>1.8128308810372196E-2</v>
      </c>
      <c r="U100" s="310">
        <f t="shared" si="24"/>
        <v>1.8808943434845404E-2</v>
      </c>
      <c r="V100" s="310">
        <f t="shared" si="24"/>
        <v>1.9498064872856546E-2</v>
      </c>
      <c r="W100" s="310">
        <f t="shared" si="24"/>
        <v>2.0304542753546206E-2</v>
      </c>
      <c r="X100" s="310">
        <f t="shared" si="24"/>
        <v>2.1119215677921299E-2</v>
      </c>
      <c r="Y100" s="310">
        <f t="shared" si="24"/>
        <v>2.1923740213264153E-2</v>
      </c>
      <c r="Z100" s="310">
        <f t="shared" si="24"/>
        <v>2.2727868902374215E-2</v>
      </c>
      <c r="AA100" s="310">
        <f t="shared" si="24"/>
        <v>2.3544594010196374E-2</v>
      </c>
      <c r="AB100" s="310">
        <f t="shared" si="24"/>
        <v>2.4334869085658517E-2</v>
      </c>
      <c r="AC100" s="310">
        <f t="shared" si="24"/>
        <v>2.5107550505229614E-2</v>
      </c>
      <c r="AD100" s="310">
        <f t="shared" si="24"/>
        <v>2.5916354218418647E-2</v>
      </c>
      <c r="AE100" s="310">
        <f t="shared" si="24"/>
        <v>2.6776654786928922E-2</v>
      </c>
      <c r="AF100" s="310">
        <f t="shared" si="24"/>
        <v>2.7655369391860085E-2</v>
      </c>
      <c r="AG100" s="445" t="s">
        <v>943</v>
      </c>
      <c r="AH100" s="445"/>
      <c r="AI100" s="445"/>
      <c r="AJ100" s="445"/>
    </row>
    <row r="101" spans="1:39" s="408" customFormat="1" ht="12.9" customHeight="1">
      <c r="A101" s="385" t="s">
        <v>1338</v>
      </c>
      <c r="B101" s="310">
        <f>B100*'Baseline Consumption'!Q55</f>
        <v>3.4901997340268203E-4</v>
      </c>
      <c r="C101" s="310">
        <f>C100*'Baseline Consumption'!R55</f>
        <v>7.3764629068040889E-4</v>
      </c>
      <c r="D101" s="310">
        <f>D100*'Baseline Consumption'!S55</f>
        <v>1.132019300422155E-3</v>
      </c>
      <c r="E101" s="310">
        <f>E100*'Baseline Consumption'!T55</f>
        <v>1.5505521186828706E-3</v>
      </c>
      <c r="F101" s="310">
        <f>F100*'Baseline Consumption'!U55</f>
        <v>1.9318255784068819E-3</v>
      </c>
      <c r="G101" s="310">
        <f>G100*'Baseline Consumption'!V55</f>
        <v>2.3274524887331592E-3</v>
      </c>
      <c r="H101" s="310">
        <f>H100*'Baseline Consumption'!W55</f>
        <v>2.5097059112188496E-3</v>
      </c>
      <c r="I101" s="310">
        <f>I100*'Baseline Consumption'!X55</f>
        <v>2.6938762089739267E-3</v>
      </c>
      <c r="J101" s="310">
        <f>J100*'Baseline Consumption'!Y55</f>
        <v>2.8781187268986977E-3</v>
      </c>
      <c r="K101" s="310">
        <f>K100*'Baseline Consumption'!Z55</f>
        <v>3.0587214165702097E-3</v>
      </c>
      <c r="L101" s="310">
        <f>L100*'Baseline Consumption'!AA55</f>
        <v>3.2330974838673094E-3</v>
      </c>
      <c r="M101" s="310">
        <f>M100*'Baseline Consumption'!AB55</f>
        <v>3.3647171321777962E-3</v>
      </c>
      <c r="N101" s="310">
        <f>N100*'Baseline Consumption'!AC55</f>
        <v>3.4952617286172966E-3</v>
      </c>
      <c r="O101" s="310">
        <f>O100*'Baseline Consumption'!AD55</f>
        <v>3.6055757100779797E-3</v>
      </c>
      <c r="P101" s="310">
        <f>P100*'Baseline Consumption'!AE55</f>
        <v>3.71777789918505E-3</v>
      </c>
      <c r="Q101" s="310">
        <f>Q100*'Baseline Consumption'!AF55</f>
        <v>3.7919436871804136E-3</v>
      </c>
      <c r="R101" s="310">
        <f>R100*'Baseline Consumption'!AG55</f>
        <v>3.9523427597109011E-3</v>
      </c>
      <c r="S101" s="310">
        <f>S100*'Baseline Consumption'!AH55</f>
        <v>4.0844211192073605E-3</v>
      </c>
      <c r="T101" s="310">
        <f>T100*'Baseline Consumption'!AI55</f>
        <v>4.2217577456155134E-3</v>
      </c>
      <c r="U101" s="310">
        <f>U100*'Baseline Consumption'!AJ55</f>
        <v>4.3642245345705726E-3</v>
      </c>
      <c r="V101" s="310">
        <f>V100*'Baseline Consumption'!AK55</f>
        <v>4.5116955188567913E-3</v>
      </c>
      <c r="W101" s="310">
        <f>W100*'Baseline Consumption'!AL55</f>
        <v>4.693851033315254E-3</v>
      </c>
      <c r="X101" s="310">
        <f>X100*'Baseline Consumption'!AM55</f>
        <v>4.8784931358714333E-3</v>
      </c>
      <c r="Y101" s="310">
        <f>Y100*'Baseline Consumption'!AN55</f>
        <v>5.0656503115271145E-3</v>
      </c>
      <c r="Z101" s="310">
        <f>Z100*'Baseline Consumption'!AO55</f>
        <v>5.2553474091270019E-3</v>
      </c>
      <c r="AA101" s="310">
        <f>AA100*'Baseline Consumption'!AP55</f>
        <v>5.4476026618147377E-3</v>
      </c>
      <c r="AB101" s="310">
        <f>AB100*'Baseline Consumption'!AQ55</f>
        <v>5.6424445341461777E-3</v>
      </c>
      <c r="AC101" s="310">
        <f>AC100*'Baseline Consumption'!AR55</f>
        <v>5.8398988763787895E-3</v>
      </c>
      <c r="AD101" s="310">
        <f>AD100*'Baseline Consumption'!AS55</f>
        <v>6.0399873448594927E-3</v>
      </c>
      <c r="AE101" s="310">
        <f>AE100*'Baseline Consumption'!AT55</f>
        <v>6.2427374362404794E-3</v>
      </c>
      <c r="AF101" s="310">
        <f>AF100*'Baseline Consumption'!AU55</f>
        <v>6.4481940861277256E-3</v>
      </c>
      <c r="AG101" s="445"/>
      <c r="AH101" s="445"/>
      <c r="AI101" s="445"/>
      <c r="AJ101" s="445"/>
    </row>
    <row r="102" spans="1:39" s="127" customFormat="1" ht="12.9" customHeight="1">
      <c r="A102" s="385" t="s">
        <v>1335</v>
      </c>
      <c r="B102" s="410">
        <v>25.091042999999999</v>
      </c>
      <c r="C102" s="410">
        <v>25.723037999999999</v>
      </c>
      <c r="D102" s="410">
        <v>26.393353999999999</v>
      </c>
      <c r="E102" s="410">
        <v>27.108803000000002</v>
      </c>
      <c r="F102" s="410">
        <v>27.873106</v>
      </c>
      <c r="G102" s="410">
        <v>28.715675000000001</v>
      </c>
      <c r="H102" s="410">
        <v>29.546312</v>
      </c>
      <c r="I102" s="410">
        <v>30.358505000000001</v>
      </c>
      <c r="J102" s="410">
        <v>31.135795999999999</v>
      </c>
      <c r="K102" s="410">
        <v>31.877635999999999</v>
      </c>
      <c r="L102" s="410">
        <v>32.582058000000004</v>
      </c>
      <c r="M102" s="410">
        <v>33.244349999999997</v>
      </c>
      <c r="N102" s="410">
        <v>33.862743000000002</v>
      </c>
      <c r="O102" s="410">
        <v>34.433959999999999</v>
      </c>
      <c r="P102" s="410">
        <v>34.960864999999998</v>
      </c>
      <c r="Q102" s="410">
        <v>35.441986</v>
      </c>
      <c r="R102" s="410">
        <v>35.878056000000001</v>
      </c>
      <c r="S102" s="410">
        <v>36.270409000000001</v>
      </c>
      <c r="T102" s="410">
        <v>36.620308000000001</v>
      </c>
      <c r="U102" s="410">
        <v>36.930908000000002</v>
      </c>
      <c r="V102" s="410">
        <v>37.205460000000002</v>
      </c>
      <c r="W102" s="410">
        <v>37.205460000000002</v>
      </c>
      <c r="X102" s="410">
        <v>37.205460000000002</v>
      </c>
      <c r="Y102" s="410">
        <v>37.205460000000002</v>
      </c>
      <c r="Z102" s="410">
        <v>37.205460000000002</v>
      </c>
      <c r="AA102" s="410">
        <v>37.205460000000002</v>
      </c>
      <c r="AB102" s="410">
        <v>37.205460000000002</v>
      </c>
      <c r="AC102" s="410">
        <v>37.205460000000002</v>
      </c>
      <c r="AD102" s="410">
        <v>37.205460000000002</v>
      </c>
      <c r="AE102" s="410">
        <v>37.205460000000002</v>
      </c>
      <c r="AF102" s="410">
        <v>37.205460000000002</v>
      </c>
      <c r="AG102" s="445" t="s">
        <v>1024</v>
      </c>
      <c r="AH102" s="446">
        <v>7.0000000000000001E-3</v>
      </c>
      <c r="AI102" s="445"/>
      <c r="AJ102" s="445" t="s">
        <v>1056</v>
      </c>
    </row>
    <row r="103" spans="1:39" s="127" customFormat="1" ht="12.9" customHeight="1">
      <c r="A103" s="385" t="s">
        <v>1336</v>
      </c>
      <c r="B103" s="440">
        <v>97.688060568094969</v>
      </c>
      <c r="C103" s="441">
        <f>B103*(1+$AH102)</f>
        <v>98.37187699207162</v>
      </c>
      <c r="D103" s="441">
        <f t="shared" ref="D103:AF103" si="25">C103*(1+$AH102)</f>
        <v>99.060480131016106</v>
      </c>
      <c r="E103" s="441">
        <f t="shared" si="25"/>
        <v>99.753903491933215</v>
      </c>
      <c r="F103" s="441">
        <f t="shared" si="25"/>
        <v>100.45218081637674</v>
      </c>
      <c r="G103" s="441">
        <f t="shared" si="25"/>
        <v>101.15534608209137</v>
      </c>
      <c r="H103" s="441">
        <f t="shared" si="25"/>
        <v>101.86343350466601</v>
      </c>
      <c r="I103" s="441">
        <f t="shared" si="25"/>
        <v>102.57647753919866</v>
      </c>
      <c r="J103" s="441">
        <f t="shared" si="25"/>
        <v>103.29451288197305</v>
      </c>
      <c r="K103" s="441">
        <f t="shared" si="25"/>
        <v>104.01757447214685</v>
      </c>
      <c r="L103" s="441">
        <f t="shared" si="25"/>
        <v>104.74569749345187</v>
      </c>
      <c r="M103" s="441">
        <f t="shared" si="25"/>
        <v>105.47891737590602</v>
      </c>
      <c r="N103" s="441">
        <f t="shared" si="25"/>
        <v>106.21726979753736</v>
      </c>
      <c r="O103" s="441">
        <f t="shared" si="25"/>
        <v>106.96079068612011</v>
      </c>
      <c r="P103" s="441">
        <f t="shared" si="25"/>
        <v>107.70951622092294</v>
      </c>
      <c r="Q103" s="441">
        <f t="shared" si="25"/>
        <v>108.46348283446939</v>
      </c>
      <c r="R103" s="441">
        <f t="shared" si="25"/>
        <v>109.22272721431067</v>
      </c>
      <c r="S103" s="441">
        <f t="shared" si="25"/>
        <v>109.98728630481082</v>
      </c>
      <c r="T103" s="441">
        <f t="shared" si="25"/>
        <v>110.75719730894448</v>
      </c>
      <c r="U103" s="441">
        <f t="shared" si="25"/>
        <v>111.53249769010708</v>
      </c>
      <c r="V103" s="441">
        <f t="shared" si="25"/>
        <v>112.31322517393781</v>
      </c>
      <c r="W103" s="441">
        <f t="shared" si="25"/>
        <v>113.09941775015537</v>
      </c>
      <c r="X103" s="441">
        <f t="shared" si="25"/>
        <v>113.89111367440644</v>
      </c>
      <c r="Y103" s="441">
        <f t="shared" si="25"/>
        <v>114.68835147012727</v>
      </c>
      <c r="Z103" s="441">
        <f t="shared" si="25"/>
        <v>115.49116993041815</v>
      </c>
      <c r="AA103" s="441">
        <f t="shared" si="25"/>
        <v>116.29960811993107</v>
      </c>
      <c r="AB103" s="441">
        <f t="shared" si="25"/>
        <v>117.11370537677057</v>
      </c>
      <c r="AC103" s="441">
        <f t="shared" si="25"/>
        <v>117.93350131440795</v>
      </c>
      <c r="AD103" s="441">
        <f t="shared" si="25"/>
        <v>118.7590358236088</v>
      </c>
      <c r="AE103" s="441">
        <f t="shared" si="25"/>
        <v>119.59034907437405</v>
      </c>
      <c r="AF103" s="441">
        <f t="shared" si="25"/>
        <v>120.42748151789465</v>
      </c>
      <c r="AG103" s="445"/>
      <c r="AH103" s="445"/>
      <c r="AI103" s="445"/>
      <c r="AJ103" s="445"/>
    </row>
    <row r="104" spans="1:39" s="127" customFormat="1" ht="12.9" customHeight="1">
      <c r="A104" s="385" t="s">
        <v>1337</v>
      </c>
      <c r="B104" s="310">
        <f t="shared" ref="B104:AF104" si="26">B102/B103</f>
        <v>0.25684861439653517</v>
      </c>
      <c r="C104" s="310">
        <f t="shared" si="26"/>
        <v>0.26148772176089691</v>
      </c>
      <c r="D104" s="310">
        <f t="shared" si="26"/>
        <v>0.26643676635821362</v>
      </c>
      <c r="E104" s="310">
        <f t="shared" si="26"/>
        <v>0.27175681402976082</v>
      </c>
      <c r="F104" s="310">
        <f t="shared" si="26"/>
        <v>0.27747636510700663</v>
      </c>
      <c r="G104" s="310">
        <f t="shared" si="26"/>
        <v>0.2838769883372862</v>
      </c>
      <c r="H104" s="310">
        <f t="shared" si="26"/>
        <v>0.29005808054414922</v>
      </c>
      <c r="I104" s="310">
        <f t="shared" si="26"/>
        <v>0.29595971443256835</v>
      </c>
      <c r="J104" s="310">
        <f t="shared" si="26"/>
        <v>0.30142739562145526</v>
      </c>
      <c r="K104" s="310">
        <f t="shared" si="26"/>
        <v>0.30646394286511636</v>
      </c>
      <c r="L104" s="310">
        <f t="shared" si="26"/>
        <v>0.3110586762003934</v>
      </c>
      <c r="M104" s="310">
        <f t="shared" si="26"/>
        <v>0.31517530542642663</v>
      </c>
      <c r="N104" s="310">
        <f t="shared" si="26"/>
        <v>0.31880637738614809</v>
      </c>
      <c r="O104" s="310">
        <f t="shared" si="26"/>
        <v>0.32193067926215663</v>
      </c>
      <c r="P104" s="310">
        <f t="shared" si="26"/>
        <v>0.3245847370467414</v>
      </c>
      <c r="Q104" s="310">
        <f t="shared" si="26"/>
        <v>0.32676422583709103</v>
      </c>
      <c r="R104" s="310">
        <f t="shared" si="26"/>
        <v>0.32848526048614501</v>
      </c>
      <c r="S104" s="310">
        <f t="shared" si="26"/>
        <v>0.32976910530806997</v>
      </c>
      <c r="T104" s="310">
        <f t="shared" si="26"/>
        <v>0.33063592154514221</v>
      </c>
      <c r="U104" s="310">
        <f t="shared" si="26"/>
        <v>0.33112239719236353</v>
      </c>
      <c r="V104" s="310">
        <f t="shared" si="26"/>
        <v>0.33126517328997063</v>
      </c>
      <c r="W104" s="310">
        <f t="shared" si="26"/>
        <v>0.32896243623631644</v>
      </c>
      <c r="X104" s="310">
        <f t="shared" si="26"/>
        <v>0.32667570629227061</v>
      </c>
      <c r="Y104" s="310">
        <f t="shared" si="26"/>
        <v>0.3244048721869619</v>
      </c>
      <c r="Z104" s="310">
        <f t="shared" si="26"/>
        <v>0.32214982342300091</v>
      </c>
      <c r="AA104" s="310">
        <f t="shared" si="26"/>
        <v>0.31991045027110326</v>
      </c>
      <c r="AB104" s="310">
        <f t="shared" si="26"/>
        <v>0.31768664376475003</v>
      </c>
      <c r="AC104" s="310">
        <f t="shared" si="26"/>
        <v>0.31547829569488589</v>
      </c>
      <c r="AD104" s="310">
        <f t="shared" si="26"/>
        <v>0.31328529860465332</v>
      </c>
      <c r="AE104" s="310">
        <f t="shared" si="26"/>
        <v>0.31110754578416422</v>
      </c>
      <c r="AF104" s="310">
        <f t="shared" si="26"/>
        <v>0.30894493126530709</v>
      </c>
      <c r="AG104" s="445"/>
      <c r="AH104" s="445"/>
      <c r="AI104" s="445"/>
      <c r="AJ104" s="445"/>
      <c r="AK104" s="194"/>
      <c r="AL104" s="194"/>
      <c r="AM104" s="194"/>
    </row>
    <row r="105" spans="1:39" ht="12.9" customHeight="1">
      <c r="A105" s="385" t="s">
        <v>1339</v>
      </c>
      <c r="B105" s="373">
        <f>B104*B101</f>
        <v>8.964529656519444E-5</v>
      </c>
      <c r="C105" s="373">
        <f>C104*C101</f>
        <v>1.9288544801539644E-4</v>
      </c>
      <c r="D105" s="373">
        <f t="shared" ref="D105:AF105" si="27">D104*D101</f>
        <v>3.0161156185956611E-4</v>
      </c>
      <c r="E105" s="373">
        <f t="shared" si="27"/>
        <v>4.2137310376035248E-4</v>
      </c>
      <c r="F105" s="373">
        <f t="shared" si="27"/>
        <v>5.3603593951708222E-4</v>
      </c>
      <c r="G105" s="373">
        <f t="shared" si="27"/>
        <v>6.6071020299969074E-4</v>
      </c>
      <c r="H105" s="373">
        <f t="shared" si="27"/>
        <v>7.2796047933844452E-4</v>
      </c>
      <c r="I105" s="373">
        <f t="shared" si="27"/>
        <v>7.9727883352461316E-4</v>
      </c>
      <c r="J105" s="373">
        <f t="shared" si="27"/>
        <v>8.6754383213841289E-4</v>
      </c>
      <c r="K105" s="373">
        <f t="shared" si="27"/>
        <v>9.3738782544808047E-4</v>
      </c>
      <c r="L105" s="373">
        <f t="shared" si="27"/>
        <v>1.0056830233585881E-3</v>
      </c>
      <c r="M105" s="373">
        <f t="shared" si="27"/>
        <v>1.0604757498076673E-3</v>
      </c>
      <c r="N105" s="373">
        <f t="shared" si="27"/>
        <v>1.1143117297169262E-3</v>
      </c>
      <c r="O105" s="373">
        <f t="shared" si="27"/>
        <v>1.1607454374765367E-3</v>
      </c>
      <c r="P105" s="373">
        <f t="shared" si="27"/>
        <v>1.2067339618051661E-3</v>
      </c>
      <c r="Q105" s="373">
        <f t="shared" si="27"/>
        <v>1.2390715433593523E-3</v>
      </c>
      <c r="R105" s="373">
        <f t="shared" si="27"/>
        <v>1.2982863409541647E-3</v>
      </c>
      <c r="S105" s="373">
        <f t="shared" si="27"/>
        <v>1.3469158981823971E-3</v>
      </c>
      <c r="T105" s="373">
        <f t="shared" si="27"/>
        <v>1.3958647627619273E-3</v>
      </c>
      <c r="U105" s="373">
        <f t="shared" si="27"/>
        <v>1.445092489772735E-3</v>
      </c>
      <c r="V105" s="373">
        <f t="shared" si="27"/>
        <v>1.4945675978856789E-3</v>
      </c>
      <c r="W105" s="373">
        <f t="shared" si="27"/>
        <v>1.5441006712497373E-3</v>
      </c>
      <c r="X105" s="373">
        <f t="shared" si="27"/>
        <v>1.5936851908027946E-3</v>
      </c>
      <c r="Y105" s="373">
        <f t="shared" si="27"/>
        <v>1.6433216418547973E-3</v>
      </c>
      <c r="Z105" s="373">
        <f t="shared" si="27"/>
        <v>1.6930092398767891E-3</v>
      </c>
      <c r="AA105" s="373">
        <f t="shared" si="27"/>
        <v>1.7427450204392134E-3</v>
      </c>
      <c r="AB105" s="373">
        <f t="shared" si="27"/>
        <v>1.7925292666816576E-3</v>
      </c>
      <c r="AC105" s="373">
        <f t="shared" si="27"/>
        <v>1.8423613445504596E-3</v>
      </c>
      <c r="AD105" s="373">
        <f t="shared" si="27"/>
        <v>1.8922392389026333E-3</v>
      </c>
      <c r="AE105" s="373">
        <f t="shared" si="27"/>
        <v>1.942162722763701E-3</v>
      </c>
      <c r="AF105" s="373">
        <f t="shared" si="27"/>
        <v>1.9921368787240898E-3</v>
      </c>
      <c r="AG105" s="445"/>
      <c r="AH105" s="445"/>
      <c r="AI105" s="445"/>
      <c r="AJ105" s="445"/>
    </row>
    <row r="106" spans="1:39" ht="12.9" customHeight="1">
      <c r="A106" s="385"/>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445"/>
      <c r="AH106" s="445"/>
      <c r="AI106" s="445"/>
      <c r="AJ106" s="445"/>
    </row>
    <row r="107" spans="1:39" ht="12.9" customHeight="1">
      <c r="A107" s="50" t="s">
        <v>1461</v>
      </c>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445" t="s">
        <v>1444</v>
      </c>
      <c r="AH107" s="445"/>
      <c r="AI107" s="445"/>
      <c r="AJ107" s="445"/>
    </row>
    <row r="108" spans="1:39" ht="12.9" customHeight="1">
      <c r="A108" s="385" t="s">
        <v>1433</v>
      </c>
      <c r="B108" s="498">
        <f>parameters!$B161/'Adjusted Consumption'!B102*parameters!$B74</f>
        <v>59.466639150871494</v>
      </c>
      <c r="C108" s="498">
        <f>parameters!$B161/'Adjusted Consumption'!C102*parameters!$B74</f>
        <v>58.005590163961195</v>
      </c>
      <c r="D108" s="498">
        <f>parameters!$B161/'Adjusted Consumption'!D102*parameters!$B74</f>
        <v>56.532413424985705</v>
      </c>
      <c r="E108" s="498">
        <f>parameters!$B161/'Adjusted Consumption'!E102*parameters!$B74</f>
        <v>55.040423584914464</v>
      </c>
      <c r="F108" s="498">
        <f>parameters!$B161/'Adjusted Consumption'!F102*parameters!$B74</f>
        <v>53.531170871305129</v>
      </c>
      <c r="G108" s="498">
        <f>parameters!$B161/'Adjusted Consumption'!G102*parameters!$B74</f>
        <v>51.960471066760583</v>
      </c>
      <c r="H108" s="498">
        <f>parameters!$B161/'Adjusted Consumption'!H102*parameters!$B74</f>
        <v>50.499703651677414</v>
      </c>
      <c r="I108" s="498">
        <f>parameters!$B161/'Adjusted Consumption'!I102*parameters!$B74</f>
        <v>49.148665258714161</v>
      </c>
      <c r="J108" s="498">
        <f>parameters!$B161/'Adjusted Consumption'!J102*parameters!$B74</f>
        <v>47.921691162159469</v>
      </c>
      <c r="K108" s="498">
        <f>parameters!$B161/'Adjusted Consumption'!K102*parameters!$B74</f>
        <v>46.806482136881165</v>
      </c>
      <c r="L108" s="498">
        <f>parameters!$B161/'Adjusted Consumption'!L102*parameters!$B74</f>
        <v>45.794529001206733</v>
      </c>
      <c r="M108" s="498">
        <f>parameters!$B161/'Adjusted Consumption'!M102*parameters!$B74</f>
        <v>44.882213067784456</v>
      </c>
      <c r="N108" s="498">
        <f>parameters!$B161/'Adjusted Consumption'!N102*parameters!$B74</f>
        <v>44.062585243020628</v>
      </c>
      <c r="O108" s="498">
        <f>parameters!$B161/'Adjusted Consumption'!O102*parameters!$B74</f>
        <v>43.331641205368193</v>
      </c>
      <c r="P108" s="498">
        <f>parameters!$B161/'Adjusted Consumption'!P102*parameters!$B74</f>
        <v>42.678577889877729</v>
      </c>
      <c r="Q108" s="498">
        <f>parameters!$B161/'Adjusted Consumption'!Q102*parameters!$B74</f>
        <v>42.099220963520501</v>
      </c>
      <c r="R108" s="498">
        <f>parameters!$B161/'Adjusted Consumption'!R102*parameters!$B74</f>
        <v>41.587537518755198</v>
      </c>
      <c r="S108" s="498">
        <f>parameters!$B161/'Adjusted Consumption'!S102*parameters!$B74</f>
        <v>41.137666796092653</v>
      </c>
      <c r="T108" s="498">
        <f>parameters!$B161/'Adjusted Consumption'!T102*parameters!$B74</f>
        <v>40.74460542494618</v>
      </c>
      <c r="U108" s="498">
        <f>parameters!$B161/'Adjusted Consumption'!U102*parameters!$B74</f>
        <v>40.401931087099186</v>
      </c>
      <c r="V108" s="498">
        <f>parameters!$B161/'Adjusted Consumption'!V102*parameters!$B74</f>
        <v>40.103791217740621</v>
      </c>
      <c r="W108" s="498">
        <f>parameters!$B161/'Adjusted Consumption'!W102*parameters!$B74</f>
        <v>40.103791217740621</v>
      </c>
      <c r="X108" s="498">
        <f>parameters!$B161/'Adjusted Consumption'!X102*parameters!$B74</f>
        <v>40.103791217740621</v>
      </c>
      <c r="Y108" s="498">
        <f>parameters!$B161/'Adjusted Consumption'!Y102*parameters!$B74</f>
        <v>40.103791217740621</v>
      </c>
      <c r="Z108" s="498">
        <f>parameters!$B161/'Adjusted Consumption'!Z102*parameters!$B74</f>
        <v>40.103791217740621</v>
      </c>
      <c r="AA108" s="498">
        <f>parameters!$B161/'Adjusted Consumption'!AA102*parameters!$B74</f>
        <v>40.103791217740621</v>
      </c>
      <c r="AB108" s="498">
        <f>parameters!$B161/'Adjusted Consumption'!AB102*parameters!$B74</f>
        <v>40.103791217740621</v>
      </c>
      <c r="AC108" s="498">
        <f>parameters!$B161/'Adjusted Consumption'!AC102*parameters!$B74</f>
        <v>40.103791217740621</v>
      </c>
      <c r="AD108" s="498">
        <f>parameters!$B161/'Adjusted Consumption'!AD102*parameters!$B74</f>
        <v>40.103791217740621</v>
      </c>
      <c r="AE108" s="498">
        <f>parameters!$B161/'Adjusted Consumption'!AE102*parameters!$B74</f>
        <v>40.103791217740621</v>
      </c>
      <c r="AF108" s="498">
        <f>parameters!$B161/'Adjusted Consumption'!AF102*parameters!$B74</f>
        <v>40.103791217740621</v>
      </c>
      <c r="AG108" s="445" t="s">
        <v>1442</v>
      </c>
      <c r="AH108" s="445"/>
      <c r="AI108" s="445"/>
      <c r="AJ108" s="445"/>
    </row>
    <row r="109" spans="1:39" ht="12.9" customHeight="1">
      <c r="A109" s="385" t="s">
        <v>1434</v>
      </c>
      <c r="B109" s="498">
        <f>B108*B104</f>
        <v>15.273923868720093</v>
      </c>
      <c r="C109" s="498">
        <f t="shared" ref="C109:AF109" si="28">C108*C104</f>
        <v>15.167749621370504</v>
      </c>
      <c r="D109" s="498">
        <f t="shared" si="28"/>
        <v>15.062313427378855</v>
      </c>
      <c r="E109" s="498">
        <f t="shared" si="28"/>
        <v>14.957610156284861</v>
      </c>
      <c r="F109" s="498">
        <f t="shared" si="28"/>
        <v>14.85363471329182</v>
      </c>
      <c r="G109" s="498">
        <f t="shared" si="28"/>
        <v>14.750382039018691</v>
      </c>
      <c r="H109" s="498">
        <f t="shared" si="28"/>
        <v>14.647847109253915</v>
      </c>
      <c r="I109" s="498">
        <f t="shared" si="28"/>
        <v>14.546024934710935</v>
      </c>
      <c r="J109" s="498">
        <f t="shared" si="28"/>
        <v>14.444910560785438</v>
      </c>
      <c r="K109" s="498">
        <f t="shared" si="28"/>
        <v>14.344499067314239</v>
      </c>
      <c r="L109" s="498">
        <f t="shared" si="28"/>
        <v>14.244785568335891</v>
      </c>
      <c r="M109" s="498">
        <f t="shared" si="28"/>
        <v>14.145765211852922</v>
      </c>
      <c r="N109" s="498">
        <f t="shared" si="28"/>
        <v>14.047433179595753</v>
      </c>
      <c r="O109" s="498">
        <f t="shared" si="28"/>
        <v>13.949784686788238</v>
      </c>
      <c r="P109" s="498">
        <f t="shared" si="28"/>
        <v>13.852814981914834</v>
      </c>
      <c r="Q109" s="498">
        <f t="shared" si="28"/>
        <v>13.75651934648941</v>
      </c>
      <c r="R109" s="498">
        <f t="shared" si="28"/>
        <v>13.66089309482563</v>
      </c>
      <c r="S109" s="498">
        <f t="shared" si="28"/>
        <v>13.565931573808971</v>
      </c>
      <c r="T109" s="498">
        <f t="shared" si="28"/>
        <v>13.47163016267028</v>
      </c>
      <c r="U109" s="498">
        <f t="shared" si="28"/>
        <v>13.377984272760957</v>
      </c>
      <c r="V109" s="498">
        <f t="shared" si="28"/>
        <v>13.284989347329649</v>
      </c>
      <c r="W109" s="498">
        <f t="shared" si="28"/>
        <v>13.192640861300546</v>
      </c>
      <c r="X109" s="498">
        <f t="shared" si="28"/>
        <v>13.100934321053177</v>
      </c>
      <c r="Y109" s="498">
        <f t="shared" si="28"/>
        <v>13.009865264203752</v>
      </c>
      <c r="Z109" s="498">
        <f t="shared" si="28"/>
        <v>12.919429259388036</v>
      </c>
      <c r="AA109" s="498">
        <f t="shared" si="28"/>
        <v>12.829621906045718</v>
      </c>
      <c r="AB109" s="498">
        <f t="shared" si="28"/>
        <v>12.740438834206275</v>
      </c>
      <c r="AC109" s="498">
        <f t="shared" si="28"/>
        <v>12.651875704276344</v>
      </c>
      <c r="AD109" s="498">
        <f t="shared" si="28"/>
        <v>12.563928206828544</v>
      </c>
      <c r="AE109" s="498">
        <f t="shared" si="28"/>
        <v>12.476592062391804</v>
      </c>
      <c r="AF109" s="498">
        <f t="shared" si="28"/>
        <v>12.389863021243102</v>
      </c>
      <c r="AG109" s="445"/>
      <c r="AH109" s="445"/>
      <c r="AI109" s="445"/>
      <c r="AJ109" s="445"/>
    </row>
    <row r="110" spans="1:39" ht="12.9" customHeight="1">
      <c r="A110" s="385" t="s">
        <v>1435</v>
      </c>
      <c r="B110" s="498">
        <f>('Adjusted price'!B36-'Baseline Price'!Q36)*B108-('Adjusted price'!B11-'Baseline Price'!Q11)*B109</f>
        <v>36.250641642859122</v>
      </c>
      <c r="C110" s="498">
        <f>('Adjusted price'!C36-'Baseline Price'!R36)*C108-('Adjusted price'!C11-'Baseline Price'!R11)*C109</f>
        <v>47.3405654669425</v>
      </c>
      <c r="D110" s="498">
        <f>('Adjusted price'!D36-'Baseline Price'!S36)*D108-('Adjusted price'!D11-'Baseline Price'!S11)*D109</f>
        <v>59.825000457704917</v>
      </c>
      <c r="E110" s="498">
        <f>('Adjusted price'!E36-'Baseline Price'!T36)*E108-('Adjusted price'!E11-'Baseline Price'!T11)*E109</f>
        <v>69.093153255889902</v>
      </c>
      <c r="F110" s="498">
        <f>('Adjusted price'!F36-'Baseline Price'!U36)*F108-('Adjusted price'!F11-'Baseline Price'!U11)*F109</f>
        <v>80.271422776194314</v>
      </c>
      <c r="G110" s="498">
        <f>('Adjusted price'!G36-'Baseline Price'!V36)*G108-('Adjusted price'!G11-'Baseline Price'!V11)*G109</f>
        <v>92.953443970020402</v>
      </c>
      <c r="H110" s="498">
        <f>('Adjusted price'!H36-'Baseline Price'!W36)*H108-('Adjusted price'!H11-'Baseline Price'!W11)*H109</f>
        <v>102.6940418076169</v>
      </c>
      <c r="I110" s="498">
        <f>('Adjusted price'!I36-'Baseline Price'!X36)*I108-('Adjusted price'!I11-'Baseline Price'!X11)*I109</f>
        <v>109.93635683355916</v>
      </c>
      <c r="J110" s="498">
        <f>('Adjusted price'!J36-'Baseline Price'!Y36)*J108-('Adjusted price'!J11-'Baseline Price'!Y11)*J109</f>
        <v>116.77688862629982</v>
      </c>
      <c r="K110" s="498">
        <f>('Adjusted price'!K36-'Baseline Price'!Z36)*K108-('Adjusted price'!K11-'Baseline Price'!Z11)*K109</f>
        <v>121.73520506701111</v>
      </c>
      <c r="L110" s="498">
        <f>('Adjusted price'!L36-'Baseline Price'!AA36)*L108-('Adjusted price'!L11-'Baseline Price'!AA11)*L109</f>
        <v>128.31538542564033</v>
      </c>
      <c r="M110" s="498">
        <f>('Adjusted price'!M36-'Baseline Price'!AB36)*M108-('Adjusted price'!M11-'Baseline Price'!AB11)*M109</f>
        <v>134.79021886010491</v>
      </c>
      <c r="N110" s="498">
        <f>('Adjusted price'!N36-'Baseline Price'!AC36)*N108-('Adjusted price'!N11-'Baseline Price'!AC11)*N109</f>
        <v>141.26113465796982</v>
      </c>
      <c r="O110" s="498">
        <f>('Adjusted price'!O36-'Baseline Price'!AD36)*O108-('Adjusted price'!O11-'Baseline Price'!AD11)*O109</f>
        <v>147.84536597193383</v>
      </c>
      <c r="P110" s="498">
        <f>('Adjusted price'!P36-'Baseline Price'!AE36)*P108-('Adjusted price'!P11-'Baseline Price'!AE11)*P109</f>
        <v>148.71171984358634</v>
      </c>
      <c r="Q110" s="498">
        <f>('Adjusted price'!Q36-'Baseline Price'!AF36)*Q108-('Adjusted price'!Q11-'Baseline Price'!AF11)*Q109</f>
        <v>146.91687769307859</v>
      </c>
      <c r="R110" s="498">
        <f>('Adjusted price'!R36-'Baseline Price'!AG36)*R108-('Adjusted price'!R11-'Baseline Price'!AG11)*R109</f>
        <v>145.35837533827288</v>
      </c>
      <c r="S110" s="498">
        <f>('Adjusted price'!S36-'Baseline Price'!AH36)*S108-('Adjusted price'!S11-'Baseline Price'!AH11)*S109</f>
        <v>144.01520069905627</v>
      </c>
      <c r="T110" s="498">
        <f>('Adjusted price'!T36-'Baseline Price'!AI36)*T108-('Adjusted price'!T11-'Baseline Price'!AI11)*T109</f>
        <v>142.87041415943381</v>
      </c>
      <c r="U110" s="498">
        <f>('Adjusted price'!U36-'Baseline Price'!AJ36)*U108-('Adjusted price'!U11-'Baseline Price'!AJ11)*U109</f>
        <v>141.90071789890456</v>
      </c>
      <c r="V110" s="498">
        <f>('Adjusted price'!V36-'Baseline Price'!AK36)*V108-('Adjusted price'!V11-'Baseline Price'!AK11)*V109</f>
        <v>141.08548993684283</v>
      </c>
      <c r="W110" s="498">
        <f>('Adjusted price'!W36-'Baseline Price'!AL36)*W108-('Adjusted price'!W11-'Baseline Price'!AL11)*W109</f>
        <v>141.32351510575299</v>
      </c>
      <c r="X110" s="498">
        <f>('Adjusted price'!X36-'Baseline Price'!AM36)*X108-('Adjusted price'!X11-'Baseline Price'!AM11)*X109</f>
        <v>141.55824364007233</v>
      </c>
      <c r="Y110" s="498">
        <f>('Adjusted price'!Y36-'Baseline Price'!AN36)*Y108-('Adjusted price'!Y11-'Baseline Price'!AN11)*Y109</f>
        <v>141.78985366143749</v>
      </c>
      <c r="Z110" s="498">
        <f>('Adjusted price'!Z36-'Baseline Price'!AO36)*Z108-('Adjusted price'!Z11-'Baseline Price'!AO11)*Z109</f>
        <v>142.01827080402262</v>
      </c>
      <c r="AA110" s="498">
        <f>('Adjusted price'!AA36-'Baseline Price'!AP36)*AA108-('Adjusted price'!AA11-'Baseline Price'!AP11)*AA109</f>
        <v>142.24349300493608</v>
      </c>
      <c r="AB110" s="498">
        <f>('Adjusted price'!AB36-'Baseline Price'!AQ36)*AB108-('Adjusted price'!AB11-'Baseline Price'!AQ11)*AB109</f>
        <v>142.24264257170714</v>
      </c>
      <c r="AC110" s="498">
        <f>('Adjusted price'!AC36-'Baseline Price'!AR36)*AC108-('Adjusted price'!AC11-'Baseline Price'!AR11)*AC109</f>
        <v>142.24179805012952</v>
      </c>
      <c r="AD110" s="498">
        <f>('Adjusted price'!AD36-'Baseline Price'!AS36)*AD108-('Adjusted price'!AD11-'Baseline Price'!AS11)*AD109</f>
        <v>142.24095939910904</v>
      </c>
      <c r="AE110" s="498">
        <f>('Adjusted price'!AE36-'Baseline Price'!AT36)*AE108-('Adjusted price'!AE11-'Baseline Price'!AT11)*AE109</f>
        <v>142.24012657783749</v>
      </c>
      <c r="AF110" s="498">
        <f>('Adjusted price'!AF36-'Baseline Price'!AU36)*AF108-('Adjusted price'!AF11-'Baseline Price'!AU11)*AF109</f>
        <v>142.23929954579023</v>
      </c>
      <c r="AG110" s="445"/>
      <c r="AH110" s="445"/>
      <c r="AI110" s="445"/>
      <c r="AJ110" s="445"/>
    </row>
    <row r="111" spans="1:39" ht="12.9" customHeight="1">
      <c r="A111" s="385" t="s">
        <v>1436</v>
      </c>
      <c r="B111" s="498">
        <f>NPV(0.05,B110:P110)</f>
        <v>986.84444222993898</v>
      </c>
      <c r="C111" s="498">
        <f t="shared" ref="C111:Q111" si="29">NPV(0.05,C110:Q110)</f>
        <v>1070.6055528670875</v>
      </c>
      <c r="D111" s="498">
        <f t="shared" si="29"/>
        <v>1146.7151289319334</v>
      </c>
      <c r="E111" s="498">
        <f t="shared" si="29"/>
        <v>1213.499658842074</v>
      </c>
      <c r="F111" s="498">
        <f t="shared" si="29"/>
        <v>1273.8046005503134</v>
      </c>
      <c r="G111" s="498">
        <f t="shared" si="29"/>
        <v>1325.4800793423913</v>
      </c>
      <c r="H111" s="498">
        <f t="shared" si="29"/>
        <v>1366.6651722916536</v>
      </c>
      <c r="I111" s="498">
        <f t="shared" si="29"/>
        <v>1400.2834162268041</v>
      </c>
      <c r="J111" s="498">
        <f t="shared" si="29"/>
        <v>1428.4531657711873</v>
      </c>
      <c r="K111" s="498">
        <f t="shared" si="29"/>
        <v>1451.302279380415</v>
      </c>
      <c r="L111" s="498">
        <f t="shared" si="29"/>
        <v>1470.4454047804725</v>
      </c>
      <c r="M111" s="498">
        <f t="shared" si="29"/>
        <v>1484.0738418214141</v>
      </c>
      <c r="N111" s="498">
        <f t="shared" si="29"/>
        <v>1491.9084582070134</v>
      </c>
      <c r="O111" s="498">
        <f t="shared" si="29"/>
        <v>1493.6634833847097</v>
      </c>
      <c r="P111" s="498">
        <f>NPV(0.05,P110:AD110)</f>
        <v>1488.9216251018456</v>
      </c>
      <c r="Q111" s="498">
        <f t="shared" si="29"/>
        <v>1483.0759194319155</v>
      </c>
      <c r="R111" s="498">
        <f>NPV(0.05,R110:AF110)</f>
        <v>1478.7323728124409</v>
      </c>
      <c r="S111" s="498">
        <f>$R111</f>
        <v>1478.7323728124409</v>
      </c>
      <c r="T111" s="498">
        <f t="shared" ref="T111:AF111" si="30">$R111</f>
        <v>1478.7323728124409</v>
      </c>
      <c r="U111" s="498">
        <f t="shared" si="30"/>
        <v>1478.7323728124409</v>
      </c>
      <c r="V111" s="498">
        <f t="shared" si="30"/>
        <v>1478.7323728124409</v>
      </c>
      <c r="W111" s="498">
        <f t="shared" si="30"/>
        <v>1478.7323728124409</v>
      </c>
      <c r="X111" s="498">
        <f t="shared" si="30"/>
        <v>1478.7323728124409</v>
      </c>
      <c r="Y111" s="498">
        <f t="shared" si="30"/>
        <v>1478.7323728124409</v>
      </c>
      <c r="Z111" s="498">
        <f t="shared" si="30"/>
        <v>1478.7323728124409</v>
      </c>
      <c r="AA111" s="498">
        <f t="shared" si="30"/>
        <v>1478.7323728124409</v>
      </c>
      <c r="AB111" s="498">
        <f t="shared" si="30"/>
        <v>1478.7323728124409</v>
      </c>
      <c r="AC111" s="498">
        <f t="shared" si="30"/>
        <v>1478.7323728124409</v>
      </c>
      <c r="AD111" s="498">
        <f t="shared" si="30"/>
        <v>1478.7323728124409</v>
      </c>
      <c r="AE111" s="498">
        <f t="shared" si="30"/>
        <v>1478.7323728124409</v>
      </c>
      <c r="AF111" s="498">
        <f t="shared" si="30"/>
        <v>1478.7323728124409</v>
      </c>
      <c r="AG111" s="445"/>
      <c r="AH111" s="445"/>
      <c r="AI111" s="445"/>
      <c r="AJ111" s="445"/>
    </row>
    <row r="112" spans="1:39" ht="12.9" customHeight="1">
      <c r="A112" s="385" t="s">
        <v>1443</v>
      </c>
      <c r="B112" s="499">
        <v>54.970469250000001</v>
      </c>
      <c r="C112" s="499">
        <v>53.789566000000001</v>
      </c>
      <c r="D112" s="499">
        <v>52.743516</v>
      </c>
      <c r="E112" s="499">
        <v>51.906023750000003</v>
      </c>
      <c r="F112" s="499">
        <v>51.251348500000006</v>
      </c>
      <c r="G112" s="499">
        <v>50.585002000000003</v>
      </c>
      <c r="H112" s="499">
        <v>50.178561250000001</v>
      </c>
      <c r="I112" s="499">
        <v>49.812130999999994</v>
      </c>
      <c r="J112" s="499">
        <v>49.481779000000003</v>
      </c>
      <c r="K112" s="499">
        <v>49.188473000000002</v>
      </c>
      <c r="L112" s="499">
        <v>48.93054875</v>
      </c>
      <c r="M112" s="499">
        <v>48.705398500000001</v>
      </c>
      <c r="N112" s="499">
        <v>48.513266250000001</v>
      </c>
      <c r="O112" s="499">
        <v>48.338527749999997</v>
      </c>
      <c r="P112" s="499">
        <v>48.129806500000001</v>
      </c>
      <c r="Q112" s="499">
        <v>47.931022749999997</v>
      </c>
      <c r="R112" s="499">
        <v>47.753896750000003</v>
      </c>
      <c r="S112" s="499">
        <v>47.597396750000001</v>
      </c>
      <c r="T112" s="499">
        <v>47.46011275</v>
      </c>
      <c r="U112" s="499">
        <v>47.343220500000001</v>
      </c>
      <c r="V112" s="499">
        <v>47.245139999999999</v>
      </c>
      <c r="W112" s="499">
        <v>47.233211750000002</v>
      </c>
      <c r="X112" s="499">
        <v>47.225753749999996</v>
      </c>
      <c r="Y112" s="499">
        <v>47.218837999999998</v>
      </c>
      <c r="Z112" s="499">
        <v>47.212406000000001</v>
      </c>
      <c r="AA112" s="499">
        <v>47.207913500000004</v>
      </c>
      <c r="AB112" s="499">
        <v>47.202341999999994</v>
      </c>
      <c r="AC112" s="499">
        <v>47.197148249999998</v>
      </c>
      <c r="AD112" s="499">
        <v>47.192343999999999</v>
      </c>
      <c r="AE112" s="499">
        <v>47.187903500000004</v>
      </c>
      <c r="AF112" s="499">
        <v>47.177679750000003</v>
      </c>
      <c r="AG112" s="500"/>
      <c r="AH112" s="500"/>
      <c r="AI112" s="500"/>
      <c r="AJ112" s="445"/>
    </row>
    <row r="113" spans="1:37" ht="12.9" customHeight="1">
      <c r="A113" s="385" t="s">
        <v>1437</v>
      </c>
      <c r="B113" s="308">
        <f>((B111/1000)/B112)*(1+parameters!$B162)</f>
        <v>1.9747491721710794E-2</v>
      </c>
      <c r="C113" s="308">
        <f>((C111/1000)/C112)*(1+parameters!$B162)</f>
        <v>2.1893950736724597E-2</v>
      </c>
      <c r="D113" s="308">
        <f>((D111/1000)/D112)*(1+parameters!$B162)</f>
        <v>2.3915482650514363E-2</v>
      </c>
      <c r="E113" s="308">
        <f>((E111/1000)/E112)*(1+parameters!$B162)</f>
        <v>2.5716661155850556E-2</v>
      </c>
      <c r="F113" s="308">
        <f>((F111/1000)/F112)*(1+parameters!$B162)</f>
        <v>2.7339476942842677E-2</v>
      </c>
      <c r="G113" s="308">
        <f>((G111/1000)/G112)*(1+parameters!$B162)</f>
        <v>2.8823327658989328E-2</v>
      </c>
      <c r="H113" s="308">
        <f>((H111/1000)/H112)*(1+parameters!$B162)</f>
        <v>2.995964117087592E-2</v>
      </c>
      <c r="I113" s="308">
        <f>((I111/1000)/I112)*(1+parameters!$B162)</f>
        <v>3.0922422448649803E-2</v>
      </c>
      <c r="J113" s="308">
        <f>((J111/1000)/J112)*(1+parameters!$B162)</f>
        <v>3.1755092765527002E-2</v>
      </c>
      <c r="K113" s="308">
        <f>((K111/1000)/K112)*(1+parameters!$B162)</f>
        <v>3.2455419124689168E-2</v>
      </c>
      <c r="L113" s="308">
        <f>((L111/1000)/L112)*(1+parameters!$B162)</f>
        <v>3.3056852755172096E-2</v>
      </c>
      <c r="M113" s="308">
        <f>((M111/1000)/M112)*(1+parameters!$B162)</f>
        <v>3.3517459589280554E-2</v>
      </c>
      <c r="N113" s="308">
        <f>((N111/1000)/N112)*(1+parameters!$B162)</f>
        <v>3.3827846089990177E-2</v>
      </c>
      <c r="O113" s="308">
        <f>((O111/1000)/O112)*(1+parameters!$B162)</f>
        <v>3.3990067720322342E-2</v>
      </c>
      <c r="P113" s="308">
        <f>((P111/1000)/P112)*(1+parameters!$B162)</f>
        <v>3.4029095621068622E-2</v>
      </c>
      <c r="Q113" s="308">
        <f>((Q111/1000)/Q112)*(1+parameters!$B162)</f>
        <v>3.4036067201906453E-2</v>
      </c>
      <c r="R113" s="308">
        <f>((R111/1000)/R112)*(1+parameters!$B162)</f>
        <v>3.4062259224817815E-2</v>
      </c>
      <c r="S113" s="308">
        <f>((S111/1000)/S112)*(1+parameters!$B162)</f>
        <v>3.4174255761029303E-2</v>
      </c>
      <c r="T113" s="308">
        <f>((T111/1000)/T112)*(1+parameters!$B162)</f>
        <v>3.4273108845357413E-2</v>
      </c>
      <c r="U113" s="308">
        <f>((U111/1000)/U112)*(1+parameters!$B162)</f>
        <v>3.4357730482101126E-2</v>
      </c>
      <c r="V113" s="308">
        <f>((V111/1000)/V112)*(1+parameters!$B162)</f>
        <v>3.4429056831955317E-2</v>
      </c>
      <c r="W113" s="308">
        <f>((W111/1000)/W112)*(1+parameters!$B162)</f>
        <v>3.443775152752946E-2</v>
      </c>
      <c r="X113" s="308">
        <f>((X111/1000)/X112)*(1+parameters!$B162)</f>
        <v>3.44431900167117E-2</v>
      </c>
      <c r="Y113" s="308">
        <f>((Y111/1000)/Y112)*(1+parameters!$B162)</f>
        <v>3.4448234623937278E-2</v>
      </c>
      <c r="Z113" s="308">
        <f>((Z111/1000)/Z112)*(1+parameters!$B162)</f>
        <v>3.4452927692218971E-2</v>
      </c>
      <c r="AA113" s="308">
        <f>((AA111/1000)/AA112)*(1+parameters!$B162)</f>
        <v>3.4456206375096096E-2</v>
      </c>
      <c r="AB113" s="308">
        <f>((AB111/1000)/AB112)*(1+parameters!$B162)</f>
        <v>3.4460273392656775E-2</v>
      </c>
      <c r="AC113" s="308">
        <f>((AC111/1000)/AC112)*(1+parameters!$B162)</f>
        <v>3.4464065529503367E-2</v>
      </c>
      <c r="AD113" s="308">
        <f>((AD111/1000)/AD112)*(1+parameters!$B162)</f>
        <v>3.4467574022042327E-2</v>
      </c>
      <c r="AE113" s="308">
        <f>((AE111/1000)/AE112)*(1+parameters!$B162)</f>
        <v>3.447081750715382E-2</v>
      </c>
      <c r="AF113" s="308">
        <f>((AF111/1000)/AF112)*(1+parameters!$B162)</f>
        <v>3.4478287586698984E-2</v>
      </c>
      <c r="AG113" s="445" t="s">
        <v>1441</v>
      </c>
      <c r="AH113" s="445"/>
      <c r="AI113" s="445"/>
      <c r="AJ113" s="445"/>
    </row>
    <row r="114" spans="1:37" ht="12.9" customHeight="1">
      <c r="A114" s="385" t="s">
        <v>1460</v>
      </c>
      <c r="B114" s="308">
        <f>IF(parameters!$B34="Yes",B113*elasticities!$B27*(1+B125),B113*elasticities!$B27)</f>
        <v>8.9000956937834622E-2</v>
      </c>
      <c r="C114" s="308">
        <f>IF(parameters!$B34="Yes",C113*elasticities!$B27*(1+C125),C113*elasticities!$B27)</f>
        <v>0.10288982801811897</v>
      </c>
      <c r="D114" s="308">
        <f>IF(parameters!$B34="Yes",D113*elasticities!$B27*(1+D125),D113*elasticities!$B27)</f>
        <v>0.11633412194320288</v>
      </c>
      <c r="E114" s="308">
        <f>IF(parameters!$B34="Yes",E113*elasticities!$B27*(1+E125),E113*elasticities!$B27)</f>
        <v>0.12908673180887059</v>
      </c>
      <c r="F114" s="308">
        <f>IF(parameters!$B34="Yes",F113*elasticities!$B27*(1+F125),F113*elasticities!$B27)</f>
        <v>0.1401148171893383</v>
      </c>
      <c r="G114" s="308">
        <f>IF(parameters!$B34="Yes",G113*elasticities!$B27*(1+G125),G113*elasticities!$B27)</f>
        <v>0.15122867927477837</v>
      </c>
      <c r="H114" s="308">
        <f>IF(parameters!$B34="Yes",H113*elasticities!$B27*(1+H125),H113*elasticities!$B27)</f>
        <v>0.15922126053917798</v>
      </c>
      <c r="I114" s="308">
        <f>IF(parameters!$B34="Yes",I113*elasticities!$B27*(1+I125),I113*elasticities!$B27)</f>
        <v>0.16620231667845659</v>
      </c>
      <c r="J114" s="308">
        <f>IF(parameters!$B34="Yes",J113*elasticities!$B27*(1+J125),J113*elasticities!$B27)</f>
        <v>0.17247505736089902</v>
      </c>
      <c r="K114" s="308">
        <f>IF(parameters!$B34="Yes",K113*elasticities!$B27*(1+K125),K113*elasticities!$B27)</f>
        <v>0.17791929739297166</v>
      </c>
      <c r="L114" s="308">
        <f>IF(parameters!$B34="Yes",L113*elasticities!$B27*(1+L125),L113*elasticities!$B27)</f>
        <v>0.18277142180469574</v>
      </c>
      <c r="M114" s="308">
        <f>IF(parameters!$B34="Yes",M113*elasticities!$B27*(1+M125),M113*elasticities!$B27)</f>
        <v>0.18674339030145753</v>
      </c>
      <c r="N114" s="308">
        <f>IF(parameters!$B34="Yes",N113*elasticities!$B27*(1+N125),N113*elasticities!$B27)</f>
        <v>0.18977664041891157</v>
      </c>
      <c r="O114" s="308">
        <f>IF(parameters!$B34="Yes",O113*elasticities!$B27*(1+O125),O113*elasticities!$B27)</f>
        <v>0.191876855874347</v>
      </c>
      <c r="P114" s="308">
        <f>IF(parameters!$B34="Yes",P113*elasticities!$B27*(1+P125),P113*elasticities!$B27)</f>
        <v>0.19319652680516325</v>
      </c>
      <c r="Q114" s="308">
        <f>IF(parameters!$B34="Yes",Q113*elasticities!$B27*(1+Q125),Q113*elasticities!$B27)</f>
        <v>0.1942343969992604</v>
      </c>
      <c r="R114" s="308">
        <f>IF(parameters!$B34="Yes",R113*elasticities!$B27*(1+R125),R113*elasticities!$B27)</f>
        <v>0.19528003891797088</v>
      </c>
      <c r="S114" s="308">
        <f>IF(parameters!$B34="Yes",S113*elasticities!$B27*(1+S125),S113*elasticities!$B27)</f>
        <v>0.19673878494752972</v>
      </c>
      <c r="T114" s="308">
        <f>IF(parameters!$B34="Yes",T113*elasticities!$B27*(1+T125),T113*elasticities!$B27)</f>
        <v>0.19803059478288901</v>
      </c>
      <c r="U114" s="308">
        <f>IF(parameters!$B34="Yes",U113*elasticities!$B27*(1+U125),U113*elasticities!$B27)</f>
        <v>0.19915877811474089</v>
      </c>
      <c r="V114" s="308">
        <f>IF(parameters!$B34="Yes",V113*elasticities!$B27*(1+V125),V113*elasticities!$B27)</f>
        <v>0.20015959860801449</v>
      </c>
      <c r="W114" s="308">
        <f>IF(parameters!$B34="Yes",W113*elasticities!$B27*(1+W125),W113*elasticities!$B27)</f>
        <v>0.20039410646129027</v>
      </c>
      <c r="X114" s="308">
        <f>IF(parameters!$B34="Yes",X113*elasticities!$B27*(1+X125),X113*elasticities!$B27)</f>
        <v>0.2006022403883306</v>
      </c>
      <c r="Y114" s="308">
        <f>IF(parameters!$B34="Yes",Y113*elasticities!$B27*(1+Y125),Y113*elasticities!$B27)</f>
        <v>0.20081233771562454</v>
      </c>
      <c r="Z114" s="308">
        <f>IF(parameters!$B34="Yes",Z113*elasticities!$B27*(1+Z125),Z113*elasticities!$B27)</f>
        <v>0.20101926110345758</v>
      </c>
      <c r="AA114" s="308">
        <f>IF(parameters!$B34="Yes",AA113*elasticities!$B27*(1+AA125),AA113*elasticities!$B27)</f>
        <v>0.20121419140922364</v>
      </c>
      <c r="AB114" s="308">
        <f>IF(parameters!$B34="Yes",AB113*elasticities!$B27*(1+AB125),AB113*elasticities!$B27)</f>
        <v>0.20141026720228114</v>
      </c>
      <c r="AC114" s="308">
        <f>IF(parameters!$B34="Yes",AC113*elasticities!$B27*(1+AC125),AC113*elasticities!$B27)</f>
        <v>0.20160377782806088</v>
      </c>
      <c r="AD114" s="308">
        <f>IF(parameters!$B34="Yes",AD113*elasticities!$B27*(1+AD125),AD113*elasticities!$B27)</f>
        <v>0.20178913586511579</v>
      </c>
      <c r="AE114" s="308">
        <f>IF(parameters!$B34="Yes",AE113*elasticities!$B27*(1+AE125),AE113*elasticities!$B27)</f>
        <v>0.20197357563993643</v>
      </c>
      <c r="AF114" s="308">
        <f>IF(parameters!$B34="Yes",AF113*elasticities!$B27*(1+AF125),AF113*elasticities!$B27)</f>
        <v>0.20217857786122312</v>
      </c>
      <c r="AG114" s="445"/>
      <c r="AH114" s="445"/>
      <c r="AI114" s="445"/>
      <c r="AJ114" s="445"/>
    </row>
    <row r="115" spans="1:37" ht="12.9" customHeight="1">
      <c r="A115" s="385"/>
      <c r="B115" s="373"/>
      <c r="C115" s="499"/>
      <c r="D115" s="499"/>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445"/>
      <c r="AH115" s="445"/>
      <c r="AI115" s="445"/>
      <c r="AJ115" s="445"/>
    </row>
    <row r="116" spans="1:37" s="408" customFormat="1" ht="12.9" customHeight="1">
      <c r="A116" s="50" t="s">
        <v>1340</v>
      </c>
      <c r="B116" s="419"/>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447"/>
      <c r="AH116" s="445"/>
      <c r="AI116" s="445"/>
      <c r="AJ116" s="445"/>
    </row>
    <row r="117" spans="1:37" s="408" customFormat="1" ht="12.9" customHeight="1">
      <c r="A117" s="385" t="s">
        <v>1341</v>
      </c>
      <c r="B117" s="310">
        <f>IF(dashboard!$F$90="o.k.",IF(B69&lt;=dashboard!$D$90,MIN(1-dashboard!$E$90*(1-(dashboard!$D$90-B69)/dashboard!$C$90),1),1-dashboard!$E$90),1)</f>
        <v>1</v>
      </c>
      <c r="C117" s="310">
        <f>IF(dashboard!$F$90="o.k.",IF(C69&lt;=dashboard!$D$90,MIN(1-dashboard!$E$90*(1-(dashboard!$D$90-C69)/dashboard!$C$90),1),1-dashboard!$E$90),1)</f>
        <v>1</v>
      </c>
      <c r="D117" s="310">
        <f>IF(dashboard!$F$90="o.k.",IF(D69&lt;=dashboard!$D$90,MIN(1-dashboard!$E$90*(1-(dashboard!$D$90-D69)/dashboard!$C$90),1),1-dashboard!$E$90),1)</f>
        <v>1</v>
      </c>
      <c r="E117" s="310">
        <f>IF(dashboard!$F$90="o.k.",IF(E69&lt;=dashboard!$D$90,MIN(1-dashboard!$E$90*(1-(dashboard!$D$90-E69)/dashboard!$C$90),1),1-dashboard!$E$90),1)</f>
        <v>1</v>
      </c>
      <c r="F117" s="310">
        <f>IF(dashboard!$F$90="o.k.",IF(F69&lt;=dashboard!$D$90,MIN(1-dashboard!$E$90*(1-(dashboard!$D$90-F69)/dashboard!$C$90),1),1-dashboard!$E$90),1)</f>
        <v>1</v>
      </c>
      <c r="G117" s="310">
        <f>IF(dashboard!$F$90="o.k.",IF(G69&lt;=dashboard!$D$90,MIN(1-dashboard!$E$90*(1-(dashboard!$D$90-G69)/dashboard!$C$90),1),1-dashboard!$E$90),1)</f>
        <v>1</v>
      </c>
      <c r="H117" s="310">
        <f>IF(dashboard!$F$90="o.k.",IF(H69&lt;=dashboard!$D$90,MIN(1-dashboard!$E$90*(1-(dashboard!$D$90-H69)/dashboard!$C$90),1),1-dashboard!$E$90),1)</f>
        <v>1</v>
      </c>
      <c r="I117" s="310">
        <f>IF(dashboard!$F$90="o.k.",IF(I69&lt;=dashboard!$D$90,MIN(1-dashboard!$E$90*(1-(dashboard!$D$90-I69)/dashboard!$C$90),1),1-dashboard!$E$90),1)</f>
        <v>1</v>
      </c>
      <c r="J117" s="310">
        <f>IF(dashboard!$F$90="o.k.",IF(J69&lt;=dashboard!$D$90,MIN(1-dashboard!$E$90*(1-(dashboard!$D$90-J69)/dashboard!$C$90),1),1-dashboard!$E$90),1)</f>
        <v>1</v>
      </c>
      <c r="K117" s="310">
        <f>IF(dashboard!$F$90="o.k.",IF(K69&lt;=dashboard!$D$90,MIN(1-dashboard!$E$90*(1-(dashboard!$D$90-K69)/dashboard!$C$90),1),1-dashboard!$E$90),1)</f>
        <v>1</v>
      </c>
      <c r="L117" s="310">
        <f>IF(dashboard!$F$90="o.k.",IF(L69&lt;=dashboard!$D$90,MIN(1-dashboard!$E$90*(1-(dashboard!$D$90-L69)/dashboard!$C$90),1),1-dashboard!$E$90),1)</f>
        <v>1</v>
      </c>
      <c r="M117" s="310">
        <f>IF(dashboard!$F$90="o.k.",IF(M69&lt;=dashboard!$D$90,MIN(1-dashboard!$E$90*(1-(dashboard!$D$90-M69)/dashboard!$C$90),1),1-dashboard!$E$90),1)</f>
        <v>1</v>
      </c>
      <c r="N117" s="310">
        <f>IF(dashboard!$F$90="o.k.",IF(N69&lt;=dashboard!$D$90,MIN(1-dashboard!$E$90*(1-(dashboard!$D$90-N69)/dashboard!$C$90),1),1-dashboard!$E$90),1)</f>
        <v>1</v>
      </c>
      <c r="O117" s="310">
        <f>IF(dashboard!$F$90="o.k.",IF(O69&lt;=dashboard!$D$90,MIN(1-dashboard!$E$90*(1-(dashboard!$D$90-O69)/dashboard!$C$90),1),1-dashboard!$E$90),1)</f>
        <v>1</v>
      </c>
      <c r="P117" s="310">
        <f>IF(dashboard!$F$90="o.k.",IF(P69&lt;=dashboard!$D$90,MIN(1-dashboard!$E$90*(1-(dashboard!$D$90-P69)/dashboard!$C$90),1),1-dashboard!$E$90),1)</f>
        <v>1</v>
      </c>
      <c r="Q117" s="310">
        <f>IF(dashboard!$F$90="o.k.",IF(Q69&lt;=dashboard!$D$90,MIN(1-dashboard!$E$90*(1-(dashboard!$D$90-Q69)/dashboard!$C$90),1),1-dashboard!$E$90),1)</f>
        <v>1</v>
      </c>
      <c r="R117" s="310">
        <f>IF(dashboard!$F$90="o.k.",IF(R69&lt;=dashboard!$D$90,MIN(1-dashboard!$E$90*(1-(dashboard!$D$90-R69)/dashboard!$C$90),1),1-dashboard!$E$90),1)</f>
        <v>1</v>
      </c>
      <c r="S117" s="310">
        <f>IF(dashboard!$F$90="o.k.",IF(S69&lt;=dashboard!$D$90,MIN(1-dashboard!$E$90*(1-(dashboard!$D$90-S69)/dashboard!$C$90),1),1-dashboard!$E$90),1)</f>
        <v>1</v>
      </c>
      <c r="T117" s="310">
        <f>IF(dashboard!$F$90="o.k.",IF(T69&lt;=dashboard!$D$90,MIN(1-dashboard!$E$90*(1-(dashboard!$D$90-T69)/dashboard!$C$90),1),1-dashboard!$E$90),1)</f>
        <v>1</v>
      </c>
      <c r="U117" s="310">
        <f>IF(dashboard!$F$90="o.k.",IF(U69&lt;=dashboard!$D$90,MIN(1-dashboard!$E$90*(1-(dashboard!$D$90-U69)/dashboard!$C$90),1),1-dashboard!$E$90),1)</f>
        <v>1</v>
      </c>
      <c r="V117" s="310">
        <f>IF(dashboard!$F$90="o.k.",IF(V69&lt;=dashboard!$D$90,MIN(1-dashboard!$E$90*(1-(dashboard!$D$90-V69)/dashboard!$C$90),1),1-dashboard!$E$90),1)</f>
        <v>1</v>
      </c>
      <c r="W117" s="310">
        <f>IF(dashboard!$F$90="o.k.",IF(W69&lt;=dashboard!$D$90,MIN(1-dashboard!$E$90*(1-(dashboard!$D$90-W69)/dashboard!$C$90),1),1-dashboard!$E$90),1)</f>
        <v>1</v>
      </c>
      <c r="X117" s="310">
        <f>IF(dashboard!$F$90="o.k.",IF(X69&lt;=dashboard!$D$90,MIN(1-dashboard!$E$90*(1-(dashboard!$D$90-X69)/dashboard!$C$90),1),1-dashboard!$E$90),1)</f>
        <v>1</v>
      </c>
      <c r="Y117" s="310">
        <f>IF(dashboard!$F$90="o.k.",IF(Y69&lt;=dashboard!$D$90,MIN(1-dashboard!$E$90*(1-(dashboard!$D$90-Y69)/dashboard!$C$90),1),1-dashboard!$E$90),1)</f>
        <v>1</v>
      </c>
      <c r="Z117" s="310">
        <f>IF(dashboard!$F$90="o.k.",IF(Z69&lt;=dashboard!$D$90,MIN(1-dashboard!$E$90*(1-(dashboard!$D$90-Z69)/dashboard!$C$90),1),1-dashboard!$E$90),1)</f>
        <v>1</v>
      </c>
      <c r="AA117" s="310">
        <f>IF(dashboard!$F$90="o.k.",IF(AA69&lt;=dashboard!$D$90,MIN(1-dashboard!$E$90*(1-(dashboard!$D$90-AA69)/dashboard!$C$90),1),1-dashboard!$E$90),1)</f>
        <v>1</v>
      </c>
      <c r="AB117" s="310">
        <f>IF(dashboard!$F$90="o.k.",IF(AB69&lt;=dashboard!$D$90,MIN(1-dashboard!$E$90*(1-(dashboard!$D$90-AB69)/dashboard!$C$90),1),1-dashboard!$E$90),1)</f>
        <v>1</v>
      </c>
      <c r="AC117" s="310">
        <f>IF(dashboard!$F$90="o.k.",IF(AC69&lt;=dashboard!$D$90,MIN(1-dashboard!$E$90*(1-(dashboard!$D$90-AC69)/dashboard!$C$90),1),1-dashboard!$E$90),1)</f>
        <v>1</v>
      </c>
      <c r="AD117" s="310">
        <f>IF(dashboard!$F$90="o.k.",IF(AD69&lt;=dashboard!$D$90,MIN(1-dashboard!$E$90*(1-(dashboard!$D$90-AD69)/dashboard!$C$90),1),1-dashboard!$E$90),1)</f>
        <v>1</v>
      </c>
      <c r="AE117" s="310">
        <f>IF(dashboard!$F$90="o.k.",IF(AE69&lt;=dashboard!$D$90,MIN(1-dashboard!$E$90*(1-(dashboard!$D$90-AE69)/dashboard!$C$90),1),1-dashboard!$E$90),1)</f>
        <v>1</v>
      </c>
      <c r="AF117" s="310">
        <f>IF(dashboard!$F$90="o.k.",IF(AF69&lt;=dashboard!$D$90,MIN(1-dashboard!$E$90*(1-(dashboard!$D$90-AF69)/dashboard!$C$90),1),1-dashboard!$E$90),1)</f>
        <v>1</v>
      </c>
      <c r="AG117" s="445"/>
      <c r="AH117" s="445"/>
      <c r="AI117" s="445"/>
      <c r="AJ117" s="445"/>
    </row>
    <row r="118" spans="1:37" s="408" customFormat="1" ht="12.9" customHeight="1">
      <c r="A118" s="385" t="s">
        <v>1342</v>
      </c>
      <c r="B118" s="310">
        <f t="shared" ref="B118:AF118" si="31">1-B117</f>
        <v>0</v>
      </c>
      <c r="C118" s="310">
        <f t="shared" si="31"/>
        <v>0</v>
      </c>
      <c r="D118" s="310">
        <f t="shared" si="31"/>
        <v>0</v>
      </c>
      <c r="E118" s="310">
        <f t="shared" si="31"/>
        <v>0</v>
      </c>
      <c r="F118" s="310">
        <f t="shared" si="31"/>
        <v>0</v>
      </c>
      <c r="G118" s="310">
        <f t="shared" si="31"/>
        <v>0</v>
      </c>
      <c r="H118" s="310">
        <f t="shared" si="31"/>
        <v>0</v>
      </c>
      <c r="I118" s="310">
        <f t="shared" si="31"/>
        <v>0</v>
      </c>
      <c r="J118" s="310">
        <f t="shared" si="31"/>
        <v>0</v>
      </c>
      <c r="K118" s="310">
        <f t="shared" si="31"/>
        <v>0</v>
      </c>
      <c r="L118" s="310">
        <f t="shared" si="31"/>
        <v>0</v>
      </c>
      <c r="M118" s="310">
        <f t="shared" si="31"/>
        <v>0</v>
      </c>
      <c r="N118" s="310">
        <f t="shared" si="31"/>
        <v>0</v>
      </c>
      <c r="O118" s="310">
        <f t="shared" si="31"/>
        <v>0</v>
      </c>
      <c r="P118" s="310">
        <f t="shared" si="31"/>
        <v>0</v>
      </c>
      <c r="Q118" s="310">
        <f t="shared" si="31"/>
        <v>0</v>
      </c>
      <c r="R118" s="310">
        <f t="shared" si="31"/>
        <v>0</v>
      </c>
      <c r="S118" s="310">
        <f t="shared" si="31"/>
        <v>0</v>
      </c>
      <c r="T118" s="310">
        <f t="shared" si="31"/>
        <v>0</v>
      </c>
      <c r="U118" s="310">
        <f t="shared" si="31"/>
        <v>0</v>
      </c>
      <c r="V118" s="310">
        <f t="shared" si="31"/>
        <v>0</v>
      </c>
      <c r="W118" s="310">
        <f t="shared" si="31"/>
        <v>0</v>
      </c>
      <c r="X118" s="310">
        <f t="shared" si="31"/>
        <v>0</v>
      </c>
      <c r="Y118" s="310">
        <f t="shared" si="31"/>
        <v>0</v>
      </c>
      <c r="Z118" s="310">
        <f t="shared" si="31"/>
        <v>0</v>
      </c>
      <c r="AA118" s="310">
        <f t="shared" si="31"/>
        <v>0</v>
      </c>
      <c r="AB118" s="310">
        <f t="shared" si="31"/>
        <v>0</v>
      </c>
      <c r="AC118" s="310">
        <f t="shared" si="31"/>
        <v>0</v>
      </c>
      <c r="AD118" s="310">
        <f t="shared" si="31"/>
        <v>0</v>
      </c>
      <c r="AE118" s="310">
        <f t="shared" si="31"/>
        <v>0</v>
      </c>
      <c r="AF118" s="310">
        <f t="shared" si="31"/>
        <v>0</v>
      </c>
      <c r="AG118" s="445" t="s">
        <v>943</v>
      </c>
      <c r="AH118" s="445"/>
      <c r="AI118" s="445"/>
      <c r="AJ118" s="445"/>
    </row>
    <row r="119" spans="1:37" s="408" customFormat="1" ht="12.9" customHeight="1">
      <c r="A119" s="385" t="s">
        <v>1343</v>
      </c>
      <c r="B119" s="310">
        <f>B118*'Baseline Consumption'!Q57</f>
        <v>0</v>
      </c>
      <c r="C119" s="310">
        <f>C118*'Baseline Consumption'!R57</f>
        <v>0</v>
      </c>
      <c r="D119" s="310">
        <f>D118*'Baseline Consumption'!S57</f>
        <v>0</v>
      </c>
      <c r="E119" s="310">
        <f>E118*'Baseline Consumption'!T57</f>
        <v>0</v>
      </c>
      <c r="F119" s="310">
        <f>F118*'Baseline Consumption'!U57</f>
        <v>0</v>
      </c>
      <c r="G119" s="310">
        <f>G118*'Baseline Consumption'!V57</f>
        <v>0</v>
      </c>
      <c r="H119" s="310">
        <f>H118*'Baseline Consumption'!W57</f>
        <v>0</v>
      </c>
      <c r="I119" s="310">
        <f>I118*'Baseline Consumption'!X57</f>
        <v>0</v>
      </c>
      <c r="J119" s="310">
        <f>J118*'Baseline Consumption'!Y57</f>
        <v>0</v>
      </c>
      <c r="K119" s="310">
        <f>K118*'Baseline Consumption'!Z57</f>
        <v>0</v>
      </c>
      <c r="L119" s="310">
        <f>L118*'Baseline Consumption'!AA57</f>
        <v>0</v>
      </c>
      <c r="M119" s="310">
        <f>M118*'Baseline Consumption'!AB57</f>
        <v>0</v>
      </c>
      <c r="N119" s="310">
        <f>N118*'Baseline Consumption'!AC57</f>
        <v>0</v>
      </c>
      <c r="O119" s="310">
        <f>O118*'Baseline Consumption'!AD57</f>
        <v>0</v>
      </c>
      <c r="P119" s="310">
        <f>P118*'Baseline Consumption'!AE57</f>
        <v>0</v>
      </c>
      <c r="Q119" s="310">
        <f>Q118*'Baseline Consumption'!AF57</f>
        <v>0</v>
      </c>
      <c r="R119" s="310">
        <f>R118*'Baseline Consumption'!AG57</f>
        <v>0</v>
      </c>
      <c r="S119" s="310">
        <f>S118*'Baseline Consumption'!AH57</f>
        <v>0</v>
      </c>
      <c r="T119" s="310">
        <f>T118*'Baseline Consumption'!AI57</f>
        <v>0</v>
      </c>
      <c r="U119" s="310">
        <f>U118*'Baseline Consumption'!AJ57</f>
        <v>0</v>
      </c>
      <c r="V119" s="310">
        <f>V118*'Baseline Consumption'!AK57</f>
        <v>0</v>
      </c>
      <c r="W119" s="310">
        <f>W118*'Baseline Consumption'!AL57</f>
        <v>0</v>
      </c>
      <c r="X119" s="310">
        <f>X118*'Baseline Consumption'!AM57</f>
        <v>0</v>
      </c>
      <c r="Y119" s="310">
        <f>Y118*'Baseline Consumption'!AN57</f>
        <v>0</v>
      </c>
      <c r="Z119" s="310">
        <f>Z118*'Baseline Consumption'!AO57</f>
        <v>0</v>
      </c>
      <c r="AA119" s="310">
        <f>AA118*'Baseline Consumption'!AP57</f>
        <v>0</v>
      </c>
      <c r="AB119" s="310">
        <f>AB118*'Baseline Consumption'!AQ57</f>
        <v>0</v>
      </c>
      <c r="AC119" s="310">
        <f>AC118*'Baseline Consumption'!AR57</f>
        <v>0</v>
      </c>
      <c r="AD119" s="310">
        <f>AD118*'Baseline Consumption'!AS57</f>
        <v>0</v>
      </c>
      <c r="AE119" s="310">
        <f>AE118*'Baseline Consumption'!AT57</f>
        <v>0</v>
      </c>
      <c r="AF119" s="310">
        <f>AF118*'Baseline Consumption'!AU57</f>
        <v>0</v>
      </c>
      <c r="AG119" s="445"/>
      <c r="AH119" s="445"/>
      <c r="AI119" s="445"/>
      <c r="AJ119" s="445"/>
    </row>
    <row r="120" spans="1:37" s="408" customFormat="1" ht="12.9" customHeight="1">
      <c r="A120" s="385" t="s">
        <v>1344</v>
      </c>
      <c r="B120" s="439">
        <v>7.4518674279867785</v>
      </c>
      <c r="C120" s="439">
        <v>7.5558111044314709</v>
      </c>
      <c r="D120" s="439">
        <v>7.6609079012321697</v>
      </c>
      <c r="E120" s="439">
        <v>7.771747599516436</v>
      </c>
      <c r="F120" s="439">
        <v>7.8908890057710845</v>
      </c>
      <c r="G120" s="439">
        <v>8.0208298377005001</v>
      </c>
      <c r="H120" s="439">
        <v>8.1638400002016347</v>
      </c>
      <c r="I120" s="439">
        <v>8.321080064924681</v>
      </c>
      <c r="J120" s="439">
        <v>8.4843419858343161</v>
      </c>
      <c r="K120" s="439">
        <v>8.6532209464316772</v>
      </c>
      <c r="L120" s="439">
        <v>8.8259625047832362</v>
      </c>
      <c r="M120" s="439">
        <v>8.9990885811071593</v>
      </c>
      <c r="N120" s="439">
        <v>9.1664027442171943</v>
      </c>
      <c r="O120" s="439">
        <v>9.3278481886534639</v>
      </c>
      <c r="P120" s="439">
        <v>9.4735421422954218</v>
      </c>
      <c r="Q120" s="439">
        <v>9.6014969717064478</v>
      </c>
      <c r="R120" s="439">
        <v>9.7187049800479404</v>
      </c>
      <c r="S120" s="439">
        <v>9.8237495561512631</v>
      </c>
      <c r="T120" s="439">
        <v>9.9217513247598959</v>
      </c>
      <c r="U120" s="439">
        <v>10.010139750105456</v>
      </c>
      <c r="V120" s="439">
        <v>10.104232087303927</v>
      </c>
      <c r="W120" s="439">
        <v>10.179325338126439</v>
      </c>
      <c r="X120" s="439">
        <v>10.247647089814054</v>
      </c>
      <c r="Y120" s="439">
        <v>10.304503065495057</v>
      </c>
      <c r="Z120" s="439">
        <v>10.353457986575737</v>
      </c>
      <c r="AA120" s="439">
        <v>10.402324227612343</v>
      </c>
      <c r="AB120" s="439">
        <v>10.448630442522079</v>
      </c>
      <c r="AC120" s="439">
        <v>10.489830859101955</v>
      </c>
      <c r="AD120" s="439">
        <v>10.529167811825403</v>
      </c>
      <c r="AE120" s="439">
        <v>10.573087257878624</v>
      </c>
      <c r="AF120" s="439">
        <v>10.612142250738128</v>
      </c>
      <c r="AG120" s="448" t="s">
        <v>1383</v>
      </c>
      <c r="AH120" s="445"/>
      <c r="AI120" s="445"/>
      <c r="AJ120" s="445"/>
    </row>
    <row r="121" spans="1:37" s="408" customFormat="1" ht="12.9" customHeight="1">
      <c r="A121" s="385" t="s">
        <v>1336</v>
      </c>
      <c r="B121" s="410">
        <f>B120/B122</f>
        <v>18.629668569966945</v>
      </c>
      <c r="C121" s="410">
        <f>C120/C122</f>
        <v>18.889527761078675</v>
      </c>
      <c r="D121" s="410">
        <f t="shared" ref="D121:AF121" si="32">D120/D122</f>
        <v>19.152269753080422</v>
      </c>
      <c r="E121" s="410">
        <f t="shared" si="32"/>
        <v>19.429368998791087</v>
      </c>
      <c r="F121" s="410">
        <f t="shared" si="32"/>
        <v>19.727222514427709</v>
      </c>
      <c r="G121" s="410">
        <f t="shared" si="32"/>
        <v>20.052074594251248</v>
      </c>
      <c r="H121" s="410">
        <f t="shared" si="32"/>
        <v>20.409600000504085</v>
      </c>
      <c r="I121" s="410">
        <f t="shared" si="32"/>
        <v>20.802700162311702</v>
      </c>
      <c r="J121" s="410">
        <f t="shared" si="32"/>
        <v>21.210854964585788</v>
      </c>
      <c r="K121" s="410">
        <f t="shared" si="32"/>
        <v>21.633052366079191</v>
      </c>
      <c r="L121" s="410">
        <f t="shared" si="32"/>
        <v>22.06490626195809</v>
      </c>
      <c r="M121" s="410">
        <f t="shared" si="32"/>
        <v>22.497721452767898</v>
      </c>
      <c r="N121" s="410">
        <f t="shared" si="32"/>
        <v>22.916006860542986</v>
      </c>
      <c r="O121" s="410">
        <f t="shared" si="32"/>
        <v>23.319620471633659</v>
      </c>
      <c r="P121" s="410">
        <f t="shared" si="32"/>
        <v>23.683855355738554</v>
      </c>
      <c r="Q121" s="410">
        <f t="shared" si="32"/>
        <v>24.003742429266119</v>
      </c>
      <c r="R121" s="410">
        <f t="shared" si="32"/>
        <v>24.29676245011985</v>
      </c>
      <c r="S121" s="410">
        <f t="shared" si="32"/>
        <v>24.559373890378158</v>
      </c>
      <c r="T121" s="410">
        <f t="shared" si="32"/>
        <v>24.80437831189974</v>
      </c>
      <c r="U121" s="410">
        <f t="shared" si="32"/>
        <v>25.025349375263637</v>
      </c>
      <c r="V121" s="410">
        <f t="shared" si="32"/>
        <v>25.260580218259818</v>
      </c>
      <c r="W121" s="410">
        <f t="shared" si="32"/>
        <v>25.448313345316098</v>
      </c>
      <c r="X121" s="410">
        <f t="shared" si="32"/>
        <v>25.619117724535133</v>
      </c>
      <c r="Y121" s="410">
        <f t="shared" si="32"/>
        <v>25.761257663737641</v>
      </c>
      <c r="Z121" s="410">
        <f t="shared" si="32"/>
        <v>25.883644966439341</v>
      </c>
      <c r="AA121" s="410">
        <f t="shared" si="32"/>
        <v>26.005810569030857</v>
      </c>
      <c r="AB121" s="410">
        <f t="shared" si="32"/>
        <v>26.121576106305195</v>
      </c>
      <c r="AC121" s="410">
        <f t="shared" si="32"/>
        <v>26.224577147754886</v>
      </c>
      <c r="AD121" s="410">
        <f t="shared" si="32"/>
        <v>26.322919529563507</v>
      </c>
      <c r="AE121" s="410">
        <f t="shared" si="32"/>
        <v>26.432718144696558</v>
      </c>
      <c r="AF121" s="410">
        <f t="shared" si="32"/>
        <v>26.530355626845317</v>
      </c>
      <c r="AG121" s="445"/>
      <c r="AH121" s="446" t="s">
        <v>1391</v>
      </c>
      <c r="AI121" s="449"/>
      <c r="AJ121" s="445" t="s">
        <v>1056</v>
      </c>
      <c r="AK121" s="436"/>
    </row>
    <row r="122" spans="1:37" s="408" customFormat="1" ht="12.9" customHeight="1">
      <c r="A122" s="385" t="s">
        <v>1337</v>
      </c>
      <c r="B122" s="310">
        <v>0.4</v>
      </c>
      <c r="C122" s="310">
        <v>0.4</v>
      </c>
      <c r="D122" s="310">
        <v>0.4</v>
      </c>
      <c r="E122" s="310">
        <v>0.4</v>
      </c>
      <c r="F122" s="310">
        <v>0.4</v>
      </c>
      <c r="G122" s="310">
        <v>0.4</v>
      </c>
      <c r="H122" s="310">
        <v>0.4</v>
      </c>
      <c r="I122" s="310">
        <v>0.4</v>
      </c>
      <c r="J122" s="310">
        <v>0.4</v>
      </c>
      <c r="K122" s="310">
        <v>0.4</v>
      </c>
      <c r="L122" s="310">
        <v>0.4</v>
      </c>
      <c r="M122" s="310">
        <v>0.4</v>
      </c>
      <c r="N122" s="310">
        <v>0.4</v>
      </c>
      <c r="O122" s="310">
        <v>0.4</v>
      </c>
      <c r="P122" s="310">
        <v>0.4</v>
      </c>
      <c r="Q122" s="310">
        <v>0.4</v>
      </c>
      <c r="R122" s="310">
        <v>0.4</v>
      </c>
      <c r="S122" s="310">
        <v>0.4</v>
      </c>
      <c r="T122" s="310">
        <v>0.4</v>
      </c>
      <c r="U122" s="310">
        <v>0.4</v>
      </c>
      <c r="V122" s="310">
        <v>0.4</v>
      </c>
      <c r="W122" s="310">
        <v>0.4</v>
      </c>
      <c r="X122" s="310">
        <v>0.4</v>
      </c>
      <c r="Y122" s="310">
        <v>0.4</v>
      </c>
      <c r="Z122" s="310">
        <v>0.4</v>
      </c>
      <c r="AA122" s="310">
        <v>0.4</v>
      </c>
      <c r="AB122" s="310">
        <v>0.4</v>
      </c>
      <c r="AC122" s="310">
        <v>0.4</v>
      </c>
      <c r="AD122" s="310">
        <v>0.4</v>
      </c>
      <c r="AE122" s="310">
        <v>0.4</v>
      </c>
      <c r="AF122" s="310">
        <v>0.4</v>
      </c>
    </row>
    <row r="123" spans="1:37" ht="12.9" customHeight="1">
      <c r="A123" s="385" t="s">
        <v>1339</v>
      </c>
      <c r="B123" s="373">
        <f>B122*B119</f>
        <v>0</v>
      </c>
      <c r="C123" s="373">
        <f t="shared" ref="C123" si="33">C122*C119</f>
        <v>0</v>
      </c>
      <c r="D123" s="373">
        <f t="shared" ref="D123" si="34">D122*D119</f>
        <v>0</v>
      </c>
      <c r="E123" s="373">
        <f t="shared" ref="E123" si="35">E122*E119</f>
        <v>0</v>
      </c>
      <c r="F123" s="373">
        <f t="shared" ref="F123" si="36">F122*F119</f>
        <v>0</v>
      </c>
      <c r="G123" s="373">
        <f t="shared" ref="G123" si="37">G122*G119</f>
        <v>0</v>
      </c>
      <c r="H123" s="373">
        <f t="shared" ref="H123" si="38">H122*H119</f>
        <v>0</v>
      </c>
      <c r="I123" s="373">
        <f t="shared" ref="I123" si="39">I122*I119</f>
        <v>0</v>
      </c>
      <c r="J123" s="373">
        <f t="shared" ref="J123" si="40">J122*J119</f>
        <v>0</v>
      </c>
      <c r="K123" s="373">
        <f t="shared" ref="K123" si="41">K122*K119</f>
        <v>0</v>
      </c>
      <c r="L123" s="373">
        <f t="shared" ref="L123" si="42">L122*L119</f>
        <v>0</v>
      </c>
      <c r="M123" s="373">
        <f t="shared" ref="M123" si="43">M122*M119</f>
        <v>0</v>
      </c>
      <c r="N123" s="373">
        <f t="shared" ref="N123" si="44">N122*N119</f>
        <v>0</v>
      </c>
      <c r="O123" s="373">
        <f t="shared" ref="O123" si="45">O122*O119</f>
        <v>0</v>
      </c>
      <c r="P123" s="373">
        <f t="shared" ref="P123" si="46">P122*P119</f>
        <v>0</v>
      </c>
      <c r="Q123" s="373">
        <f t="shared" ref="Q123" si="47">Q122*Q119</f>
        <v>0</v>
      </c>
      <c r="R123" s="373">
        <f t="shared" ref="R123" si="48">R122*R119</f>
        <v>0</v>
      </c>
      <c r="S123" s="373">
        <f t="shared" ref="S123" si="49">S122*S119</f>
        <v>0</v>
      </c>
      <c r="T123" s="373">
        <f t="shared" ref="T123" si="50">T122*T119</f>
        <v>0</v>
      </c>
      <c r="U123" s="373">
        <f t="shared" ref="U123" si="51">U122*U119</f>
        <v>0</v>
      </c>
      <c r="V123" s="373">
        <f t="shared" ref="V123" si="52">V122*V119</f>
        <v>0</v>
      </c>
      <c r="W123" s="373">
        <f t="shared" ref="W123" si="53">W122*W119</f>
        <v>0</v>
      </c>
      <c r="X123" s="373">
        <f t="shared" ref="X123" si="54">X122*X119</f>
        <v>0</v>
      </c>
      <c r="Y123" s="373">
        <f t="shared" ref="Y123" si="55">Y122*Y119</f>
        <v>0</v>
      </c>
      <c r="Z123" s="373">
        <f t="shared" ref="Z123" si="56">Z122*Z119</f>
        <v>0</v>
      </c>
      <c r="AA123" s="373">
        <f t="shared" ref="AA123" si="57">AA122*AA119</f>
        <v>0</v>
      </c>
      <c r="AB123" s="373">
        <f t="shared" ref="AB123" si="58">AB122*AB119</f>
        <v>0</v>
      </c>
      <c r="AC123" s="373">
        <f t="shared" ref="AC123" si="59">AC122*AC119</f>
        <v>0</v>
      </c>
      <c r="AD123" s="373">
        <f t="shared" ref="AD123" si="60">AD122*AD119</f>
        <v>0</v>
      </c>
      <c r="AE123" s="373">
        <f t="shared" ref="AE123" si="61">AE122*AE119</f>
        <v>0</v>
      </c>
      <c r="AF123" s="373">
        <f t="shared" ref="AF123" si="62">AF122*AF119</f>
        <v>0</v>
      </c>
    </row>
    <row r="124" spans="1:37" ht="12.9" customHeight="1">
      <c r="A124" s="385"/>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515"/>
      <c r="AD124" s="515"/>
      <c r="AE124" s="515"/>
      <c r="AF124" s="515"/>
    </row>
    <row r="125" spans="1:37" ht="21.65" customHeight="1">
      <c r="A125" s="514" t="s">
        <v>1462</v>
      </c>
      <c r="B125" s="308">
        <v>0.15562819373656239</v>
      </c>
      <c r="C125" s="308">
        <v>0.20499070731351718</v>
      </c>
      <c r="D125" s="308">
        <v>0.24727827878803568</v>
      </c>
      <c r="E125" s="308">
        <v>0.28707073603699274</v>
      </c>
      <c r="F125" s="308">
        <v>0.31410254400642046</v>
      </c>
      <c r="G125" s="308">
        <v>0.34531948872103357</v>
      </c>
      <c r="H125" s="308">
        <v>0.36269870550059236</v>
      </c>
      <c r="I125" s="308">
        <v>0.37815783049566576</v>
      </c>
      <c r="J125" s="308">
        <v>0.3926702720985692</v>
      </c>
      <c r="K125" s="308">
        <v>0.40563067417486154</v>
      </c>
      <c r="L125" s="308">
        <v>0.41769295088373865</v>
      </c>
      <c r="M125" s="308">
        <v>0.4285963547616562</v>
      </c>
      <c r="N125" s="308">
        <v>0.43847991093021671</v>
      </c>
      <c r="O125" s="308">
        <v>0.44745795209226352</v>
      </c>
      <c r="P125" s="308">
        <v>0.45574162555799513</v>
      </c>
      <c r="Q125" s="308">
        <v>0.46326222835411079</v>
      </c>
      <c r="R125" s="308">
        <v>0.47000833151664173</v>
      </c>
      <c r="S125" s="308">
        <v>0.47613579786467325</v>
      </c>
      <c r="T125" s="308">
        <v>0.48154273995002206</v>
      </c>
      <c r="U125" s="308">
        <v>0.48631334626009143</v>
      </c>
      <c r="V125" s="308">
        <v>0.49068777145296627</v>
      </c>
      <c r="W125" s="308">
        <v>0.49205746431407199</v>
      </c>
      <c r="X125" s="308">
        <v>0.49337131286291908</v>
      </c>
      <c r="Y125" s="308">
        <v>0.49471645110739149</v>
      </c>
      <c r="Z125" s="308">
        <v>0.49605283891675406</v>
      </c>
      <c r="AA125" s="308">
        <v>0.49736108064152945</v>
      </c>
      <c r="AB125" s="308">
        <v>0.49864331221469782</v>
      </c>
      <c r="AC125" s="516">
        <v>0.49991811969823541</v>
      </c>
      <c r="AD125" s="516">
        <v>0.50114435193175166</v>
      </c>
      <c r="AE125" s="516">
        <v>0.50237505412178574</v>
      </c>
      <c r="AF125" s="516">
        <v>0.50357412211087504</v>
      </c>
    </row>
    <row r="126" spans="1:37" ht="12.9" customHeight="1">
      <c r="A126" s="377"/>
      <c r="B126" s="310"/>
      <c r="C126" s="310"/>
      <c r="D126" s="310"/>
      <c r="E126" s="310"/>
      <c r="F126" s="310"/>
      <c r="G126" s="310"/>
      <c r="H126" s="310"/>
      <c r="I126" s="310"/>
      <c r="J126" s="310"/>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row>
    <row r="127" spans="1:37" ht="12.9" customHeight="1">
      <c r="A127" s="250" t="s">
        <v>416</v>
      </c>
      <c r="B127" s="415"/>
      <c r="C127" s="415"/>
      <c r="D127" s="415"/>
      <c r="E127" s="415"/>
      <c r="F127" s="415"/>
      <c r="G127" s="415"/>
      <c r="H127" s="415"/>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6"/>
    </row>
    <row r="128" spans="1:37" s="377" customFormat="1" ht="12.9" customHeight="1">
      <c r="A128" s="253" t="s">
        <v>6</v>
      </c>
      <c r="B128" s="417">
        <v>2020</v>
      </c>
      <c r="C128" s="417">
        <v>2021</v>
      </c>
      <c r="D128" s="417">
        <v>2022</v>
      </c>
      <c r="E128" s="417">
        <v>2023</v>
      </c>
      <c r="F128" s="417">
        <v>2024</v>
      </c>
      <c r="G128" s="417">
        <v>2025</v>
      </c>
      <c r="H128" s="417">
        <v>2026</v>
      </c>
      <c r="I128" s="417">
        <v>2027</v>
      </c>
      <c r="J128" s="417">
        <v>2028</v>
      </c>
      <c r="K128" s="417">
        <v>2029</v>
      </c>
      <c r="L128" s="417">
        <v>2030</v>
      </c>
      <c r="M128" s="417">
        <v>2031</v>
      </c>
      <c r="N128" s="417">
        <v>2032</v>
      </c>
      <c r="O128" s="417">
        <v>2033</v>
      </c>
      <c r="P128" s="417">
        <v>2034</v>
      </c>
      <c r="Q128" s="417">
        <v>2035</v>
      </c>
      <c r="R128" s="417">
        <v>2036</v>
      </c>
      <c r="S128" s="417">
        <v>2037</v>
      </c>
      <c r="T128" s="417">
        <v>2038</v>
      </c>
      <c r="U128" s="417">
        <v>2039</v>
      </c>
      <c r="V128" s="417">
        <v>2040</v>
      </c>
      <c r="W128" s="417">
        <v>2041</v>
      </c>
      <c r="X128" s="417">
        <v>2042</v>
      </c>
      <c r="Y128" s="417">
        <v>2043</v>
      </c>
      <c r="Z128" s="417">
        <v>2044</v>
      </c>
      <c r="AA128" s="417">
        <v>2045</v>
      </c>
      <c r="AB128" s="417">
        <v>2046</v>
      </c>
      <c r="AC128" s="417">
        <v>2047</v>
      </c>
      <c r="AD128" s="417">
        <v>2048</v>
      </c>
      <c r="AE128" s="417">
        <v>2049</v>
      </c>
      <c r="AF128" s="417">
        <v>2050</v>
      </c>
    </row>
    <row r="129" spans="1:32" s="40" customFormat="1" ht="12.9" customHeight="1">
      <c r="A129" s="280" t="s">
        <v>1271</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row>
    <row r="130" spans="1:32" s="40" customFormat="1" ht="12.9" customHeight="1">
      <c r="A130" s="383" t="s">
        <v>352</v>
      </c>
      <c r="B130" s="309">
        <f>'Baseline Consumption'!Q72</f>
        <v>0.1148032481183808</v>
      </c>
      <c r="C130" s="309">
        <f>'Baseline Consumption'!R72</f>
        <v>9.9406228176310119E-2</v>
      </c>
      <c r="D130" s="309">
        <f>'Baseline Consumption'!S72</f>
        <v>9.9406228176310119E-2</v>
      </c>
      <c r="E130" s="309">
        <f>'Baseline Consumption'!T72</f>
        <v>7.7950756462839027E-2</v>
      </c>
      <c r="F130" s="309">
        <f>'Baseline Consumption'!U72</f>
        <v>6.8348227041470977E-2</v>
      </c>
      <c r="G130" s="309">
        <f>'Baseline Consumption'!V72</f>
        <v>6.8348227041470977E-2</v>
      </c>
      <c r="H130" s="309">
        <f>'Baseline Consumption'!W72</f>
        <v>5.2630435850607171E-2</v>
      </c>
      <c r="I130" s="309">
        <f>'Baseline Consumption'!X72</f>
        <v>5.2630435850607171E-2</v>
      </c>
      <c r="J130" s="309">
        <f>'Baseline Consumption'!Y72</f>
        <v>5.2630435850607171E-2</v>
      </c>
      <c r="K130" s="309">
        <f>'Baseline Consumption'!Z72</f>
        <v>4.285407234915542E-2</v>
      </c>
      <c r="L130" s="309">
        <f>'Baseline Consumption'!AA72</f>
        <v>4.285407234915542E-2</v>
      </c>
      <c r="M130" s="309">
        <f>'Baseline Consumption'!AB72</f>
        <v>4.285407234915542E-2</v>
      </c>
      <c r="N130" s="309">
        <f>'Baseline Consumption'!AC72</f>
        <v>4.285407234915542E-2</v>
      </c>
      <c r="O130" s="309">
        <f>'Baseline Consumption'!AD72</f>
        <v>4.285407234915542E-2</v>
      </c>
      <c r="P130" s="309">
        <f>'Baseline Consumption'!AE72</f>
        <v>4.285407234915542E-2</v>
      </c>
      <c r="Q130" s="309">
        <f>'Baseline Consumption'!AF72</f>
        <v>4.285407234915542E-2</v>
      </c>
      <c r="R130" s="309">
        <f>'Baseline Consumption'!AG72</f>
        <v>4.285407234915542E-2</v>
      </c>
      <c r="S130" s="309">
        <f>'Baseline Consumption'!AH72</f>
        <v>4.285407234915542E-2</v>
      </c>
      <c r="T130" s="309">
        <f>'Baseline Consumption'!AI72</f>
        <v>4.285407234915542E-2</v>
      </c>
      <c r="U130" s="309">
        <f>'Baseline Consumption'!AJ72</f>
        <v>4.285407234915542E-2</v>
      </c>
      <c r="V130" s="309">
        <f>'Baseline Consumption'!AK72</f>
        <v>4.285407234915542E-2</v>
      </c>
      <c r="W130" s="309">
        <f>'Baseline Consumption'!AL72</f>
        <v>4.285407234915542E-2</v>
      </c>
      <c r="X130" s="309">
        <f>'Baseline Consumption'!AM72</f>
        <v>4.285407234915542E-2</v>
      </c>
      <c r="Y130" s="309">
        <f>'Baseline Consumption'!AN72</f>
        <v>4.285407234915542E-2</v>
      </c>
      <c r="Z130" s="309">
        <f>'Baseline Consumption'!AO72</f>
        <v>4.285407234915542E-2</v>
      </c>
      <c r="AA130" s="309">
        <f>'Baseline Consumption'!AP72</f>
        <v>4.285407234915542E-2</v>
      </c>
      <c r="AB130" s="309">
        <f>'Baseline Consumption'!AQ72</f>
        <v>4.285407234915542E-2</v>
      </c>
      <c r="AC130" s="309">
        <f>'Baseline Consumption'!AR72</f>
        <v>4.285407234915542E-2</v>
      </c>
      <c r="AD130" s="309">
        <f>'Baseline Consumption'!AS72</f>
        <v>4.285407234915542E-2</v>
      </c>
      <c r="AE130" s="309">
        <f>'Baseline Consumption'!AT72</f>
        <v>4.285407234915542E-2</v>
      </c>
      <c r="AF130" s="309">
        <f>'Baseline Consumption'!AU72</f>
        <v>4.285407234915542E-2</v>
      </c>
    </row>
    <row r="131" spans="1:32" s="40" customFormat="1" ht="12.9" customHeight="1">
      <c r="A131" s="383" t="s">
        <v>393</v>
      </c>
      <c r="B131" s="309">
        <f>'Baseline Consumption'!Q73</f>
        <v>6.6142968293970497E-2</v>
      </c>
      <c r="C131" s="309">
        <f>'Baseline Consumption'!R73</f>
        <v>7.6648226691945806E-2</v>
      </c>
      <c r="D131" s="309">
        <f>'Baseline Consumption'!S73</f>
        <v>7.6648226691945806E-2</v>
      </c>
      <c r="E131" s="309">
        <f>'Baseline Consumption'!T73</f>
        <v>9.1287116246449529E-2</v>
      </c>
      <c r="F131" s="309">
        <f>'Baseline Consumption'!U73</f>
        <v>9.7786003511830893E-2</v>
      </c>
      <c r="G131" s="309">
        <f>'Baseline Consumption'!V73</f>
        <v>9.7786003511830893E-2</v>
      </c>
      <c r="H131" s="309">
        <f>'Baseline Consumption'!W73</f>
        <v>0.10785020144271565</v>
      </c>
      <c r="I131" s="309">
        <f>'Baseline Consumption'!X73</f>
        <v>0.10785020144271565</v>
      </c>
      <c r="J131" s="309">
        <f>'Baseline Consumption'!Y73</f>
        <v>0.10785020144271565</v>
      </c>
      <c r="K131" s="309">
        <f>'Baseline Consumption'!Z73</f>
        <v>0.11411006684798192</v>
      </c>
      <c r="L131" s="309">
        <f>'Baseline Consumption'!AA73</f>
        <v>0.11411006684798192</v>
      </c>
      <c r="M131" s="309">
        <f>'Baseline Consumption'!AB73</f>
        <v>0.11411006684798192</v>
      </c>
      <c r="N131" s="309">
        <f>'Baseline Consumption'!AC73</f>
        <v>0.11411006684798192</v>
      </c>
      <c r="O131" s="309">
        <f>'Baseline Consumption'!AD73</f>
        <v>0.11411006684798192</v>
      </c>
      <c r="P131" s="309">
        <f>'Baseline Consumption'!AE73</f>
        <v>0.11411006684798192</v>
      </c>
      <c r="Q131" s="309">
        <f>'Baseline Consumption'!AF73</f>
        <v>0.11411006684798192</v>
      </c>
      <c r="R131" s="309">
        <f>'Baseline Consumption'!AG73</f>
        <v>0.11411006684798192</v>
      </c>
      <c r="S131" s="309">
        <f>'Baseline Consumption'!AH73</f>
        <v>0.11411006684798192</v>
      </c>
      <c r="T131" s="309">
        <f>'Baseline Consumption'!AI73</f>
        <v>0.11411006684798192</v>
      </c>
      <c r="U131" s="309">
        <f>'Baseline Consumption'!AJ73</f>
        <v>0.11411006684798192</v>
      </c>
      <c r="V131" s="309">
        <f>'Baseline Consumption'!AK73</f>
        <v>0.11411006684798192</v>
      </c>
      <c r="W131" s="309">
        <f>'Baseline Consumption'!AL73</f>
        <v>0.11411006684798192</v>
      </c>
      <c r="X131" s="309">
        <f>'Baseline Consumption'!AM73</f>
        <v>0.11411006684798192</v>
      </c>
      <c r="Y131" s="309">
        <f>'Baseline Consumption'!AN73</f>
        <v>0.11411006684798192</v>
      </c>
      <c r="Z131" s="309">
        <f>'Baseline Consumption'!AO73</f>
        <v>0.11411006684798192</v>
      </c>
      <c r="AA131" s="309">
        <f>'Baseline Consumption'!AP73</f>
        <v>0.11411006684798192</v>
      </c>
      <c r="AB131" s="309">
        <f>'Baseline Consumption'!AQ73</f>
        <v>0.11411006684798192</v>
      </c>
      <c r="AC131" s="309">
        <f>'Baseline Consumption'!AR73</f>
        <v>0.11411006684798192</v>
      </c>
      <c r="AD131" s="309">
        <f>'Baseline Consumption'!AS73</f>
        <v>0.11411006684798192</v>
      </c>
      <c r="AE131" s="309">
        <f>'Baseline Consumption'!AT73</f>
        <v>0.11411006684798192</v>
      </c>
      <c r="AF131" s="309">
        <f>'Baseline Consumption'!AU73</f>
        <v>0.11411006684798192</v>
      </c>
    </row>
    <row r="132" spans="1:32" s="40" customFormat="1" ht="12.9" customHeight="1">
      <c r="A132" s="383" t="s">
        <v>394</v>
      </c>
      <c r="B132" s="309">
        <f>'Baseline Consumption'!Q74</f>
        <v>9.3810078819085256E-3</v>
      </c>
      <c r="C132" s="309">
        <f>'Baseline Consumption'!R74</f>
        <v>9.3810078819085256E-3</v>
      </c>
      <c r="D132" s="309">
        <f>'Baseline Consumption'!S74</f>
        <v>9.3810078819085256E-3</v>
      </c>
      <c r="E132" s="309">
        <f>'Baseline Consumption'!T74</f>
        <v>9.3810078819085256E-3</v>
      </c>
      <c r="F132" s="309">
        <f>'Baseline Consumption'!U74</f>
        <v>9.3810078819085256E-3</v>
      </c>
      <c r="G132" s="309">
        <f>'Baseline Consumption'!V74</f>
        <v>9.3810078819085256E-3</v>
      </c>
      <c r="H132" s="309">
        <f>'Baseline Consumption'!W74</f>
        <v>9.3810078819085256E-3</v>
      </c>
      <c r="I132" s="309">
        <f>'Baseline Consumption'!X74</f>
        <v>9.3810078819085256E-3</v>
      </c>
      <c r="J132" s="309">
        <f>'Baseline Consumption'!Y74</f>
        <v>9.3810078819085256E-3</v>
      </c>
      <c r="K132" s="309">
        <f>'Baseline Consumption'!Z74</f>
        <v>9.3810078819085256E-3</v>
      </c>
      <c r="L132" s="309">
        <f>'Baseline Consumption'!AA74</f>
        <v>9.3810078819085256E-3</v>
      </c>
      <c r="M132" s="309">
        <f>'Baseline Consumption'!AB74</f>
        <v>9.3810078819085256E-3</v>
      </c>
      <c r="N132" s="309">
        <f>'Baseline Consumption'!AC74</f>
        <v>9.3810078819085256E-3</v>
      </c>
      <c r="O132" s="309">
        <f>'Baseline Consumption'!AD74</f>
        <v>9.3810078819085256E-3</v>
      </c>
      <c r="P132" s="309">
        <f>'Baseline Consumption'!AE74</f>
        <v>9.3810078819085256E-3</v>
      </c>
      <c r="Q132" s="309">
        <f>'Baseline Consumption'!AF74</f>
        <v>9.3810078819085256E-3</v>
      </c>
      <c r="R132" s="309">
        <f>'Baseline Consumption'!AG74</f>
        <v>9.3810078819085256E-3</v>
      </c>
      <c r="S132" s="309">
        <f>'Baseline Consumption'!AH74</f>
        <v>9.3810078819085256E-3</v>
      </c>
      <c r="T132" s="309">
        <f>'Baseline Consumption'!AI74</f>
        <v>9.3810078819085256E-3</v>
      </c>
      <c r="U132" s="309">
        <f>'Baseline Consumption'!AJ74</f>
        <v>9.3810078819085256E-3</v>
      </c>
      <c r="V132" s="309">
        <f>'Baseline Consumption'!AK74</f>
        <v>9.3810078819085256E-3</v>
      </c>
      <c r="W132" s="309">
        <f>'Baseline Consumption'!AL74</f>
        <v>9.3810078819085256E-3</v>
      </c>
      <c r="X132" s="309">
        <f>'Baseline Consumption'!AM74</f>
        <v>9.3810078819085256E-3</v>
      </c>
      <c r="Y132" s="309">
        <f>'Baseline Consumption'!AN74</f>
        <v>9.3810078819085256E-3</v>
      </c>
      <c r="Z132" s="309">
        <f>'Baseline Consumption'!AO74</f>
        <v>9.3810078819085256E-3</v>
      </c>
      <c r="AA132" s="309">
        <f>'Baseline Consumption'!AP74</f>
        <v>9.3810078819085256E-3</v>
      </c>
      <c r="AB132" s="309">
        <f>'Baseline Consumption'!AQ74</f>
        <v>9.3810078819085256E-3</v>
      </c>
      <c r="AC132" s="309">
        <f>'Baseline Consumption'!AR74</f>
        <v>9.3810078819085256E-3</v>
      </c>
      <c r="AD132" s="309">
        <f>'Baseline Consumption'!AS74</f>
        <v>9.3810078819085256E-3</v>
      </c>
      <c r="AE132" s="309">
        <f>'Baseline Consumption'!AT74</f>
        <v>9.3810078819085256E-3</v>
      </c>
      <c r="AF132" s="309">
        <f>'Baseline Consumption'!AU74</f>
        <v>9.3810078819085256E-3</v>
      </c>
    </row>
    <row r="133" spans="1:32" s="40" customFormat="1" ht="12.9" customHeight="1">
      <c r="A133" s="383" t="s">
        <v>395</v>
      </c>
      <c r="B133" s="309">
        <f>'Baseline Consumption'!Q75</f>
        <v>7.3996231116258489E-4</v>
      </c>
      <c r="C133" s="309">
        <f>'Baseline Consumption'!R75</f>
        <v>7.3996231116258489E-4</v>
      </c>
      <c r="D133" s="309">
        <f>'Baseline Consumption'!S75</f>
        <v>7.3996231116258489E-4</v>
      </c>
      <c r="E133" s="309">
        <f>'Baseline Consumption'!T75</f>
        <v>7.3996231116258489E-4</v>
      </c>
      <c r="F133" s="309">
        <f>'Baseline Consumption'!U75</f>
        <v>7.3996231116258489E-4</v>
      </c>
      <c r="G133" s="309">
        <f>'Baseline Consumption'!V75</f>
        <v>7.3996231116258489E-4</v>
      </c>
      <c r="H133" s="309">
        <f>'Baseline Consumption'!W75</f>
        <v>7.3996231116258489E-4</v>
      </c>
      <c r="I133" s="309">
        <f>'Baseline Consumption'!X75</f>
        <v>7.3996231116258489E-4</v>
      </c>
      <c r="J133" s="309">
        <f>'Baseline Consumption'!Y75</f>
        <v>7.3996231116258489E-4</v>
      </c>
      <c r="K133" s="309">
        <f>'Baseline Consumption'!Z75</f>
        <v>7.3996231116258489E-4</v>
      </c>
      <c r="L133" s="309">
        <f>'Baseline Consumption'!AA75</f>
        <v>7.3996231116258489E-4</v>
      </c>
      <c r="M133" s="309">
        <f>'Baseline Consumption'!AB75</f>
        <v>7.3996231116258489E-4</v>
      </c>
      <c r="N133" s="309">
        <f>'Baseline Consumption'!AC75</f>
        <v>7.3996231116258489E-4</v>
      </c>
      <c r="O133" s="309">
        <f>'Baseline Consumption'!AD75</f>
        <v>7.3996231116258489E-4</v>
      </c>
      <c r="P133" s="309">
        <f>'Baseline Consumption'!AE75</f>
        <v>7.3996231116258489E-4</v>
      </c>
      <c r="Q133" s="309">
        <f>'Baseline Consumption'!AF75</f>
        <v>7.3996231116258489E-4</v>
      </c>
      <c r="R133" s="309">
        <f>'Baseline Consumption'!AG75</f>
        <v>7.3996231116258489E-4</v>
      </c>
      <c r="S133" s="309">
        <f>'Baseline Consumption'!AH75</f>
        <v>7.3996231116258489E-4</v>
      </c>
      <c r="T133" s="309">
        <f>'Baseline Consumption'!AI75</f>
        <v>7.3996231116258489E-4</v>
      </c>
      <c r="U133" s="309">
        <f>'Baseline Consumption'!AJ75</f>
        <v>7.3996231116258489E-4</v>
      </c>
      <c r="V133" s="309">
        <f>'Baseline Consumption'!AK75</f>
        <v>7.3996231116258489E-4</v>
      </c>
      <c r="W133" s="309">
        <f>'Baseline Consumption'!AL75</f>
        <v>7.3996231116258489E-4</v>
      </c>
      <c r="X133" s="309">
        <f>'Baseline Consumption'!AM75</f>
        <v>7.3996231116258489E-4</v>
      </c>
      <c r="Y133" s="309">
        <f>'Baseline Consumption'!AN75</f>
        <v>7.3996231116258489E-4</v>
      </c>
      <c r="Z133" s="309">
        <f>'Baseline Consumption'!AO75</f>
        <v>7.3996231116258489E-4</v>
      </c>
      <c r="AA133" s="309">
        <f>'Baseline Consumption'!AP75</f>
        <v>7.3996231116258489E-4</v>
      </c>
      <c r="AB133" s="309">
        <f>'Baseline Consumption'!AQ75</f>
        <v>7.3996231116258489E-4</v>
      </c>
      <c r="AC133" s="309">
        <f>'Baseline Consumption'!AR75</f>
        <v>7.3996231116258489E-4</v>
      </c>
      <c r="AD133" s="309">
        <f>'Baseline Consumption'!AS75</f>
        <v>7.3996231116258489E-4</v>
      </c>
      <c r="AE133" s="309">
        <f>'Baseline Consumption'!AT75</f>
        <v>7.3996231116258489E-4</v>
      </c>
      <c r="AF133" s="309">
        <f>'Baseline Consumption'!AU75</f>
        <v>7.3996231116258489E-4</v>
      </c>
    </row>
    <row r="134" spans="1:32" s="40" customFormat="1" ht="12.9" customHeight="1">
      <c r="A134" s="383" t="s">
        <v>396</v>
      </c>
      <c r="B134" s="309">
        <f>'Baseline Consumption'!Q76</f>
        <v>4.2626327742272735E-2</v>
      </c>
      <c r="C134" s="309">
        <f>'Baseline Consumption'!R76</f>
        <v>4.2706520554471016E-2</v>
      </c>
      <c r="D134" s="309">
        <f>'Baseline Consumption'!S76</f>
        <v>4.2706520554471016E-2</v>
      </c>
      <c r="E134" s="309">
        <f>'Baseline Consumption'!T76</f>
        <v>4.2818267802978677E-2</v>
      </c>
      <c r="F134" s="309">
        <f>'Baseline Consumption'!U76</f>
        <v>4.2864936765798965E-2</v>
      </c>
      <c r="G134" s="309">
        <f>'Baseline Consumption'!V76</f>
        <v>4.2864936765798965E-2</v>
      </c>
      <c r="H134" s="309">
        <f>'Baseline Consumption'!W76</f>
        <v>4.2905033171898109E-2</v>
      </c>
      <c r="I134" s="309">
        <f>'Baseline Consumption'!X76</f>
        <v>4.2905033171898109E-2</v>
      </c>
      <c r="J134" s="309">
        <f>'Baseline Consumption'!Y76</f>
        <v>4.2905033171898109E-2</v>
      </c>
      <c r="K134" s="309">
        <f>'Baseline Consumption'!Z76</f>
        <v>4.2929972874707935E-2</v>
      </c>
      <c r="L134" s="309">
        <f>'Baseline Consumption'!AA76</f>
        <v>4.2929972874707935E-2</v>
      </c>
      <c r="M134" s="309">
        <f>'Baseline Consumption'!AB76</f>
        <v>4.2929972874707935E-2</v>
      </c>
      <c r="N134" s="309">
        <f>'Baseline Consumption'!AC76</f>
        <v>4.2929972874707935E-2</v>
      </c>
      <c r="O134" s="309">
        <f>'Baseline Consumption'!AD76</f>
        <v>4.2929972874707935E-2</v>
      </c>
      <c r="P134" s="309">
        <f>'Baseline Consumption'!AE76</f>
        <v>4.2929972874707935E-2</v>
      </c>
      <c r="Q134" s="309">
        <f>'Baseline Consumption'!AF76</f>
        <v>4.2929972874707935E-2</v>
      </c>
      <c r="R134" s="309">
        <f>'Baseline Consumption'!AG76</f>
        <v>4.2929972874707935E-2</v>
      </c>
      <c r="S134" s="309">
        <f>'Baseline Consumption'!AH76</f>
        <v>4.2929972874707935E-2</v>
      </c>
      <c r="T134" s="309">
        <f>'Baseline Consumption'!AI76</f>
        <v>4.2929972874707935E-2</v>
      </c>
      <c r="U134" s="309">
        <f>'Baseline Consumption'!AJ76</f>
        <v>4.2929972874707935E-2</v>
      </c>
      <c r="V134" s="309">
        <f>'Baseline Consumption'!AK76</f>
        <v>4.2929972874707935E-2</v>
      </c>
      <c r="W134" s="309">
        <f>'Baseline Consumption'!AL76</f>
        <v>4.2929972874707935E-2</v>
      </c>
      <c r="X134" s="309">
        <f>'Baseline Consumption'!AM76</f>
        <v>4.2929972874707935E-2</v>
      </c>
      <c r="Y134" s="309">
        <f>'Baseline Consumption'!AN76</f>
        <v>4.2929972874707935E-2</v>
      </c>
      <c r="Z134" s="309">
        <f>'Baseline Consumption'!AO76</f>
        <v>4.2929972874707935E-2</v>
      </c>
      <c r="AA134" s="309">
        <f>'Baseline Consumption'!AP76</f>
        <v>4.2929972874707935E-2</v>
      </c>
      <c r="AB134" s="309">
        <f>'Baseline Consumption'!AQ76</f>
        <v>4.2929972874707935E-2</v>
      </c>
      <c r="AC134" s="309">
        <f>'Baseline Consumption'!AR76</f>
        <v>4.2929972874707935E-2</v>
      </c>
      <c r="AD134" s="309">
        <f>'Baseline Consumption'!AS76</f>
        <v>4.2929972874707935E-2</v>
      </c>
      <c r="AE134" s="309">
        <f>'Baseline Consumption'!AT76</f>
        <v>4.2929972874707935E-2</v>
      </c>
      <c r="AF134" s="309">
        <f>'Baseline Consumption'!AU76</f>
        <v>4.2929972874707935E-2</v>
      </c>
    </row>
    <row r="135" spans="1:32" s="40" customFormat="1" ht="12.9" customHeight="1">
      <c r="A135" s="383" t="s">
        <v>243</v>
      </c>
      <c r="B135" s="309">
        <f>'Baseline Consumption'!Q77</f>
        <v>0.650837893113558</v>
      </c>
      <c r="C135" s="309">
        <f>'Baseline Consumption'!R77</f>
        <v>0.65564946184545503</v>
      </c>
      <c r="D135" s="309">
        <f>'Baseline Consumption'!S77</f>
        <v>0.65564946184545503</v>
      </c>
      <c r="E135" s="309">
        <f>'Baseline Consumption'!T77</f>
        <v>0.66235429675591473</v>
      </c>
      <c r="F135" s="309">
        <f>'Baseline Consumption'!U77</f>
        <v>0.66534706109309383</v>
      </c>
      <c r="G135" s="309">
        <f>'Baseline Consumption'!V77</f>
        <v>0.66534706109309383</v>
      </c>
      <c r="H135" s="309">
        <f>'Baseline Consumption'!W77</f>
        <v>0.67015862982499097</v>
      </c>
      <c r="I135" s="309">
        <f>'Baseline Consumption'!X77</f>
        <v>0.67015862982499097</v>
      </c>
      <c r="J135" s="309">
        <f>'Baseline Consumption'!Y77</f>
        <v>0.67015862982499097</v>
      </c>
      <c r="K135" s="309">
        <f>'Baseline Consumption'!Z77</f>
        <v>0.67315139416217007</v>
      </c>
      <c r="L135" s="309">
        <f>'Baseline Consumption'!AA77</f>
        <v>0.67315139416217007</v>
      </c>
      <c r="M135" s="309">
        <f>'Baseline Consumption'!AB77</f>
        <v>0.67315139416217007</v>
      </c>
      <c r="N135" s="309">
        <f>'Baseline Consumption'!AC77</f>
        <v>0.67315139416217007</v>
      </c>
      <c r="O135" s="309">
        <f>'Baseline Consumption'!AD77</f>
        <v>0.67315139416217007</v>
      </c>
      <c r="P135" s="309">
        <f>'Baseline Consumption'!AE77</f>
        <v>0.67315139416217007</v>
      </c>
      <c r="Q135" s="309">
        <f>'Baseline Consumption'!AF77</f>
        <v>0.67315139416217007</v>
      </c>
      <c r="R135" s="309">
        <f>'Baseline Consumption'!AG77</f>
        <v>0.67315139416217007</v>
      </c>
      <c r="S135" s="309">
        <f>'Baseline Consumption'!AH77</f>
        <v>0.67315139416217007</v>
      </c>
      <c r="T135" s="309">
        <f>'Baseline Consumption'!AI77</f>
        <v>0.67315139416217007</v>
      </c>
      <c r="U135" s="309">
        <f>'Baseline Consumption'!AJ77</f>
        <v>0.67315139416217007</v>
      </c>
      <c r="V135" s="309">
        <f>'Baseline Consumption'!AK77</f>
        <v>0.67315139416217007</v>
      </c>
      <c r="W135" s="309">
        <f>'Baseline Consumption'!AL77</f>
        <v>0.67315139416217007</v>
      </c>
      <c r="X135" s="309">
        <f>'Baseline Consumption'!AM77</f>
        <v>0.67315139416217007</v>
      </c>
      <c r="Y135" s="309">
        <f>'Baseline Consumption'!AN77</f>
        <v>0.67315139416217007</v>
      </c>
      <c r="Z135" s="309">
        <f>'Baseline Consumption'!AO77</f>
        <v>0.67315139416217007</v>
      </c>
      <c r="AA135" s="309">
        <f>'Baseline Consumption'!AP77</f>
        <v>0.67315139416217007</v>
      </c>
      <c r="AB135" s="309">
        <f>'Baseline Consumption'!AQ77</f>
        <v>0.67315139416217007</v>
      </c>
      <c r="AC135" s="309">
        <f>'Baseline Consumption'!AR77</f>
        <v>0.67315139416217007</v>
      </c>
      <c r="AD135" s="309">
        <f>'Baseline Consumption'!AS77</f>
        <v>0.67315139416217007</v>
      </c>
      <c r="AE135" s="309">
        <f>'Baseline Consumption'!AT77</f>
        <v>0.67315139416217007</v>
      </c>
      <c r="AF135" s="309">
        <f>'Baseline Consumption'!AU77</f>
        <v>0.67315139416217007</v>
      </c>
    </row>
    <row r="136" spans="1:32" s="40" customFormat="1" ht="12.9" customHeight="1">
      <c r="A136" s="383" t="s">
        <v>397</v>
      </c>
      <c r="B136" s="309">
        <f>'Baseline Consumption'!Q78</f>
        <v>7.1999999999999998E-3</v>
      </c>
      <c r="C136" s="309">
        <f>'Baseline Consumption'!R78</f>
        <v>7.1999999999999998E-3</v>
      </c>
      <c r="D136" s="309">
        <f>'Baseline Consumption'!S78</f>
        <v>7.1999999999999998E-3</v>
      </c>
      <c r="E136" s="309">
        <f>'Baseline Consumption'!T78</f>
        <v>7.1999999999999998E-3</v>
      </c>
      <c r="F136" s="309">
        <f>'Baseline Consumption'!U78</f>
        <v>7.1999999999999998E-3</v>
      </c>
      <c r="G136" s="309">
        <f>'Baseline Consumption'!V78</f>
        <v>7.1999999999999998E-3</v>
      </c>
      <c r="H136" s="309">
        <f>'Baseline Consumption'!W78</f>
        <v>7.1999999999999998E-3</v>
      </c>
      <c r="I136" s="309">
        <f>'Baseline Consumption'!X78</f>
        <v>7.1999999999999998E-3</v>
      </c>
      <c r="J136" s="309">
        <f>'Baseline Consumption'!Y78</f>
        <v>7.1999999999999998E-3</v>
      </c>
      <c r="K136" s="309">
        <f>'Baseline Consumption'!Z78</f>
        <v>7.1999999999999998E-3</v>
      </c>
      <c r="L136" s="309">
        <f>'Baseline Consumption'!AA78</f>
        <v>7.1999999999999998E-3</v>
      </c>
      <c r="M136" s="309">
        <f>'Baseline Consumption'!AB78</f>
        <v>7.1999999999999998E-3</v>
      </c>
      <c r="N136" s="309">
        <f>'Baseline Consumption'!AC78</f>
        <v>7.1999999999999998E-3</v>
      </c>
      <c r="O136" s="309">
        <f>'Baseline Consumption'!AD78</f>
        <v>7.1999999999999998E-3</v>
      </c>
      <c r="P136" s="309">
        <f>'Baseline Consumption'!AE78</f>
        <v>7.1999999999999998E-3</v>
      </c>
      <c r="Q136" s="309">
        <f>'Baseline Consumption'!AF78</f>
        <v>7.1999999999999998E-3</v>
      </c>
      <c r="R136" s="309">
        <f>'Baseline Consumption'!AG78</f>
        <v>7.1999999999999998E-3</v>
      </c>
      <c r="S136" s="309">
        <f>'Baseline Consumption'!AH78</f>
        <v>7.1999999999999998E-3</v>
      </c>
      <c r="T136" s="309">
        <f>'Baseline Consumption'!AI78</f>
        <v>7.1999999999999998E-3</v>
      </c>
      <c r="U136" s="309">
        <f>'Baseline Consumption'!AJ78</f>
        <v>7.1999999999999998E-3</v>
      </c>
      <c r="V136" s="309">
        <f>'Baseline Consumption'!AK78</f>
        <v>7.1999999999999998E-3</v>
      </c>
      <c r="W136" s="309">
        <f>'Baseline Consumption'!AL78</f>
        <v>7.1999999999999998E-3</v>
      </c>
      <c r="X136" s="309">
        <f>'Baseline Consumption'!AM78</f>
        <v>7.1999999999999998E-3</v>
      </c>
      <c r="Y136" s="309">
        <f>'Baseline Consumption'!AN78</f>
        <v>7.1999999999999998E-3</v>
      </c>
      <c r="Z136" s="309">
        <f>'Baseline Consumption'!AO78</f>
        <v>7.1999999999999998E-3</v>
      </c>
      <c r="AA136" s="309">
        <f>'Baseline Consumption'!AP78</f>
        <v>7.1999999999999998E-3</v>
      </c>
      <c r="AB136" s="309">
        <f>'Baseline Consumption'!AQ78</f>
        <v>7.1999999999999998E-3</v>
      </c>
      <c r="AC136" s="309">
        <f>'Baseline Consumption'!AR78</f>
        <v>7.1999999999999998E-3</v>
      </c>
      <c r="AD136" s="309">
        <f>'Baseline Consumption'!AS78</f>
        <v>7.1999999999999998E-3</v>
      </c>
      <c r="AE136" s="309">
        <f>'Baseline Consumption'!AT78</f>
        <v>7.1999999999999998E-3</v>
      </c>
      <c r="AF136" s="309">
        <f>'Baseline Consumption'!AU78</f>
        <v>7.1999999999999998E-3</v>
      </c>
    </row>
    <row r="137" spans="1:32" s="40" customFormat="1" ht="12.9" customHeight="1">
      <c r="A137" s="383" t="s">
        <v>398</v>
      </c>
      <c r="B137" s="309">
        <f>'Baseline Consumption'!Q79</f>
        <v>1.2293595967897714E-4</v>
      </c>
      <c r="C137" s="309">
        <f>'Baseline Consumption'!R79</f>
        <v>1.2293595967897714E-4</v>
      </c>
      <c r="D137" s="309">
        <f>'Baseline Consumption'!S79</f>
        <v>1.2293595967897714E-4</v>
      </c>
      <c r="E137" s="309">
        <f>'Baseline Consumption'!T79</f>
        <v>1.2293595967897714E-4</v>
      </c>
      <c r="F137" s="309">
        <f>'Baseline Consumption'!U79</f>
        <v>1.2293595967897714E-4</v>
      </c>
      <c r="G137" s="309">
        <f>'Baseline Consumption'!V79</f>
        <v>1.2293595967897714E-4</v>
      </c>
      <c r="H137" s="309">
        <f>'Baseline Consumption'!W79</f>
        <v>1.2293595967897714E-4</v>
      </c>
      <c r="I137" s="309">
        <f>'Baseline Consumption'!X79</f>
        <v>1.2293595967897714E-4</v>
      </c>
      <c r="J137" s="309">
        <f>'Baseline Consumption'!Y79</f>
        <v>1.2293595967897714E-4</v>
      </c>
      <c r="K137" s="309">
        <f>'Baseline Consumption'!Z79</f>
        <v>1.2293595967897714E-4</v>
      </c>
      <c r="L137" s="309">
        <f>'Baseline Consumption'!AA79</f>
        <v>1.2293595967897714E-4</v>
      </c>
      <c r="M137" s="309">
        <f>'Baseline Consumption'!AB79</f>
        <v>1.2293595967897714E-4</v>
      </c>
      <c r="N137" s="309">
        <f>'Baseline Consumption'!AC79</f>
        <v>1.2293595967897714E-4</v>
      </c>
      <c r="O137" s="309">
        <f>'Baseline Consumption'!AD79</f>
        <v>1.2293595967897714E-4</v>
      </c>
      <c r="P137" s="309">
        <f>'Baseline Consumption'!AE79</f>
        <v>1.2293595967897714E-4</v>
      </c>
      <c r="Q137" s="309">
        <f>'Baseline Consumption'!AF79</f>
        <v>1.2293595967897714E-4</v>
      </c>
      <c r="R137" s="309">
        <f>'Baseline Consumption'!AG79</f>
        <v>1.2293595967897714E-4</v>
      </c>
      <c r="S137" s="309">
        <f>'Baseline Consumption'!AH79</f>
        <v>1.2293595967897714E-4</v>
      </c>
      <c r="T137" s="309">
        <f>'Baseline Consumption'!AI79</f>
        <v>1.2293595967897714E-4</v>
      </c>
      <c r="U137" s="309">
        <f>'Baseline Consumption'!AJ79</f>
        <v>1.2293595967897714E-4</v>
      </c>
      <c r="V137" s="309">
        <f>'Baseline Consumption'!AK79</f>
        <v>1.2293595967897714E-4</v>
      </c>
      <c r="W137" s="309">
        <f>'Baseline Consumption'!AL79</f>
        <v>1.2293595967897714E-4</v>
      </c>
      <c r="X137" s="309">
        <f>'Baseline Consumption'!AM79</f>
        <v>1.2293595967897714E-4</v>
      </c>
      <c r="Y137" s="309">
        <f>'Baseline Consumption'!AN79</f>
        <v>1.2293595967897714E-4</v>
      </c>
      <c r="Z137" s="309">
        <f>'Baseline Consumption'!AO79</f>
        <v>1.2293595967897714E-4</v>
      </c>
      <c r="AA137" s="309">
        <f>'Baseline Consumption'!AP79</f>
        <v>1.2293595967897714E-4</v>
      </c>
      <c r="AB137" s="309">
        <f>'Baseline Consumption'!AQ79</f>
        <v>1.2293595967897714E-4</v>
      </c>
      <c r="AC137" s="309">
        <f>'Baseline Consumption'!AR79</f>
        <v>1.2293595967897714E-4</v>
      </c>
      <c r="AD137" s="309">
        <f>'Baseline Consumption'!AS79</f>
        <v>1.2293595967897714E-4</v>
      </c>
      <c r="AE137" s="309">
        <f>'Baseline Consumption'!AT79</f>
        <v>1.2293595967897714E-4</v>
      </c>
      <c r="AF137" s="309">
        <f>'Baseline Consumption'!AU79</f>
        <v>1.2293595967897714E-4</v>
      </c>
    </row>
    <row r="138" spans="1:32" s="40" customFormat="1" ht="12.9" customHeight="1">
      <c r="A138" s="383" t="s">
        <v>399</v>
      </c>
      <c r="B138" s="309">
        <f>'Baseline Consumption'!Q80</f>
        <v>0.10199999999999999</v>
      </c>
      <c r="C138" s="309">
        <f>'Baseline Consumption'!R80</f>
        <v>0.10199999999999999</v>
      </c>
      <c r="D138" s="309">
        <f>'Baseline Consumption'!S80</f>
        <v>0.10199999999999999</v>
      </c>
      <c r="E138" s="309">
        <f>'Baseline Consumption'!T80</f>
        <v>0.10199999999999998</v>
      </c>
      <c r="F138" s="309">
        <f>'Baseline Consumption'!U80</f>
        <v>0.10199999999999998</v>
      </c>
      <c r="G138" s="309">
        <f>'Baseline Consumption'!V80</f>
        <v>0.10199999999999998</v>
      </c>
      <c r="H138" s="309">
        <f>'Baseline Consumption'!W80</f>
        <v>0.10199999999999999</v>
      </c>
      <c r="I138" s="309">
        <f>'Baseline Consumption'!X80</f>
        <v>0.10199999999999999</v>
      </c>
      <c r="J138" s="309">
        <f>'Baseline Consumption'!Y80</f>
        <v>0.10199999999999999</v>
      </c>
      <c r="K138" s="309">
        <f>'Baseline Consumption'!Z80</f>
        <v>0.10199999999999999</v>
      </c>
      <c r="L138" s="309">
        <f>'Baseline Consumption'!AA80</f>
        <v>0.10199999999999999</v>
      </c>
      <c r="M138" s="309">
        <f>'Baseline Consumption'!AB80</f>
        <v>0.10199999999999999</v>
      </c>
      <c r="N138" s="309">
        <f>'Baseline Consumption'!AC80</f>
        <v>0.10199999999999999</v>
      </c>
      <c r="O138" s="309">
        <f>'Baseline Consumption'!AD80</f>
        <v>0.10199999999999999</v>
      </c>
      <c r="P138" s="309">
        <f>'Baseline Consumption'!AE80</f>
        <v>0.10199999999999999</v>
      </c>
      <c r="Q138" s="309">
        <f>'Baseline Consumption'!AF80</f>
        <v>0.10199999999999999</v>
      </c>
      <c r="R138" s="309">
        <f>'Baseline Consumption'!AG80</f>
        <v>0.10199999999999999</v>
      </c>
      <c r="S138" s="309">
        <f>'Baseline Consumption'!AH80</f>
        <v>0.10199999999999999</v>
      </c>
      <c r="T138" s="309">
        <f>'Baseline Consumption'!AI80</f>
        <v>0.10199999999999999</v>
      </c>
      <c r="U138" s="309">
        <f>'Baseline Consumption'!AJ80</f>
        <v>0.10199999999999999</v>
      </c>
      <c r="V138" s="309">
        <f>'Baseline Consumption'!AK80</f>
        <v>0.10199999999999999</v>
      </c>
      <c r="W138" s="309">
        <f>'Baseline Consumption'!AL80</f>
        <v>0.10199999999999999</v>
      </c>
      <c r="X138" s="309">
        <f>'Baseline Consumption'!AM80</f>
        <v>0.10199999999999999</v>
      </c>
      <c r="Y138" s="309">
        <f>'Baseline Consumption'!AN80</f>
        <v>0.10199999999999999</v>
      </c>
      <c r="Z138" s="309">
        <f>'Baseline Consumption'!AO80</f>
        <v>0.10199999999999999</v>
      </c>
      <c r="AA138" s="309">
        <f>'Baseline Consumption'!AP80</f>
        <v>0.10199999999999999</v>
      </c>
      <c r="AB138" s="309">
        <f>'Baseline Consumption'!AQ80</f>
        <v>0.10199999999999999</v>
      </c>
      <c r="AC138" s="309">
        <f>'Baseline Consumption'!AR80</f>
        <v>0.10199999999999999</v>
      </c>
      <c r="AD138" s="309">
        <f>'Baseline Consumption'!AS80</f>
        <v>0.10199999999999999</v>
      </c>
      <c r="AE138" s="309">
        <f>'Baseline Consumption'!AT80</f>
        <v>0.10199999999999999</v>
      </c>
      <c r="AF138" s="309">
        <f>'Baseline Consumption'!AU80</f>
        <v>0.10199999999999999</v>
      </c>
    </row>
    <row r="139" spans="1:32" s="40" customFormat="1" ht="12.9" customHeight="1">
      <c r="A139" s="383" t="s">
        <v>249</v>
      </c>
      <c r="B139" s="309">
        <f>'Baseline Consumption'!Q81</f>
        <v>2.3999999999999998E-3</v>
      </c>
      <c r="C139" s="309">
        <f>'Baseline Consumption'!R81</f>
        <v>2.3999999999999998E-3</v>
      </c>
      <c r="D139" s="309">
        <f>'Baseline Consumption'!S81</f>
        <v>2.3999999999999998E-3</v>
      </c>
      <c r="E139" s="309">
        <f>'Baseline Consumption'!T81</f>
        <v>2.3999999999999998E-3</v>
      </c>
      <c r="F139" s="309">
        <f>'Baseline Consumption'!U81</f>
        <v>2.4642088559872735E-3</v>
      </c>
      <c r="G139" s="309">
        <f>'Baseline Consumption'!V81</f>
        <v>2.4642088559872735E-3</v>
      </c>
      <c r="H139" s="309">
        <f>'Baseline Consumption'!W81</f>
        <v>3.2661369779701213E-3</v>
      </c>
      <c r="I139" s="309">
        <f>'Baseline Consumption'!X81</f>
        <v>3.2661369779701213E-3</v>
      </c>
      <c r="J139" s="309">
        <f>'Baseline Consumption'!Y81</f>
        <v>3.2661369779701213E-3</v>
      </c>
      <c r="K139" s="309">
        <f>'Baseline Consumption'!Z81</f>
        <v>3.7649310341666391E-3</v>
      </c>
      <c r="L139" s="309">
        <f>'Baseline Consumption'!AA81</f>
        <v>3.7649310341666391E-3</v>
      </c>
      <c r="M139" s="309">
        <f>'Baseline Consumption'!AB81</f>
        <v>3.7649310341666391E-3</v>
      </c>
      <c r="N139" s="309">
        <f>'Baseline Consumption'!AC81</f>
        <v>3.7649310341666391E-3</v>
      </c>
      <c r="O139" s="309">
        <f>'Baseline Consumption'!AD81</f>
        <v>3.7649310341666391E-3</v>
      </c>
      <c r="P139" s="309">
        <f>'Baseline Consumption'!AE81</f>
        <v>3.7649310341666391E-3</v>
      </c>
      <c r="Q139" s="309">
        <f>'Baseline Consumption'!AF81</f>
        <v>3.7649310341666391E-3</v>
      </c>
      <c r="R139" s="309">
        <f>'Baseline Consumption'!AG81</f>
        <v>3.7649310341666391E-3</v>
      </c>
      <c r="S139" s="309">
        <f>'Baseline Consumption'!AH81</f>
        <v>3.7649310341666391E-3</v>
      </c>
      <c r="T139" s="309">
        <f>'Baseline Consumption'!AI81</f>
        <v>3.7649310341666391E-3</v>
      </c>
      <c r="U139" s="309">
        <f>'Baseline Consumption'!AJ81</f>
        <v>3.7649310341666391E-3</v>
      </c>
      <c r="V139" s="309">
        <f>'Baseline Consumption'!AK81</f>
        <v>3.7649310341666391E-3</v>
      </c>
      <c r="W139" s="309">
        <f>'Baseline Consumption'!AL81</f>
        <v>3.7649310341666391E-3</v>
      </c>
      <c r="X139" s="309">
        <f>'Baseline Consumption'!AM81</f>
        <v>3.7649310341666391E-3</v>
      </c>
      <c r="Y139" s="309">
        <f>'Baseline Consumption'!AN81</f>
        <v>3.7649310341666391E-3</v>
      </c>
      <c r="Z139" s="309">
        <f>'Baseline Consumption'!AO81</f>
        <v>3.7649310341666391E-3</v>
      </c>
      <c r="AA139" s="309">
        <f>'Baseline Consumption'!AP81</f>
        <v>3.7649310341666391E-3</v>
      </c>
      <c r="AB139" s="309">
        <f>'Baseline Consumption'!AQ81</f>
        <v>3.7649310341666391E-3</v>
      </c>
      <c r="AC139" s="309">
        <f>'Baseline Consumption'!AR81</f>
        <v>3.7649310341666391E-3</v>
      </c>
      <c r="AD139" s="309">
        <f>'Baseline Consumption'!AS81</f>
        <v>3.7649310341666391E-3</v>
      </c>
      <c r="AE139" s="309">
        <f>'Baseline Consumption'!AT81</f>
        <v>3.7649310341666391E-3</v>
      </c>
      <c r="AF139" s="309">
        <f>'Baseline Consumption'!AU81</f>
        <v>3.7649310341666391E-3</v>
      </c>
    </row>
    <row r="140" spans="1:32" s="40" customFormat="1" ht="12.9" customHeight="1">
      <c r="A140" s="383" t="s">
        <v>354</v>
      </c>
      <c r="B140" s="309">
        <f>'Baseline Consumption'!Q82</f>
        <v>1.1933598960928769E-3</v>
      </c>
      <c r="C140" s="309">
        <f>'Baseline Consumption'!R82</f>
        <v>1.1933598960928769E-3</v>
      </c>
      <c r="D140" s="309">
        <f>'Baseline Consumption'!S82</f>
        <v>1.1933598960928769E-3</v>
      </c>
      <c r="E140" s="309">
        <f>'Baseline Consumption'!T82</f>
        <v>1.1933598960928769E-3</v>
      </c>
      <c r="F140" s="309">
        <f>'Baseline Consumption'!U82</f>
        <v>1.1933598960928769E-3</v>
      </c>
      <c r="G140" s="309">
        <f>'Baseline Consumption'!V82</f>
        <v>1.1933598960928769E-3</v>
      </c>
      <c r="H140" s="309">
        <f>'Baseline Consumption'!W82</f>
        <v>1.1933598960928769E-3</v>
      </c>
      <c r="I140" s="309">
        <f>'Baseline Consumption'!X82</f>
        <v>1.1933598960928769E-3</v>
      </c>
      <c r="J140" s="309">
        <f>'Baseline Consumption'!Y82</f>
        <v>1.1933598960928769E-3</v>
      </c>
      <c r="K140" s="309">
        <f>'Baseline Consumption'!Z82</f>
        <v>1.1933598960928769E-3</v>
      </c>
      <c r="L140" s="309">
        <f>'Baseline Consumption'!AA82</f>
        <v>1.1933598960928769E-3</v>
      </c>
      <c r="M140" s="309">
        <f>'Baseline Consumption'!AB82</f>
        <v>1.1933598960928769E-3</v>
      </c>
      <c r="N140" s="309">
        <f>'Baseline Consumption'!AC82</f>
        <v>1.1933598960928769E-3</v>
      </c>
      <c r="O140" s="309">
        <f>'Baseline Consumption'!AD82</f>
        <v>1.1933598960928769E-3</v>
      </c>
      <c r="P140" s="309">
        <f>'Baseline Consumption'!AE82</f>
        <v>1.1933598960928769E-3</v>
      </c>
      <c r="Q140" s="309">
        <f>'Baseline Consumption'!AF82</f>
        <v>1.1933598960928769E-3</v>
      </c>
      <c r="R140" s="309">
        <f>'Baseline Consumption'!AG82</f>
        <v>1.1933598960928769E-3</v>
      </c>
      <c r="S140" s="309">
        <f>'Baseline Consumption'!AH82</f>
        <v>1.1933598960928769E-3</v>
      </c>
      <c r="T140" s="309">
        <f>'Baseline Consumption'!AI82</f>
        <v>1.1933598960928769E-3</v>
      </c>
      <c r="U140" s="309">
        <f>'Baseline Consumption'!AJ82</f>
        <v>1.1933598960928769E-3</v>
      </c>
      <c r="V140" s="309">
        <f>'Baseline Consumption'!AK82</f>
        <v>1.1933598960928769E-3</v>
      </c>
      <c r="W140" s="309">
        <f>'Baseline Consumption'!AL82</f>
        <v>1.1933598960928769E-3</v>
      </c>
      <c r="X140" s="309">
        <f>'Baseline Consumption'!AM82</f>
        <v>1.1933598960928769E-3</v>
      </c>
      <c r="Y140" s="309">
        <f>'Baseline Consumption'!AN82</f>
        <v>1.1933598960928769E-3</v>
      </c>
      <c r="Z140" s="309">
        <f>'Baseline Consumption'!AO82</f>
        <v>1.1933598960928769E-3</v>
      </c>
      <c r="AA140" s="309">
        <f>'Baseline Consumption'!AP82</f>
        <v>1.1933598960928769E-3</v>
      </c>
      <c r="AB140" s="309">
        <f>'Baseline Consumption'!AQ82</f>
        <v>1.1933598960928769E-3</v>
      </c>
      <c r="AC140" s="309">
        <f>'Baseline Consumption'!AR82</f>
        <v>1.1933598960928769E-3</v>
      </c>
      <c r="AD140" s="309">
        <f>'Baseline Consumption'!AS82</f>
        <v>1.1933598960928769E-3</v>
      </c>
      <c r="AE140" s="309">
        <f>'Baseline Consumption'!AT82</f>
        <v>1.1933598960928769E-3</v>
      </c>
      <c r="AF140" s="309">
        <f>'Baseline Consumption'!AU82</f>
        <v>1.1933598960928769E-3</v>
      </c>
    </row>
    <row r="141" spans="1:32" s="40" customFormat="1" ht="12.9" customHeight="1">
      <c r="A141" s="383" t="s">
        <v>353</v>
      </c>
      <c r="B141" s="309">
        <f>'Baseline Consumption'!Q83</f>
        <v>2.0591872218044594E-3</v>
      </c>
      <c r="C141" s="309">
        <f>'Baseline Consumption'!R83</f>
        <v>2.0591872218044594E-3</v>
      </c>
      <c r="D141" s="309">
        <f>'Baseline Consumption'!S83</f>
        <v>2.0591872218044594E-3</v>
      </c>
      <c r="E141" s="309">
        <f>'Baseline Consumption'!T83</f>
        <v>2.0591872218044594E-3</v>
      </c>
      <c r="F141" s="309">
        <f>'Baseline Consumption'!U83</f>
        <v>2.0591872218044594E-3</v>
      </c>
      <c r="G141" s="309">
        <f>'Baseline Consumption'!V83</f>
        <v>2.0591872218044594E-3</v>
      </c>
      <c r="H141" s="309">
        <f>'Baseline Consumption'!W83</f>
        <v>2.0591872218044594E-3</v>
      </c>
      <c r="I141" s="309">
        <f>'Baseline Consumption'!X83</f>
        <v>2.0591872218044594E-3</v>
      </c>
      <c r="J141" s="309">
        <f>'Baseline Consumption'!Y83</f>
        <v>2.0591872218044594E-3</v>
      </c>
      <c r="K141" s="309">
        <f>'Baseline Consumption'!Z83</f>
        <v>2.0591872218044594E-3</v>
      </c>
      <c r="L141" s="309">
        <f>'Baseline Consumption'!AA83</f>
        <v>2.0591872218044594E-3</v>
      </c>
      <c r="M141" s="309">
        <f>'Baseline Consumption'!AB83</f>
        <v>2.0591872218044594E-3</v>
      </c>
      <c r="N141" s="309">
        <f>'Baseline Consumption'!AC83</f>
        <v>2.0591872218044594E-3</v>
      </c>
      <c r="O141" s="309">
        <f>'Baseline Consumption'!AD83</f>
        <v>2.0591872218044594E-3</v>
      </c>
      <c r="P141" s="309">
        <f>'Baseline Consumption'!AE83</f>
        <v>2.0591872218044594E-3</v>
      </c>
      <c r="Q141" s="309">
        <f>'Baseline Consumption'!AF83</f>
        <v>2.0591872218044594E-3</v>
      </c>
      <c r="R141" s="309">
        <f>'Baseline Consumption'!AG83</f>
        <v>2.0591872218044594E-3</v>
      </c>
      <c r="S141" s="309">
        <f>'Baseline Consumption'!AH83</f>
        <v>2.0591872218044594E-3</v>
      </c>
      <c r="T141" s="309">
        <f>'Baseline Consumption'!AI83</f>
        <v>2.0591872218044594E-3</v>
      </c>
      <c r="U141" s="309">
        <f>'Baseline Consumption'!AJ83</f>
        <v>2.0591872218044594E-3</v>
      </c>
      <c r="V141" s="309">
        <f>'Baseline Consumption'!AK83</f>
        <v>2.0591872218044594E-3</v>
      </c>
      <c r="W141" s="309">
        <f>'Baseline Consumption'!AL83</f>
        <v>2.0591872218044594E-3</v>
      </c>
      <c r="X141" s="309">
        <f>'Baseline Consumption'!AM83</f>
        <v>2.0591872218044594E-3</v>
      </c>
      <c r="Y141" s="309">
        <f>'Baseline Consumption'!AN83</f>
        <v>2.0591872218044594E-3</v>
      </c>
      <c r="Z141" s="309">
        <f>'Baseline Consumption'!AO83</f>
        <v>2.0591872218044594E-3</v>
      </c>
      <c r="AA141" s="309">
        <f>'Baseline Consumption'!AP83</f>
        <v>2.0591872218044594E-3</v>
      </c>
      <c r="AB141" s="309">
        <f>'Baseline Consumption'!AQ83</f>
        <v>2.0591872218044594E-3</v>
      </c>
      <c r="AC141" s="309">
        <f>'Baseline Consumption'!AR83</f>
        <v>2.0591872218044594E-3</v>
      </c>
      <c r="AD141" s="309">
        <f>'Baseline Consumption'!AS83</f>
        <v>2.0591872218044594E-3</v>
      </c>
      <c r="AE141" s="309">
        <f>'Baseline Consumption'!AT83</f>
        <v>2.0591872218044594E-3</v>
      </c>
      <c r="AF141" s="309">
        <f>'Baseline Consumption'!AU83</f>
        <v>2.0591872218044594E-3</v>
      </c>
    </row>
    <row r="142" spans="1:32" s="40" customFormat="1" ht="12.9" customHeight="1">
      <c r="A142" s="383" t="s">
        <v>355</v>
      </c>
      <c r="B142" s="309">
        <f>'Baseline Consumption'!Q84</f>
        <v>4.931094611706488E-4</v>
      </c>
      <c r="C142" s="309">
        <f>'Baseline Consumption'!R84</f>
        <v>4.931094611706488E-4</v>
      </c>
      <c r="D142" s="309">
        <f>'Baseline Consumption'!S84</f>
        <v>4.931094611706488E-4</v>
      </c>
      <c r="E142" s="309">
        <f>'Baseline Consumption'!T84</f>
        <v>4.9310946117075982E-4</v>
      </c>
      <c r="F142" s="309">
        <f>'Baseline Consumption'!U84</f>
        <v>4.931094611706488E-4</v>
      </c>
      <c r="G142" s="309">
        <f>'Baseline Consumption'!V84</f>
        <v>4.931094611706488E-4</v>
      </c>
      <c r="H142" s="309">
        <f>'Baseline Consumption'!W84</f>
        <v>4.931094611706488E-4</v>
      </c>
      <c r="I142" s="309">
        <f>'Baseline Consumption'!X84</f>
        <v>4.931094611706488E-4</v>
      </c>
      <c r="J142" s="309">
        <f>'Baseline Consumption'!Y84</f>
        <v>4.931094611706488E-4</v>
      </c>
      <c r="K142" s="309">
        <f>'Baseline Consumption'!Z84</f>
        <v>4.931094611706488E-4</v>
      </c>
      <c r="L142" s="309">
        <f>'Baseline Consumption'!AA84</f>
        <v>4.931094611706488E-4</v>
      </c>
      <c r="M142" s="309">
        <f>'Baseline Consumption'!AB84</f>
        <v>4.931094611706488E-4</v>
      </c>
      <c r="N142" s="309">
        <f>'Baseline Consumption'!AC84</f>
        <v>4.931094611706488E-4</v>
      </c>
      <c r="O142" s="309">
        <f>'Baseline Consumption'!AD84</f>
        <v>4.931094611706488E-4</v>
      </c>
      <c r="P142" s="309">
        <f>'Baseline Consumption'!AE84</f>
        <v>4.931094611706488E-4</v>
      </c>
      <c r="Q142" s="309">
        <f>'Baseline Consumption'!AF84</f>
        <v>4.931094611706488E-4</v>
      </c>
      <c r="R142" s="309">
        <f>'Baseline Consumption'!AG84</f>
        <v>4.931094611706488E-4</v>
      </c>
      <c r="S142" s="309">
        <f>'Baseline Consumption'!AH84</f>
        <v>4.931094611706488E-4</v>
      </c>
      <c r="T142" s="309">
        <f>'Baseline Consumption'!AI84</f>
        <v>4.931094611706488E-4</v>
      </c>
      <c r="U142" s="309">
        <f>'Baseline Consumption'!AJ84</f>
        <v>4.931094611706488E-4</v>
      </c>
      <c r="V142" s="309">
        <f>'Baseline Consumption'!AK84</f>
        <v>4.931094611706488E-4</v>
      </c>
      <c r="W142" s="309">
        <f>'Baseline Consumption'!AL84</f>
        <v>4.931094611706488E-4</v>
      </c>
      <c r="X142" s="309">
        <f>'Baseline Consumption'!AM84</f>
        <v>4.931094611706488E-4</v>
      </c>
      <c r="Y142" s="309">
        <f>'Baseline Consumption'!AN84</f>
        <v>4.931094611706488E-4</v>
      </c>
      <c r="Z142" s="309">
        <f>'Baseline Consumption'!AO84</f>
        <v>4.931094611706488E-4</v>
      </c>
      <c r="AA142" s="309">
        <f>'Baseline Consumption'!AP84</f>
        <v>4.931094611706488E-4</v>
      </c>
      <c r="AB142" s="309">
        <f>'Baseline Consumption'!AQ84</f>
        <v>4.931094611706488E-4</v>
      </c>
      <c r="AC142" s="309">
        <f>'Baseline Consumption'!AR84</f>
        <v>4.931094611706488E-4</v>
      </c>
      <c r="AD142" s="309">
        <f>'Baseline Consumption'!AS84</f>
        <v>4.931094611706488E-4</v>
      </c>
      <c r="AE142" s="309">
        <f>'Baseline Consumption'!AT84</f>
        <v>4.931094611706488E-4</v>
      </c>
      <c r="AF142" s="309">
        <f>'Baseline Consumption'!AU84</f>
        <v>4.931094611706488E-4</v>
      </c>
    </row>
    <row r="143" spans="1:32" s="40" customFormat="1" ht="12.9" customHeight="1">
      <c r="A143" s="383" t="s">
        <v>361</v>
      </c>
      <c r="B143" s="318">
        <f t="shared" ref="B143:V143" si="63">1-SUM(B130:B142)</f>
        <v>0</v>
      </c>
      <c r="C143" s="318">
        <f t="shared" si="63"/>
        <v>0</v>
      </c>
      <c r="D143" s="318">
        <f t="shared" si="63"/>
        <v>0</v>
      </c>
      <c r="E143" s="318">
        <f t="shared" si="63"/>
        <v>0</v>
      </c>
      <c r="F143" s="318">
        <f t="shared" si="63"/>
        <v>0</v>
      </c>
      <c r="G143" s="318">
        <f t="shared" si="63"/>
        <v>0</v>
      </c>
      <c r="H143" s="318">
        <f t="shared" si="63"/>
        <v>0</v>
      </c>
      <c r="I143" s="318">
        <f t="shared" si="63"/>
        <v>0</v>
      </c>
      <c r="J143" s="318">
        <f t="shared" si="63"/>
        <v>0</v>
      </c>
      <c r="K143" s="318">
        <f t="shared" si="63"/>
        <v>0</v>
      </c>
      <c r="L143" s="318">
        <f t="shared" si="63"/>
        <v>0</v>
      </c>
      <c r="M143" s="318">
        <f t="shared" si="63"/>
        <v>0</v>
      </c>
      <c r="N143" s="318">
        <f t="shared" si="63"/>
        <v>0</v>
      </c>
      <c r="O143" s="318">
        <f t="shared" si="63"/>
        <v>0</v>
      </c>
      <c r="P143" s="318">
        <f t="shared" si="63"/>
        <v>0</v>
      </c>
      <c r="Q143" s="318">
        <f t="shared" si="63"/>
        <v>0</v>
      </c>
      <c r="R143" s="318">
        <f t="shared" si="63"/>
        <v>0</v>
      </c>
      <c r="S143" s="318">
        <f t="shared" si="63"/>
        <v>0</v>
      </c>
      <c r="T143" s="318">
        <f t="shared" si="63"/>
        <v>0</v>
      </c>
      <c r="U143" s="318">
        <f t="shared" si="63"/>
        <v>0</v>
      </c>
      <c r="V143" s="318">
        <f t="shared" si="63"/>
        <v>0</v>
      </c>
      <c r="W143" s="318">
        <f t="shared" ref="W143:AF143" si="64">1-SUM(W130:W142)</f>
        <v>0</v>
      </c>
      <c r="X143" s="318">
        <f t="shared" si="64"/>
        <v>0</v>
      </c>
      <c r="Y143" s="318">
        <f t="shared" si="64"/>
        <v>0</v>
      </c>
      <c r="Z143" s="318">
        <f t="shared" si="64"/>
        <v>0</v>
      </c>
      <c r="AA143" s="318">
        <f t="shared" si="64"/>
        <v>0</v>
      </c>
      <c r="AB143" s="318">
        <f t="shared" si="64"/>
        <v>0</v>
      </c>
      <c r="AC143" s="318">
        <f t="shared" si="64"/>
        <v>0</v>
      </c>
      <c r="AD143" s="318">
        <f t="shared" si="64"/>
        <v>0</v>
      </c>
      <c r="AE143" s="318">
        <f t="shared" si="64"/>
        <v>0</v>
      </c>
      <c r="AF143" s="318">
        <f t="shared" si="64"/>
        <v>0</v>
      </c>
    </row>
    <row r="144" spans="1:32" ht="12.9" customHeight="1">
      <c r="A144" s="396"/>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row>
    <row r="145" spans="1:32" ht="12.9" customHeight="1">
      <c r="A145" s="63" t="s">
        <v>1315</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row>
    <row r="146" spans="1:32" ht="12.9" customHeight="1">
      <c r="A146" s="383" t="s">
        <v>1316</v>
      </c>
      <c r="B146" s="313">
        <f>'Baseline Consumption'!Q69</f>
        <v>0.29961273463444821</v>
      </c>
      <c r="C146" s="313">
        <f>'Baseline Consumption'!R69</f>
        <v>0.29730729750256601</v>
      </c>
      <c r="D146" s="313">
        <f>'Baseline Consumption'!S69</f>
        <v>0.29493961982437561</v>
      </c>
      <c r="E146" s="313">
        <f>'Baseline Consumption'!T69</f>
        <v>0.29257811611118739</v>
      </c>
      <c r="F146" s="313">
        <f>'Baseline Consumption'!U69</f>
        <v>0.29022460830068803</v>
      </c>
      <c r="G146" s="313">
        <f>'Baseline Consumption'!V69</f>
        <v>0.28815215281626638</v>
      </c>
      <c r="H146" s="313">
        <f>'Baseline Consumption'!W69</f>
        <v>0.28621517424178916</v>
      </c>
      <c r="I146" s="313">
        <f>'Baseline Consumption'!X69</f>
        <v>0.28463166045604438</v>
      </c>
      <c r="J146" s="313">
        <f>'Baseline Consumption'!Y69</f>
        <v>0.28357682101942472</v>
      </c>
      <c r="K146" s="313">
        <f>'Baseline Consumption'!Z69</f>
        <v>0.2840305316468254</v>
      </c>
      <c r="L146" s="313">
        <f>'Baseline Consumption'!AA69</f>
        <v>0.28626306293150316</v>
      </c>
      <c r="M146" s="313">
        <f>'Baseline Consumption'!AB69</f>
        <v>0.28817032063530174</v>
      </c>
      <c r="N146" s="313">
        <f>'Baseline Consumption'!AC69</f>
        <v>0.29116937381498598</v>
      </c>
      <c r="O146" s="313">
        <f>'Baseline Consumption'!AD69</f>
        <v>0.29432204133525908</v>
      </c>
      <c r="P146" s="313">
        <f>'Baseline Consumption'!AE69</f>
        <v>0.29762295264554506</v>
      </c>
      <c r="Q146" s="313">
        <f>'Baseline Consumption'!AF69</f>
        <v>0.30111226856530598</v>
      </c>
      <c r="R146" s="313">
        <f>'Baseline Consumption'!AG69</f>
        <v>0.30368566249331819</v>
      </c>
      <c r="S146" s="313">
        <f>'Baseline Consumption'!AH69</f>
        <v>0.30670727939960452</v>
      </c>
      <c r="T146" s="313">
        <f>'Baseline Consumption'!AI69</f>
        <v>0.30972889630589123</v>
      </c>
      <c r="U146" s="313">
        <f>'Baseline Consumption'!AJ69</f>
        <v>0.31275051321217712</v>
      </c>
      <c r="V146" s="313">
        <f>'Baseline Consumption'!AK69</f>
        <v>0.31577213011846333</v>
      </c>
      <c r="W146" s="313">
        <f>'Baseline Consumption'!AL69</f>
        <v>0.31879374702474927</v>
      </c>
      <c r="X146" s="313">
        <f>'Baseline Consumption'!AM69</f>
        <v>0.32181536393103555</v>
      </c>
      <c r="Y146" s="313">
        <f>'Baseline Consumption'!AN69</f>
        <v>0.32483698083732182</v>
      </c>
      <c r="Z146" s="313">
        <f>'Baseline Consumption'!AO69</f>
        <v>0.32785859774360776</v>
      </c>
      <c r="AA146" s="313">
        <f>'Baseline Consumption'!AP69</f>
        <v>0.33088021464989442</v>
      </c>
      <c r="AB146" s="313">
        <f>'Baseline Consumption'!AQ69</f>
        <v>0.33390183155618075</v>
      </c>
      <c r="AC146" s="313">
        <f>'Baseline Consumption'!AR69</f>
        <v>0.33692344846246669</v>
      </c>
      <c r="AD146" s="313">
        <f>'Baseline Consumption'!AS69</f>
        <v>0.33994506536875291</v>
      </c>
      <c r="AE146" s="313">
        <f>'Baseline Consumption'!AT69</f>
        <v>0.34296668227503929</v>
      </c>
      <c r="AF146" s="313">
        <f>'Baseline Consumption'!AU69</f>
        <v>0.34598829918132512</v>
      </c>
    </row>
    <row r="147" spans="1:32" ht="12.9" customHeight="1">
      <c r="A147" s="383" t="s">
        <v>1317</v>
      </c>
      <c r="B147" s="313">
        <f>'Baseline Consumption'!Q86</f>
        <v>9.9688725224071698E-3</v>
      </c>
      <c r="C147" s="313">
        <f>'Baseline Consumption'!R86</f>
        <v>4.9844362612035849E-3</v>
      </c>
      <c r="D147" s="313">
        <f>'Baseline Consumption'!S86</f>
        <v>4.9844362612035849E-3</v>
      </c>
      <c r="E147" s="313">
        <f>'Baseline Consumption'!T86</f>
        <v>4.9844362612035849E-3</v>
      </c>
      <c r="F147" s="313">
        <f>'Baseline Consumption'!U86</f>
        <v>4.9844362612035849E-3</v>
      </c>
      <c r="G147" s="313">
        <f>'Baseline Consumption'!V86</f>
        <v>4.9844362612035849E-3</v>
      </c>
      <c r="H147" s="313">
        <f>'Baseline Consumption'!W86</f>
        <v>0</v>
      </c>
      <c r="I147" s="313">
        <f>'Baseline Consumption'!X86</f>
        <v>0</v>
      </c>
      <c r="J147" s="313">
        <f>'Baseline Consumption'!Y86</f>
        <v>0</v>
      </c>
      <c r="K147" s="313">
        <f>'Baseline Consumption'!Z86</f>
        <v>0</v>
      </c>
      <c r="L147" s="313">
        <f>'Baseline Consumption'!AA86</f>
        <v>0</v>
      </c>
      <c r="M147" s="313">
        <f>'Baseline Consumption'!AB86</f>
        <v>0</v>
      </c>
      <c r="N147" s="313">
        <f>'Baseline Consumption'!AC86</f>
        <v>0</v>
      </c>
      <c r="O147" s="313">
        <f>'Baseline Consumption'!AD86</f>
        <v>0</v>
      </c>
      <c r="P147" s="313">
        <f>'Baseline Consumption'!AE86</f>
        <v>0</v>
      </c>
      <c r="Q147" s="313">
        <f>'Baseline Consumption'!AF86</f>
        <v>0</v>
      </c>
      <c r="R147" s="313">
        <f>'Baseline Consumption'!AG86</f>
        <v>0</v>
      </c>
      <c r="S147" s="313">
        <f>'Baseline Consumption'!AH86</f>
        <v>0</v>
      </c>
      <c r="T147" s="313">
        <f>'Baseline Consumption'!AI86</f>
        <v>0</v>
      </c>
      <c r="U147" s="313">
        <f>'Baseline Consumption'!AJ86</f>
        <v>0</v>
      </c>
      <c r="V147" s="313">
        <f>'Baseline Consumption'!AK86</f>
        <v>0</v>
      </c>
      <c r="W147" s="313">
        <f>'Baseline Consumption'!AL86</f>
        <v>0</v>
      </c>
      <c r="X147" s="313">
        <f>'Baseline Consumption'!AM86</f>
        <v>0</v>
      </c>
      <c r="Y147" s="313">
        <f>'Baseline Consumption'!AN86</f>
        <v>0</v>
      </c>
      <c r="Z147" s="313">
        <f>'Baseline Consumption'!AO86</f>
        <v>0</v>
      </c>
      <c r="AA147" s="313">
        <f>'Baseline Consumption'!AP86</f>
        <v>0</v>
      </c>
      <c r="AB147" s="313">
        <f>'Baseline Consumption'!AQ86</f>
        <v>0</v>
      </c>
      <c r="AC147" s="313">
        <f>'Baseline Consumption'!AR86</f>
        <v>0</v>
      </c>
      <c r="AD147" s="313">
        <f>'Baseline Consumption'!AS86</f>
        <v>0</v>
      </c>
      <c r="AE147" s="313">
        <f>'Baseline Consumption'!AT86</f>
        <v>0</v>
      </c>
      <c r="AF147" s="313">
        <f>'Baseline Consumption'!AU86</f>
        <v>0</v>
      </c>
    </row>
    <row r="148" spans="1:32" ht="12.9" customHeight="1">
      <c r="A148" s="383" t="s">
        <v>1318</v>
      </c>
      <c r="B148" s="309">
        <f>B147/B146</f>
        <v>3.3272526064588012E-2</v>
      </c>
      <c r="C148" s="309">
        <f t="shared" ref="C148:AF148" si="65">C147/C146</f>
        <v>1.6765267126214973E-2</v>
      </c>
      <c r="D148" s="309">
        <f t="shared" si="65"/>
        <v>1.6899853143404781E-2</v>
      </c>
      <c r="E148" s="309">
        <f t="shared" si="65"/>
        <v>1.7036257965750822E-2</v>
      </c>
      <c r="F148" s="309">
        <f t="shared" si="65"/>
        <v>1.7174409469921468E-2</v>
      </c>
      <c r="G148" s="309">
        <f t="shared" si="65"/>
        <v>1.7297931708953069E-2</v>
      </c>
      <c r="H148" s="309">
        <f t="shared" si="65"/>
        <v>0</v>
      </c>
      <c r="I148" s="309">
        <f t="shared" si="65"/>
        <v>0</v>
      </c>
      <c r="J148" s="309">
        <f t="shared" si="65"/>
        <v>0</v>
      </c>
      <c r="K148" s="309">
        <f t="shared" si="65"/>
        <v>0</v>
      </c>
      <c r="L148" s="309">
        <f t="shared" si="65"/>
        <v>0</v>
      </c>
      <c r="M148" s="309">
        <f t="shared" si="65"/>
        <v>0</v>
      </c>
      <c r="N148" s="309">
        <f t="shared" si="65"/>
        <v>0</v>
      </c>
      <c r="O148" s="309">
        <f t="shared" si="65"/>
        <v>0</v>
      </c>
      <c r="P148" s="309">
        <f t="shared" si="65"/>
        <v>0</v>
      </c>
      <c r="Q148" s="309">
        <f t="shared" si="65"/>
        <v>0</v>
      </c>
      <c r="R148" s="309">
        <f t="shared" si="65"/>
        <v>0</v>
      </c>
      <c r="S148" s="309">
        <f t="shared" si="65"/>
        <v>0</v>
      </c>
      <c r="T148" s="309">
        <f t="shared" si="65"/>
        <v>0</v>
      </c>
      <c r="U148" s="309">
        <f t="shared" si="65"/>
        <v>0</v>
      </c>
      <c r="V148" s="309">
        <f t="shared" si="65"/>
        <v>0</v>
      </c>
      <c r="W148" s="309">
        <f t="shared" si="65"/>
        <v>0</v>
      </c>
      <c r="X148" s="309">
        <f t="shared" si="65"/>
        <v>0</v>
      </c>
      <c r="Y148" s="309">
        <f t="shared" si="65"/>
        <v>0</v>
      </c>
      <c r="Z148" s="309">
        <f t="shared" si="65"/>
        <v>0</v>
      </c>
      <c r="AA148" s="309">
        <f t="shared" si="65"/>
        <v>0</v>
      </c>
      <c r="AB148" s="309">
        <f t="shared" si="65"/>
        <v>0</v>
      </c>
      <c r="AC148" s="309">
        <f t="shared" si="65"/>
        <v>0</v>
      </c>
      <c r="AD148" s="309">
        <f t="shared" si="65"/>
        <v>0</v>
      </c>
      <c r="AE148" s="309">
        <f t="shared" si="65"/>
        <v>0</v>
      </c>
      <c r="AF148" s="309">
        <f t="shared" si="65"/>
        <v>0</v>
      </c>
    </row>
    <row r="149" spans="1:32" ht="12.9" customHeight="1">
      <c r="A149" s="383" t="s">
        <v>1319</v>
      </c>
      <c r="B149" s="309">
        <f>MAX(B130-B148,0)</f>
        <v>8.153072205379279E-2</v>
      </c>
      <c r="C149" s="309">
        <f t="shared" ref="C149:AF149" si="66">MAX(C130-C148,0)</f>
        <v>8.2640961050095149E-2</v>
      </c>
      <c r="D149" s="309">
        <f t="shared" si="66"/>
        <v>8.2506375032905338E-2</v>
      </c>
      <c r="E149" s="309">
        <f t="shared" si="66"/>
        <v>6.0914498497088201E-2</v>
      </c>
      <c r="F149" s="309">
        <f t="shared" si="66"/>
        <v>5.1173817571549512E-2</v>
      </c>
      <c r="G149" s="309">
        <f t="shared" si="66"/>
        <v>5.1050295332517912E-2</v>
      </c>
      <c r="H149" s="309">
        <f t="shared" si="66"/>
        <v>5.2630435850607171E-2</v>
      </c>
      <c r="I149" s="309">
        <f t="shared" si="66"/>
        <v>5.2630435850607171E-2</v>
      </c>
      <c r="J149" s="309">
        <f t="shared" si="66"/>
        <v>5.2630435850607171E-2</v>
      </c>
      <c r="K149" s="309">
        <f t="shared" si="66"/>
        <v>4.285407234915542E-2</v>
      </c>
      <c r="L149" s="309">
        <f t="shared" si="66"/>
        <v>4.285407234915542E-2</v>
      </c>
      <c r="M149" s="309">
        <f t="shared" si="66"/>
        <v>4.285407234915542E-2</v>
      </c>
      <c r="N149" s="309">
        <f t="shared" si="66"/>
        <v>4.285407234915542E-2</v>
      </c>
      <c r="O149" s="309">
        <f t="shared" si="66"/>
        <v>4.285407234915542E-2</v>
      </c>
      <c r="P149" s="309">
        <f t="shared" si="66"/>
        <v>4.285407234915542E-2</v>
      </c>
      <c r="Q149" s="309">
        <f t="shared" si="66"/>
        <v>4.285407234915542E-2</v>
      </c>
      <c r="R149" s="309">
        <f t="shared" si="66"/>
        <v>4.285407234915542E-2</v>
      </c>
      <c r="S149" s="309">
        <f t="shared" si="66"/>
        <v>4.285407234915542E-2</v>
      </c>
      <c r="T149" s="309">
        <f t="shared" si="66"/>
        <v>4.285407234915542E-2</v>
      </c>
      <c r="U149" s="309">
        <f t="shared" si="66"/>
        <v>4.285407234915542E-2</v>
      </c>
      <c r="V149" s="309">
        <f t="shared" si="66"/>
        <v>4.285407234915542E-2</v>
      </c>
      <c r="W149" s="309">
        <f t="shared" si="66"/>
        <v>4.285407234915542E-2</v>
      </c>
      <c r="X149" s="309">
        <f t="shared" si="66"/>
        <v>4.285407234915542E-2</v>
      </c>
      <c r="Y149" s="309">
        <f t="shared" si="66"/>
        <v>4.285407234915542E-2</v>
      </c>
      <c r="Z149" s="309">
        <f t="shared" si="66"/>
        <v>4.285407234915542E-2</v>
      </c>
      <c r="AA149" s="309">
        <f t="shared" si="66"/>
        <v>4.285407234915542E-2</v>
      </c>
      <c r="AB149" s="309">
        <f t="shared" si="66"/>
        <v>4.285407234915542E-2</v>
      </c>
      <c r="AC149" s="309">
        <f t="shared" si="66"/>
        <v>4.285407234915542E-2</v>
      </c>
      <c r="AD149" s="309">
        <f t="shared" si="66"/>
        <v>4.285407234915542E-2</v>
      </c>
      <c r="AE149" s="309">
        <f t="shared" si="66"/>
        <v>4.285407234915542E-2</v>
      </c>
      <c r="AF149" s="309">
        <f t="shared" si="66"/>
        <v>4.285407234915542E-2</v>
      </c>
    </row>
    <row r="150" spans="1:32" ht="12.9" customHeight="1">
      <c r="A150" s="396" t="s">
        <v>1292</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row>
    <row r="151" spans="1:32" ht="12.9" customHeight="1">
      <c r="A151" s="71" t="s">
        <v>2</v>
      </c>
      <c r="B151" s="309">
        <f>MAX('Price Change'!B47*ramps!C60,-1)</f>
        <v>-3.7406156761105556E-2</v>
      </c>
      <c r="C151" s="309">
        <f>MAX('Price Change'!C47*ramps!D60,-1)</f>
        <v>-9.4171855259747861E-2</v>
      </c>
      <c r="D151" s="309">
        <f>MAX('Price Change'!D47*ramps!E60,-1)</f>
        <v>-0.17426491763820431</v>
      </c>
      <c r="E151" s="309">
        <f>MAX('Price Change'!E47*ramps!F60,-1)</f>
        <v>-0.20727084896149162</v>
      </c>
      <c r="F151" s="309">
        <f>MAX('Price Change'!F47*ramps!G60,-1)</f>
        <v>-0.23951388132049245</v>
      </c>
      <c r="G151" s="309">
        <f>MAX('Price Change'!G47*ramps!H60,-1)</f>
        <v>-0.27120757305478588</v>
      </c>
      <c r="H151" s="309">
        <f>MAX('Price Change'!H47*ramps!I60,-1)</f>
        <v>-0.30343380506174639</v>
      </c>
      <c r="I151" s="309">
        <f>MAX('Price Change'!I47*ramps!J60,-1)</f>
        <v>-0.33500273643956124</v>
      </c>
      <c r="J151" s="309">
        <f>MAX('Price Change'!J47*ramps!K60,-1)</f>
        <v>-0.36796469513717023</v>
      </c>
      <c r="K151" s="309">
        <f>MAX('Price Change'!K47*ramps!L60,-1)</f>
        <v>-0.39840714460818316</v>
      </c>
      <c r="L151" s="309">
        <f>MAX('Price Change'!L47*ramps!M60,-1)</f>
        <v>-0.42889551027469686</v>
      </c>
      <c r="M151" s="309">
        <f>MAX('Price Change'!M47*ramps!N60,-1)</f>
        <v>-0.45975399700670466</v>
      </c>
      <c r="N151" s="309">
        <f>MAX('Price Change'!N47*ramps!O60,-1)</f>
        <v>-0.49169706710973049</v>
      </c>
      <c r="O151" s="309">
        <f>MAX('Price Change'!O47*ramps!P60,-1)</f>
        <v>-0.52242852311349064</v>
      </c>
      <c r="P151" s="309">
        <f>MAX('Price Change'!P47*ramps!Q60,-1)</f>
        <v>-0.53316668355684671</v>
      </c>
      <c r="Q151" s="309">
        <f>MAX('Price Change'!Q47*ramps!R60,-1)</f>
        <v>-0.53035821973474706</v>
      </c>
      <c r="R151" s="309">
        <f>MAX('Price Change'!R47*ramps!S60,-1)</f>
        <v>-0.52469745955563285</v>
      </c>
      <c r="S151" s="309">
        <f>MAX('Price Change'!S47*ramps!T60,-1)</f>
        <v>-0.52176883491829118</v>
      </c>
      <c r="T151" s="309">
        <f>MAX('Price Change'!T47*ramps!U60,-1)</f>
        <v>-0.51825800514339604</v>
      </c>
      <c r="U151" s="309">
        <f>MAX('Price Change'!U47*ramps!V60,-1)</f>
        <v>-0.51425177940890265</v>
      </c>
      <c r="V151" s="309">
        <f>MAX('Price Change'!V47*ramps!W60,-1)</f>
        <v>-0.51168522637775704</v>
      </c>
      <c r="W151" s="309">
        <f>MAX('Price Change'!W47*ramps!X60,-1)</f>
        <v>-0.51004514249594868</v>
      </c>
      <c r="X151" s="309">
        <f>MAX('Price Change'!X47*ramps!Y60,-1)</f>
        <v>-0.50798921668170072</v>
      </c>
      <c r="Y151" s="309">
        <f>MAX('Price Change'!Y47*ramps!Z60,-1)</f>
        <v>-0.50736064030091477</v>
      </c>
      <c r="Z151" s="309">
        <f>MAX('Price Change'!Z47*ramps!AA60,-1)</f>
        <v>-0.50707158715655676</v>
      </c>
      <c r="AA151" s="309">
        <f>MAX('Price Change'!AA47*ramps!AB60,-1)</f>
        <v>-0.5060614079600948</v>
      </c>
      <c r="AB151" s="309">
        <f>MAX('Price Change'!AB47*ramps!AC60,-1)</f>
        <v>-0.50563340755697161</v>
      </c>
      <c r="AC151" s="309">
        <f>MAX('Price Change'!AC47*ramps!AD60,-1)</f>
        <v>-0.50583586091020116</v>
      </c>
      <c r="AD151" s="309">
        <f>MAX('Price Change'!AD47*ramps!AE60,-1)</f>
        <v>-0.50498543807566743</v>
      </c>
      <c r="AE151" s="309">
        <f>MAX('Price Change'!AE47*ramps!AF60,-1)</f>
        <v>-0.50454936229649128</v>
      </c>
      <c r="AF151" s="309">
        <f>MAX('Price Change'!AF47*ramps!AG60,-1)</f>
        <v>-0.50386834680955028</v>
      </c>
    </row>
    <row r="152" spans="1:32" ht="12.9" customHeight="1">
      <c r="A152" s="71" t="s">
        <v>1</v>
      </c>
      <c r="B152" s="309">
        <f>MAX('Price Change'!B48*ramps!C59,-1)</f>
        <v>-8.7325890655770497E-3</v>
      </c>
      <c r="C152" s="309">
        <f>MAX('Price Change'!C48*ramps!D59,-1)</f>
        <v>-2.2730939896647064E-2</v>
      </c>
      <c r="D152" s="309">
        <f>MAX('Price Change'!D48*ramps!E59,-1)</f>
        <v>-4.1113835770403472E-2</v>
      </c>
      <c r="E152" s="309">
        <f>MAX('Price Change'!E48*ramps!F59,-1)</f>
        <v>-6.238292865240886E-2</v>
      </c>
      <c r="F152" s="309">
        <f>MAX('Price Change'!F48*ramps!G59,-1)</f>
        <v>-8.767909269343345E-2</v>
      </c>
      <c r="G152" s="309">
        <f>MAX('Price Change'!G48*ramps!H59,-1)</f>
        <v>-9.3186456653185964E-2</v>
      </c>
      <c r="H152" s="309">
        <f>MAX('Price Change'!H48*ramps!I59,-1)</f>
        <v>-0.10157663557343993</v>
      </c>
      <c r="I152" s="309">
        <f>MAX('Price Change'!I48*ramps!J59,-1)</f>
        <v>-0.11355460851213806</v>
      </c>
      <c r="J152" s="309">
        <f>MAX('Price Change'!J48*ramps!K59,-1)</f>
        <v>-0.12261939641627541</v>
      </c>
      <c r="K152" s="309">
        <f>MAX('Price Change'!K48*ramps!L59,-1)</f>
        <v>-0.13389006990702304</v>
      </c>
      <c r="L152" s="309">
        <f>MAX('Price Change'!L48*ramps!M59,-1)</f>
        <v>-0.14478892718043215</v>
      </c>
      <c r="M152" s="309">
        <f>MAX('Price Change'!M48*ramps!N59,-1)</f>
        <v>-0.15585103534529082</v>
      </c>
      <c r="N152" s="309">
        <f>MAX('Price Change'!N48*ramps!O59,-1)</f>
        <v>-0.16115593889011598</v>
      </c>
      <c r="O152" s="309">
        <f>MAX('Price Change'!O48*ramps!P59,-1)</f>
        <v>-0.16889150685745741</v>
      </c>
      <c r="P152" s="309">
        <f>MAX('Price Change'!P48*ramps!Q59,-1)</f>
        <v>-0.17014654056169271</v>
      </c>
      <c r="Q152" s="309">
        <f>MAX('Price Change'!Q48*ramps!R59,-1)</f>
        <v>-0.16790469154501947</v>
      </c>
      <c r="R152" s="309">
        <f>MAX('Price Change'!R48*ramps!S59,-1)</f>
        <v>-0.16636147378894878</v>
      </c>
      <c r="S152" s="309">
        <f>MAX('Price Change'!S48*ramps!T59,-1)</f>
        <v>-0.16600017448983129</v>
      </c>
      <c r="T152" s="309">
        <f>MAX('Price Change'!T48*ramps!U59,-1)</f>
        <v>-0.16457264762543677</v>
      </c>
      <c r="U152" s="309">
        <f>MAX('Price Change'!U48*ramps!V59,-1)</f>
        <v>-0.16358866523162938</v>
      </c>
      <c r="V152" s="309">
        <f>MAX('Price Change'!V48*ramps!W59,-1)</f>
        <v>-0.16038160003224364</v>
      </c>
      <c r="W152" s="309">
        <f>MAX('Price Change'!W48*ramps!X59,-1)</f>
        <v>-0.16081800748623368</v>
      </c>
      <c r="X152" s="309">
        <f>MAX('Price Change'!X48*ramps!Y59,-1)</f>
        <v>-0.15882842031316932</v>
      </c>
      <c r="Y152" s="309">
        <f>MAX('Price Change'!Y48*ramps!Z59,-1)</f>
        <v>-0.15661231566898776</v>
      </c>
      <c r="Z152" s="309">
        <f>MAX('Price Change'!Z48*ramps!AA59,-1)</f>
        <v>-0.15256300144361964</v>
      </c>
      <c r="AA152" s="309">
        <f>MAX('Price Change'!AA48*ramps!AB59,-1)</f>
        <v>-0.14935141159931911</v>
      </c>
      <c r="AB152" s="309">
        <f>MAX('Price Change'!AB48*ramps!AC59,-1)</f>
        <v>-0.14651206489287893</v>
      </c>
      <c r="AC152" s="309">
        <f>MAX('Price Change'!AC48*ramps!AD59,-1)</f>
        <v>-0.1434416881428483</v>
      </c>
      <c r="AD152" s="309">
        <f>MAX('Price Change'!AD48*ramps!AE59,-1)</f>
        <v>-0.13849850580769413</v>
      </c>
      <c r="AE152" s="309">
        <f>MAX('Price Change'!AE48*ramps!AF59,-1)</f>
        <v>-0.13563417755723381</v>
      </c>
      <c r="AF152" s="309">
        <f>MAX('Price Change'!AF48*ramps!AG59,-1)</f>
        <v>-0.13317397221803409</v>
      </c>
    </row>
    <row r="153" spans="1:32" ht="12.9" customHeight="1">
      <c r="A153" s="71" t="s">
        <v>406</v>
      </c>
      <c r="B153" s="309">
        <f>MAX('Price Change'!B49*ramps!C59,-1)</f>
        <v>-8.7325890655770497E-3</v>
      </c>
      <c r="C153" s="309">
        <f>MAX('Price Change'!C49*ramps!D59,-1)</f>
        <v>-2.2730939896647064E-2</v>
      </c>
      <c r="D153" s="309">
        <f>MAX('Price Change'!D49*ramps!E59,-1)</f>
        <v>-4.1113835770403472E-2</v>
      </c>
      <c r="E153" s="309">
        <f>MAX('Price Change'!E49*ramps!F59,-1)</f>
        <v>-6.238292865240886E-2</v>
      </c>
      <c r="F153" s="309">
        <f>MAX('Price Change'!F49*ramps!G59,-1)</f>
        <v>-8.767909269343345E-2</v>
      </c>
      <c r="G153" s="309">
        <f>MAX('Price Change'!G49*ramps!H59,-1)</f>
        <v>-9.3186456653185964E-2</v>
      </c>
      <c r="H153" s="309">
        <f>MAX('Price Change'!H49*ramps!I59,-1)</f>
        <v>-0.10157663557343993</v>
      </c>
      <c r="I153" s="309">
        <f>MAX('Price Change'!I49*ramps!J59,-1)</f>
        <v>-0.11355460851213806</v>
      </c>
      <c r="J153" s="309">
        <f>MAX('Price Change'!J49*ramps!K59,-1)</f>
        <v>-0.12261939641627541</v>
      </c>
      <c r="K153" s="309">
        <f>MAX('Price Change'!K49*ramps!L59,-1)</f>
        <v>-0.13389006990702304</v>
      </c>
      <c r="L153" s="309">
        <f>MAX('Price Change'!L49*ramps!M59,-1)</f>
        <v>-0.14478892718043215</v>
      </c>
      <c r="M153" s="309">
        <f>MAX('Price Change'!M49*ramps!N59,-1)</f>
        <v>-0.15585103534529082</v>
      </c>
      <c r="N153" s="309">
        <f>MAX('Price Change'!N49*ramps!O59,-1)</f>
        <v>-0.16115593889011598</v>
      </c>
      <c r="O153" s="309">
        <f>MAX('Price Change'!O49*ramps!P59,-1)</f>
        <v>-0.16889150685745741</v>
      </c>
      <c r="P153" s="309">
        <f>MAX('Price Change'!P49*ramps!Q59,-1)</f>
        <v>-0.17014654056169271</v>
      </c>
      <c r="Q153" s="309">
        <f>MAX('Price Change'!Q49*ramps!R59,-1)</f>
        <v>-0.16790469154501947</v>
      </c>
      <c r="R153" s="309">
        <f>MAX('Price Change'!R49*ramps!S59,-1)</f>
        <v>-0.16636147378894878</v>
      </c>
      <c r="S153" s="309">
        <f>MAX('Price Change'!S49*ramps!T59,-1)</f>
        <v>-0.16600017448983129</v>
      </c>
      <c r="T153" s="309">
        <f>MAX('Price Change'!T49*ramps!U59,-1)</f>
        <v>-0.16457264762543677</v>
      </c>
      <c r="U153" s="309">
        <f>MAX('Price Change'!U49*ramps!V59,-1)</f>
        <v>-0.16358866523162938</v>
      </c>
      <c r="V153" s="309">
        <f>MAX('Price Change'!V49*ramps!W59,-1)</f>
        <v>-0.16038160003224364</v>
      </c>
      <c r="W153" s="309">
        <f>MAX('Price Change'!W49*ramps!X59,-1)</f>
        <v>-0.16081800748623368</v>
      </c>
      <c r="X153" s="309">
        <f>MAX('Price Change'!X49*ramps!Y59,-1)</f>
        <v>-0.15882842031316932</v>
      </c>
      <c r="Y153" s="309">
        <f>MAX('Price Change'!Y49*ramps!Z59,-1)</f>
        <v>-0.15661231566898776</v>
      </c>
      <c r="Z153" s="309">
        <f>MAX('Price Change'!Z49*ramps!AA59,-1)</f>
        <v>-0.15256300144361964</v>
      </c>
      <c r="AA153" s="309">
        <f>MAX('Price Change'!AA49*ramps!AB59,-1)</f>
        <v>-0.14935141159931911</v>
      </c>
      <c r="AB153" s="309">
        <f>MAX('Price Change'!AB49*ramps!AC59,-1)</f>
        <v>-0.14651206489287893</v>
      </c>
      <c r="AC153" s="309">
        <f>MAX('Price Change'!AC49*ramps!AD59,-1)</f>
        <v>-0.1434416881428483</v>
      </c>
      <c r="AD153" s="309">
        <f>MAX('Price Change'!AD49*ramps!AE59,-1)</f>
        <v>-0.13849850580769413</v>
      </c>
      <c r="AE153" s="309">
        <f>MAX('Price Change'!AE49*ramps!AF59,-1)</f>
        <v>-0.13563417755723381</v>
      </c>
      <c r="AF153" s="309">
        <f>MAX('Price Change'!AF49*ramps!AG59,-1)</f>
        <v>-0.13317397221803409</v>
      </c>
    </row>
    <row r="154" spans="1:32" ht="12.9" customHeight="1">
      <c r="A154" s="71" t="s">
        <v>247</v>
      </c>
      <c r="B154" s="309">
        <f>MAX('Price Change'!B50*ramps!C52,-1)</f>
        <v>-6.7595108935966271E-3</v>
      </c>
      <c r="C154" s="309">
        <f>MAX('Price Change'!C50*ramps!D52,-1)</f>
        <v>-1.8153004130574399E-2</v>
      </c>
      <c r="D154" s="309">
        <f>MAX('Price Change'!D50*ramps!E52,-1)</f>
        <v>-3.5074856275249144E-2</v>
      </c>
      <c r="E154" s="309">
        <f>MAX('Price Change'!E50*ramps!F52,-1)</f>
        <v>-4.2634304044249366E-2</v>
      </c>
      <c r="F154" s="309">
        <f>MAX('Price Change'!F50*ramps!G52,-1)</f>
        <v>-4.9807632026117057E-2</v>
      </c>
      <c r="G154" s="309">
        <f>MAX('Price Change'!G50*ramps!H52,-1)</f>
        <v>-5.5627233656339481E-2</v>
      </c>
      <c r="H154" s="309">
        <f>MAX('Price Change'!H50*ramps!I52,-1)</f>
        <v>-6.091261488075822E-2</v>
      </c>
      <c r="I154" s="309">
        <f>MAX('Price Change'!I50*ramps!J52,-1)</f>
        <v>-6.5478471045288866E-2</v>
      </c>
      <c r="J154" s="309">
        <f>MAX('Price Change'!J50*ramps!K52,-1)</f>
        <v>-7.1196098971337177E-2</v>
      </c>
      <c r="K154" s="309">
        <f>MAX('Price Change'!K50*ramps!L52,-1)</f>
        <v>-7.5531895781723424E-2</v>
      </c>
      <c r="L154" s="309">
        <f>MAX('Price Change'!L50*ramps!M52,-1)</f>
        <v>-8.1309133318122048E-2</v>
      </c>
      <c r="M154" s="309">
        <f>MAX('Price Change'!M50*ramps!N52,-1)</f>
        <v>-8.6584836032134516E-2</v>
      </c>
      <c r="N154" s="309">
        <f>MAX('Price Change'!N50*ramps!O52,-1)</f>
        <v>-9.1346153846153855E-2</v>
      </c>
      <c r="O154" s="309">
        <f>MAX('Price Change'!O50*ramps!P52,-1)</f>
        <v>-9.6240809442036043E-2</v>
      </c>
      <c r="P154" s="309">
        <f>MAX('Price Change'!P50*ramps!Q52,-1)</f>
        <v>-9.7988424238304117E-2</v>
      </c>
      <c r="Q154" s="309">
        <f>MAX('Price Change'!Q50*ramps!R52,-1)</f>
        <v>-9.7019501881452211E-2</v>
      </c>
      <c r="R154" s="309">
        <f>MAX('Price Change'!R50*ramps!S52,-1)</f>
        <v>-9.5654597329615274E-2</v>
      </c>
      <c r="S154" s="309">
        <f>MAX('Price Change'!S50*ramps!T52,-1)</f>
        <v>-9.5807163689248701E-2</v>
      </c>
      <c r="T154" s="309">
        <f>MAX('Price Change'!T50*ramps!U52,-1)</f>
        <v>-9.5128056107671916E-2</v>
      </c>
      <c r="U154" s="309">
        <f>MAX('Price Change'!U50*ramps!V52,-1)</f>
        <v>-9.4444749962487209E-2</v>
      </c>
      <c r="V154" s="309">
        <f>MAX('Price Change'!V50*ramps!W52,-1)</f>
        <v>-9.4036046561983833E-2</v>
      </c>
      <c r="W154" s="309">
        <f>MAX('Price Change'!W50*ramps!X52,-1)</f>
        <v>-9.3713455735725509E-2</v>
      </c>
      <c r="X154" s="309">
        <f>MAX('Price Change'!X50*ramps!Y52,-1)</f>
        <v>-9.2692450780399727E-2</v>
      </c>
      <c r="Y154" s="309">
        <f>MAX('Price Change'!Y50*ramps!Z52,-1)</f>
        <v>-9.2510842596405657E-2</v>
      </c>
      <c r="Z154" s="309">
        <f>MAX('Price Change'!Z50*ramps!AA52,-1)</f>
        <v>-9.262768983067235E-2</v>
      </c>
      <c r="AA154" s="309">
        <f>MAX('Price Change'!AA50*ramps!AB52,-1)</f>
        <v>-9.2383598264587072E-2</v>
      </c>
      <c r="AB154" s="309">
        <f>MAX('Price Change'!AB50*ramps!AC52,-1)</f>
        <v>-9.2305801929131348E-2</v>
      </c>
      <c r="AC154" s="309">
        <f>MAX('Price Change'!AC50*ramps!AD52,-1)</f>
        <v>-9.2257368893777475E-2</v>
      </c>
      <c r="AD154" s="309">
        <f>MAX('Price Change'!AD50*ramps!AE52,-1)</f>
        <v>-9.2034208826044461E-2</v>
      </c>
      <c r="AE154" s="309">
        <f>MAX('Price Change'!AE50*ramps!AF52,-1)</f>
        <v>-9.2230404063181157E-2</v>
      </c>
      <c r="AF154" s="309">
        <f>MAX('Price Change'!AF50*ramps!AG52,-1)</f>
        <v>-9.2311895583446851E-2</v>
      </c>
    </row>
    <row r="155" spans="1:32" ht="12.9" customHeight="1">
      <c r="A155" s="396" t="s">
        <v>1301</v>
      </c>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c r="AF155" s="309"/>
    </row>
    <row r="156" spans="1:32" ht="12.9" customHeight="1">
      <c r="A156" s="71" t="s">
        <v>2</v>
      </c>
      <c r="B156" s="309">
        <f t="shared" ref="B156:AF156" si="67">B148+B149*(1+B151)</f>
        <v>0.1117534971483905</v>
      </c>
      <c r="C156" s="309">
        <f t="shared" si="67"/>
        <v>9.1623775553774087E-2</v>
      </c>
      <c r="D156" s="309">
        <f t="shared" si="67"/>
        <v>8.502826152657407E-2</v>
      </c>
      <c r="E156" s="309">
        <f t="shared" si="67"/>
        <v>6.5324956645284052E-2</v>
      </c>
      <c r="F156" s="309">
        <f t="shared" si="67"/>
        <v>5.6091387372922338E-2</v>
      </c>
      <c r="G156" s="309">
        <f t="shared" si="67"/>
        <v>5.4503000340608732E-2</v>
      </c>
      <c r="H156" s="309">
        <f t="shared" si="67"/>
        <v>3.6660582438399286E-2</v>
      </c>
      <c r="I156" s="309">
        <f t="shared" si="67"/>
        <v>3.4999095820646982E-2</v>
      </c>
      <c r="J156" s="309">
        <f t="shared" si="67"/>
        <v>3.3264293567902108E-2</v>
      </c>
      <c r="K156" s="309">
        <f t="shared" si="67"/>
        <v>2.5780703749695912E-2</v>
      </c>
      <c r="L156" s="309">
        <f t="shared" si="67"/>
        <v>2.4474153121615629E-2</v>
      </c>
      <c r="M156" s="309">
        <f t="shared" si="67"/>
        <v>2.3151741298616715E-2</v>
      </c>
      <c r="N156" s="309">
        <f t="shared" si="67"/>
        <v>2.1782850661367502E-2</v>
      </c>
      <c r="O156" s="309">
        <f t="shared" si="67"/>
        <v>2.0465882622387476E-2</v>
      </c>
      <c r="P156" s="309">
        <f t="shared" si="67"/>
        <v>2.0005708717851057E-2</v>
      </c>
      <c r="Q156" s="309">
        <f t="shared" si="67"/>
        <v>2.0126062829673302E-2</v>
      </c>
      <c r="R156" s="309">
        <f t="shared" si="67"/>
        <v>2.0368649455940281E-2</v>
      </c>
      <c r="S156" s="309">
        <f t="shared" si="67"/>
        <v>2.0494152948032439E-2</v>
      </c>
      <c r="T156" s="309">
        <f t="shared" si="67"/>
        <v>2.0644606301211364E-2</v>
      </c>
      <c r="U156" s="309">
        <f t="shared" si="67"/>
        <v>2.0816289388684392E-2</v>
      </c>
      <c r="V156" s="309">
        <f t="shared" si="67"/>
        <v>2.092627663796905E-2</v>
      </c>
      <c r="W156" s="309">
        <f t="shared" si="67"/>
        <v>2.0996560911298749E-2</v>
      </c>
      <c r="X156" s="309">
        <f t="shared" si="67"/>
        <v>2.108466570488703E-2</v>
      </c>
      <c r="Y156" s="309">
        <f t="shared" si="67"/>
        <v>2.1111602762586199E-2</v>
      </c>
      <c r="Z156" s="309">
        <f t="shared" si="67"/>
        <v>2.1123989866947267E-2</v>
      </c>
      <c r="AA156" s="309">
        <f t="shared" si="67"/>
        <v>2.1167280159318062E-2</v>
      </c>
      <c r="AB156" s="309">
        <f t="shared" si="67"/>
        <v>2.118562171955897E-2</v>
      </c>
      <c r="AC156" s="309">
        <f t="shared" si="67"/>
        <v>2.1176945768912343E-2</v>
      </c>
      <c r="AD156" s="309">
        <f t="shared" si="67"/>
        <v>2.1213389850590823E-2</v>
      </c>
      <c r="AE156" s="309">
        <f t="shared" si="67"/>
        <v>2.1232077473581353E-2</v>
      </c>
      <c r="AF156" s="309">
        <f t="shared" si="67"/>
        <v>2.1261261760529618E-2</v>
      </c>
    </row>
    <row r="157" spans="1:32" ht="12.9" customHeight="1">
      <c r="A157" s="71" t="s">
        <v>1</v>
      </c>
      <c r="B157" s="309">
        <f t="shared" ref="B157:AF157" si="68">B131*(1+B152)</f>
        <v>6.5565368932281765E-2</v>
      </c>
      <c r="C157" s="309">
        <f t="shared" si="68"/>
        <v>7.49059404578266E-2</v>
      </c>
      <c r="D157" s="309">
        <f t="shared" si="68"/>
        <v>7.3496924087640483E-2</v>
      </c>
      <c r="E157" s="309">
        <f t="shared" si="68"/>
        <v>8.5592358586763104E-2</v>
      </c>
      <c r="F157" s="309">
        <f t="shared" si="68"/>
        <v>8.9212215445796661E-2</v>
      </c>
      <c r="G157" s="309">
        <f t="shared" si="68"/>
        <v>8.8673672334287371E-2</v>
      </c>
      <c r="H157" s="309">
        <f t="shared" si="68"/>
        <v>9.6895140834246829E-2</v>
      </c>
      <c r="I157" s="309">
        <f t="shared" si="68"/>
        <v>9.5603314039932843E-2</v>
      </c>
      <c r="J157" s="309">
        <f t="shared" si="68"/>
        <v>9.4625674838436147E-2</v>
      </c>
      <c r="K157" s="309">
        <f t="shared" si="68"/>
        <v>9.8831862020610547E-2</v>
      </c>
      <c r="L157" s="309">
        <f t="shared" si="68"/>
        <v>9.7588192688575215E-2</v>
      </c>
      <c r="M157" s="309">
        <f t="shared" si="68"/>
        <v>9.6325894786403576E-2</v>
      </c>
      <c r="N157" s="309">
        <f t="shared" si="68"/>
        <v>9.5720551888281491E-2</v>
      </c>
      <c r="O157" s="309">
        <f t="shared" si="68"/>
        <v>9.4837845710421045E-2</v>
      </c>
      <c r="P157" s="309">
        <f t="shared" si="68"/>
        <v>9.46946337305343E-2</v>
      </c>
      <c r="Q157" s="309">
        <f t="shared" si="68"/>
        <v>9.4950451271689953E-2</v>
      </c>
      <c r="R157" s="309">
        <f t="shared" si="68"/>
        <v>9.5126547952996188E-2</v>
      </c>
      <c r="S157" s="309">
        <f t="shared" si="68"/>
        <v>9.516777584017061E-2</v>
      </c>
      <c r="T157" s="309">
        <f t="shared" si="68"/>
        <v>9.5330671026093952E-2</v>
      </c>
      <c r="U157" s="309">
        <f t="shared" si="68"/>
        <v>9.5442953322828553E-2</v>
      </c>
      <c r="V157" s="309">
        <f t="shared" si="68"/>
        <v>9.5808911747116296E-2</v>
      </c>
      <c r="W157" s="309">
        <f t="shared" si="68"/>
        <v>9.5759113263368542E-2</v>
      </c>
      <c r="X157" s="309">
        <f t="shared" si="68"/>
        <v>9.5986145188686797E-2</v>
      </c>
      <c r="Y157" s="309">
        <f t="shared" si="68"/>
        <v>9.6239025037776468E-2</v>
      </c>
      <c r="Z157" s="309">
        <f t="shared" si="68"/>
        <v>9.6701092554721715E-2</v>
      </c>
      <c r="AA157" s="309">
        <f t="shared" si="68"/>
        <v>9.7067567286543158E-2</v>
      </c>
      <c r="AB157" s="309">
        <f t="shared" si="68"/>
        <v>9.739156532901963E-2</v>
      </c>
      <c r="AC157" s="309">
        <f t="shared" si="68"/>
        <v>9.7741926225214118E-2</v>
      </c>
      <c r="AD157" s="309">
        <f t="shared" si="68"/>
        <v>9.8305993091920327E-2</v>
      </c>
      <c r="AE157" s="309">
        <f t="shared" si="68"/>
        <v>9.8632841780054908E-2</v>
      </c>
      <c r="AF157" s="309">
        <f t="shared" si="68"/>
        <v>9.8913575975770759E-2</v>
      </c>
    </row>
    <row r="158" spans="1:32" ht="12.9" customHeight="1">
      <c r="A158" s="71" t="s">
        <v>406</v>
      </c>
      <c r="B158" s="309">
        <f t="shared" ref="B158:AF158" si="69">B132*(1+B153)</f>
        <v>9.2990873950548787E-3</v>
      </c>
      <c r="C158" s="309">
        <f t="shared" si="69"/>
        <v>9.1677687555748906E-3</v>
      </c>
      <c r="D158" s="309">
        <f t="shared" si="69"/>
        <v>8.9953186644908777E-3</v>
      </c>
      <c r="E158" s="309">
        <f t="shared" si="69"/>
        <v>8.7957931365237399E-3</v>
      </c>
      <c r="F158" s="309">
        <f t="shared" si="69"/>
        <v>8.5584896222728381E-3</v>
      </c>
      <c r="G158" s="309">
        <f t="shared" si="69"/>
        <v>8.5068249975578606E-3</v>
      </c>
      <c r="H158" s="309">
        <f t="shared" si="69"/>
        <v>8.4281166629763347E-3</v>
      </c>
      <c r="I158" s="309">
        <f t="shared" si="69"/>
        <v>8.3157512044291209E-3</v>
      </c>
      <c r="J158" s="309">
        <f t="shared" si="69"/>
        <v>8.2307143576525795E-3</v>
      </c>
      <c r="K158" s="309">
        <f t="shared" si="69"/>
        <v>8.1249840808014593E-3</v>
      </c>
      <c r="L158" s="309">
        <f t="shared" si="69"/>
        <v>8.0227418148158119E-3</v>
      </c>
      <c r="M158" s="309">
        <f t="shared" si="69"/>
        <v>7.9189680909307475E-3</v>
      </c>
      <c r="N158" s="309">
        <f t="shared" si="69"/>
        <v>7.8692027489639781E-3</v>
      </c>
      <c r="O158" s="309">
        <f t="shared" si="69"/>
        <v>7.7966353248913097E-3</v>
      </c>
      <c r="P158" s="309">
        <f t="shared" si="69"/>
        <v>7.7848618438198184E-3</v>
      </c>
      <c r="Q158" s="309">
        <f t="shared" si="69"/>
        <v>7.8058926471152781E-3</v>
      </c>
      <c r="R158" s="309">
        <f t="shared" si="69"/>
        <v>7.820369585048479E-3</v>
      </c>
      <c r="S158" s="309">
        <f t="shared" si="69"/>
        <v>7.8237589366212286E-3</v>
      </c>
      <c r="T158" s="309">
        <f t="shared" si="69"/>
        <v>7.837150577387748E-3</v>
      </c>
      <c r="U158" s="309">
        <f t="shared" si="69"/>
        <v>7.8463813239797158E-3</v>
      </c>
      <c r="V158" s="309">
        <f t="shared" si="69"/>
        <v>7.8764668278929473E-3</v>
      </c>
      <c r="W158" s="309">
        <f t="shared" si="69"/>
        <v>7.8723728861273441E-3</v>
      </c>
      <c r="X158" s="309">
        <f t="shared" si="69"/>
        <v>7.8910372190796035E-3</v>
      </c>
      <c r="Y158" s="309">
        <f t="shared" si="69"/>
        <v>7.9118265142138055E-3</v>
      </c>
      <c r="Z158" s="309">
        <f t="shared" si="69"/>
        <v>7.9498131628783081E-3</v>
      </c>
      <c r="AA158" s="309">
        <f t="shared" si="69"/>
        <v>7.9799411125211495E-3</v>
      </c>
      <c r="AB158" s="309">
        <f t="shared" si="69"/>
        <v>8.0065770463537342E-3</v>
      </c>
      <c r="AC158" s="309">
        <f t="shared" si="69"/>
        <v>8.0353802748462013E-3</v>
      </c>
      <c r="AD158" s="309">
        <f t="shared" si="69"/>
        <v>8.0817523072939934E-3</v>
      </c>
      <c r="AE158" s="309">
        <f t="shared" si="69"/>
        <v>8.1086225931879339E-3</v>
      </c>
      <c r="AF158" s="309">
        <f t="shared" si="69"/>
        <v>8.1317017988660808E-3</v>
      </c>
    </row>
    <row r="159" spans="1:32" ht="12.9" customHeight="1">
      <c r="A159" s="71" t="s">
        <v>247</v>
      </c>
      <c r="B159" s="309">
        <f t="shared" ref="B159:AF159" si="70">B133*(1+B154)</f>
        <v>7.3496052785943043E-4</v>
      </c>
      <c r="C159" s="309">
        <f t="shared" si="70"/>
        <v>7.2652977227158106E-4</v>
      </c>
      <c r="D159" s="309">
        <f t="shared" si="70"/>
        <v>7.1400823944945595E-4</v>
      </c>
      <c r="E159" s="309">
        <f t="shared" si="70"/>
        <v>7.0841453300719381E-4</v>
      </c>
      <c r="F159" s="309">
        <f t="shared" si="70"/>
        <v>7.0310654065500373E-4</v>
      </c>
      <c r="G159" s="309">
        <f t="shared" si="70"/>
        <v>6.988002547826588E-4</v>
      </c>
      <c r="H159" s="309">
        <f t="shared" si="70"/>
        <v>6.9488927187646261E-4</v>
      </c>
      <c r="I159" s="309">
        <f t="shared" si="70"/>
        <v>6.9151071039652047E-4</v>
      </c>
      <c r="J159" s="309">
        <f t="shared" si="70"/>
        <v>6.8727988122199409E-4</v>
      </c>
      <c r="K159" s="309">
        <f t="shared" si="70"/>
        <v>6.8407155499344927E-4</v>
      </c>
      <c r="L159" s="309">
        <f t="shared" si="70"/>
        <v>6.7979661695388054E-4</v>
      </c>
      <c r="M159" s="309">
        <f t="shared" si="70"/>
        <v>6.7589279578061316E-4</v>
      </c>
      <c r="N159" s="309">
        <f t="shared" si="70"/>
        <v>6.7236960004677185E-4</v>
      </c>
      <c r="O159" s="309">
        <f t="shared" si="70"/>
        <v>6.6874773937969801E-4</v>
      </c>
      <c r="P159" s="309">
        <f t="shared" si="70"/>
        <v>6.6745457029602953E-4</v>
      </c>
      <c r="Q159" s="309">
        <f t="shared" si="70"/>
        <v>6.6817153632254276E-4</v>
      </c>
      <c r="R159" s="309">
        <f t="shared" si="70"/>
        <v>6.6918151424923643E-4</v>
      </c>
      <c r="S159" s="309">
        <f t="shared" si="70"/>
        <v>6.6906862089315632E-4</v>
      </c>
      <c r="T159" s="309">
        <f t="shared" si="70"/>
        <v>6.695711349087479E-4</v>
      </c>
      <c r="U159" s="309">
        <f t="shared" si="70"/>
        <v>6.7007675570317042E-4</v>
      </c>
      <c r="V159" s="309">
        <f t="shared" si="70"/>
        <v>6.7037918081598688E-4</v>
      </c>
      <c r="W159" s="309">
        <f t="shared" si="70"/>
        <v>6.7061788586934487E-4</v>
      </c>
      <c r="X159" s="309">
        <f t="shared" si="70"/>
        <v>6.7137339105579621E-4</v>
      </c>
      <c r="Y159" s="309">
        <f t="shared" si="70"/>
        <v>6.7150777426735044E-4</v>
      </c>
      <c r="Z159" s="309">
        <f t="shared" si="70"/>
        <v>6.7142131171782945E-4</v>
      </c>
      <c r="AA159" s="309">
        <f t="shared" si="70"/>
        <v>6.7160193027720528E-4</v>
      </c>
      <c r="AB159" s="309">
        <f t="shared" si="70"/>
        <v>6.7165949663338905E-4</v>
      </c>
      <c r="AC159" s="309">
        <f t="shared" si="70"/>
        <v>6.7169533525416616E-4</v>
      </c>
      <c r="AD159" s="309">
        <f t="shared" si="70"/>
        <v>6.7186046529364512E-4</v>
      </c>
      <c r="AE159" s="309">
        <f t="shared" si="70"/>
        <v>6.7171528821253427E-4</v>
      </c>
      <c r="AF159" s="309">
        <f t="shared" si="70"/>
        <v>6.716549875588583E-4</v>
      </c>
    </row>
    <row r="160" spans="1:32" ht="12.9" customHeight="1">
      <c r="A160" s="396" t="s">
        <v>1313</v>
      </c>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row>
    <row r="161" spans="1:39" ht="12.9" customHeight="1">
      <c r="A161" s="71" t="s">
        <v>2</v>
      </c>
      <c r="B161" s="309">
        <f>IF(ramps!C100&gt;0,parameters!$B45-parameters!$B58*ramps!C100,1)</f>
        <v>1</v>
      </c>
      <c r="C161" s="309">
        <f>IF(ramps!D100&gt;0,parameters!$B45-parameters!$B58*ramps!D100,1)</f>
        <v>9.5669373431984006E-2</v>
      </c>
      <c r="D161" s="309">
        <f>IF(ramps!E100&gt;0,parameters!$B45-parameters!$B58*ramps!E100,1)</f>
        <v>7.653549874558721E-2</v>
      </c>
      <c r="E161" s="309">
        <f>IF(ramps!F100&gt;0,parameters!$B45-parameters!$B58*ramps!F100,1)</f>
        <v>5.7401624059190401E-2</v>
      </c>
      <c r="F161" s="309">
        <f>IF(ramps!G100&gt;0,parameters!$B45-parameters!$B58*ramps!G100,1)</f>
        <v>3.8267749372793605E-2</v>
      </c>
      <c r="G161" s="309">
        <f>IF(ramps!H100&gt;0,parameters!$B45-parameters!$B58*ramps!H100,1)</f>
        <v>1.9133874686396796E-2</v>
      </c>
      <c r="H161" s="309">
        <f>IF(ramps!I100&gt;0,parameters!$B45-parameters!$B58*ramps!I100,1)</f>
        <v>0</v>
      </c>
      <c r="I161" s="309">
        <f>IF(ramps!J100&gt;0,parameters!$B45-parameters!$B58*ramps!J100,1)</f>
        <v>0</v>
      </c>
      <c r="J161" s="309">
        <f>IF(ramps!K100&gt;0,parameters!$B45-parameters!$B58*ramps!K100,1)</f>
        <v>0</v>
      </c>
      <c r="K161" s="309">
        <f>IF(ramps!L100&gt;0,parameters!$B45-parameters!$B58*ramps!L100,1)</f>
        <v>0</v>
      </c>
      <c r="L161" s="309">
        <f>IF(ramps!M100&gt;0,parameters!$B45-parameters!$B58*ramps!M100,1)</f>
        <v>0</v>
      </c>
      <c r="M161" s="309">
        <f>IF(ramps!N100&gt;0,parameters!$B45-parameters!$B58*ramps!N100,1)</f>
        <v>0</v>
      </c>
      <c r="N161" s="309">
        <f>IF(ramps!O100&gt;0,parameters!$B45-parameters!$B58*ramps!O100,1)</f>
        <v>0</v>
      </c>
      <c r="O161" s="309">
        <f>IF(ramps!P100&gt;0,parameters!$B45-parameters!$B58*ramps!P100,1)</f>
        <v>0</v>
      </c>
      <c r="P161" s="309">
        <f>IF(ramps!Q100&gt;0,parameters!$B45-parameters!$B58*ramps!Q100,1)</f>
        <v>0</v>
      </c>
      <c r="Q161" s="309">
        <f>IF(ramps!R100&gt;0,parameters!$B45-parameters!$B58*ramps!R100,1)</f>
        <v>0</v>
      </c>
      <c r="R161" s="309">
        <f>IF(ramps!S100&gt;0,parameters!$B45-parameters!$B58*ramps!S100,1)</f>
        <v>0</v>
      </c>
      <c r="S161" s="309">
        <f>IF(ramps!T100&gt;0,parameters!$B45-parameters!$B58*ramps!T100,1)</f>
        <v>0</v>
      </c>
      <c r="T161" s="309">
        <f>IF(ramps!U100&gt;0,parameters!$B45-parameters!$B58*ramps!U100,1)</f>
        <v>0</v>
      </c>
      <c r="U161" s="309">
        <f>IF(ramps!V100&gt;0,parameters!$B45-parameters!$B58*ramps!V100,1)</f>
        <v>0</v>
      </c>
      <c r="V161" s="309">
        <f>IF(ramps!W100&gt;0,parameters!$B45-parameters!$B58*ramps!W100,1)</f>
        <v>0</v>
      </c>
      <c r="W161" s="309">
        <f>IF(ramps!X100&gt;0,parameters!$B45-parameters!$B58*ramps!X100,1)</f>
        <v>0</v>
      </c>
      <c r="X161" s="309">
        <f>IF(ramps!Y100&gt;0,parameters!$B45-parameters!$B58*ramps!Y100,1)</f>
        <v>0</v>
      </c>
      <c r="Y161" s="309">
        <f>IF(ramps!Z100&gt;0,parameters!$B45-parameters!$B58*ramps!Z100,1)</f>
        <v>0</v>
      </c>
      <c r="Z161" s="309">
        <f>IF(ramps!AA100&gt;0,parameters!$B45-parameters!$B58*ramps!AA100,1)</f>
        <v>0</v>
      </c>
      <c r="AA161" s="309">
        <f>IF(ramps!AB100&gt;0,parameters!$B45-parameters!$B58*ramps!AB100,1)</f>
        <v>0</v>
      </c>
      <c r="AB161" s="309">
        <f>IF(ramps!AC100&gt;0,parameters!$B45-parameters!$B58*ramps!AC100,1)</f>
        <v>0</v>
      </c>
      <c r="AC161" s="309">
        <f>IF(ramps!AD100&gt;0,parameters!$B45-parameters!$B58*ramps!AD100,1)</f>
        <v>0</v>
      </c>
      <c r="AD161" s="309">
        <f>IF(ramps!AE100&gt;0,parameters!$B45-parameters!$B58*ramps!AE100,1)</f>
        <v>0</v>
      </c>
      <c r="AE161" s="309">
        <f>IF(ramps!AF100&gt;0,parameters!$B45-parameters!$B58*ramps!AF100,1)</f>
        <v>0</v>
      </c>
      <c r="AF161" s="309">
        <f>IF(ramps!AG100&gt;0,parameters!$B45-parameters!$B58*ramps!AG100,1)</f>
        <v>0</v>
      </c>
    </row>
    <row r="162" spans="1:39" ht="12.9" customHeight="1">
      <c r="A162" s="71" t="s">
        <v>1</v>
      </c>
      <c r="B162" s="309">
        <f>IF(ramps!C101&gt;0,parameters!$B46-parameters!$B59*ramps!C101,1)</f>
        <v>1</v>
      </c>
      <c r="C162" s="309">
        <f>IF(ramps!D101&gt;0,parameters!$B46-parameters!$B59*ramps!D101,1)</f>
        <v>1</v>
      </c>
      <c r="D162" s="309">
        <f>IF(ramps!E101&gt;0,parameters!$B46-parameters!$B59*ramps!E101,1)</f>
        <v>1</v>
      </c>
      <c r="E162" s="309">
        <f>IF(ramps!F101&gt;0,parameters!$B46-parameters!$B59*ramps!F101,1)</f>
        <v>1</v>
      </c>
      <c r="F162" s="309">
        <f>IF(ramps!G101&gt;0,parameters!$B46-parameters!$B59*ramps!G101,1)</f>
        <v>1</v>
      </c>
      <c r="G162" s="309">
        <f>IF(ramps!H101&gt;0,parameters!$B46-parameters!$B59*ramps!H101,1)</f>
        <v>1</v>
      </c>
      <c r="H162" s="309">
        <f>IF(ramps!I101&gt;0,parameters!$B46-parameters!$B59*ramps!I101,1)</f>
        <v>1</v>
      </c>
      <c r="I162" s="309">
        <f>IF(ramps!J101&gt;0,parameters!$B46-parameters!$B59*ramps!J101,1)</f>
        <v>1</v>
      </c>
      <c r="J162" s="309">
        <f>IF(ramps!K101&gt;0,parameters!$B46-parameters!$B59*ramps!K101,1)</f>
        <v>1</v>
      </c>
      <c r="K162" s="309">
        <f>IF(ramps!L101&gt;0,parameters!$B46-parameters!$B59*ramps!L101,1)</f>
        <v>1</v>
      </c>
      <c r="L162" s="309">
        <f>IF(ramps!M101&gt;0,parameters!$B46-parameters!$B59*ramps!M101,1)</f>
        <v>0.10697818766998304</v>
      </c>
      <c r="M162" s="309">
        <f>IF(ramps!N101&gt;0,parameters!$B46-parameters!$B59*ramps!N101,1)</f>
        <v>9.984630849198417E-2</v>
      </c>
      <c r="N162" s="309">
        <f>IF(ramps!O101&gt;0,parameters!$B46-parameters!$B59*ramps!O101,1)</f>
        <v>9.2714429313985311E-2</v>
      </c>
      <c r="O162" s="309">
        <f>IF(ramps!P101&gt;0,parameters!$B46-parameters!$B59*ramps!P101,1)</f>
        <v>8.5582550135986438E-2</v>
      </c>
      <c r="P162" s="309">
        <f>IF(ramps!Q101&gt;0,parameters!$B46-parameters!$B59*ramps!Q101,1)</f>
        <v>7.8450670957987564E-2</v>
      </c>
      <c r="Q162" s="309">
        <f>IF(ramps!R101&gt;0,parameters!$B46-parameters!$B59*ramps!R101,1)</f>
        <v>7.1318791779988705E-2</v>
      </c>
      <c r="R162" s="309">
        <f>IF(ramps!S101&gt;0,parameters!$B46-parameters!$B59*ramps!S101,1)</f>
        <v>6.4186912601989832E-2</v>
      </c>
      <c r="S162" s="309">
        <f>IF(ramps!T101&gt;0,parameters!$B46-parameters!$B59*ramps!T101,1)</f>
        <v>5.7055033423990958E-2</v>
      </c>
      <c r="T162" s="309">
        <f>IF(ramps!U101&gt;0,parameters!$B46-parameters!$B59*ramps!U101,1)</f>
        <v>4.9923154245992085E-2</v>
      </c>
      <c r="U162" s="309">
        <f>IF(ramps!V101&gt;0,parameters!$B46-parameters!$B59*ramps!V101,1)</f>
        <v>4.2791275067993212E-2</v>
      </c>
      <c r="V162" s="309">
        <f>IF(ramps!W101&gt;0,parameters!$B46-parameters!$B59*ramps!W101,1)</f>
        <v>3.5659395889994353E-2</v>
      </c>
      <c r="W162" s="309">
        <f>IF(ramps!X101&gt;0,parameters!$B46-parameters!$B59*ramps!X101,1)</f>
        <v>2.8527516711995479E-2</v>
      </c>
      <c r="X162" s="309">
        <f>IF(ramps!Y101&gt;0,parameters!$B46-parameters!$B59*ramps!Y101,1)</f>
        <v>2.1395637533996606E-2</v>
      </c>
      <c r="Y162" s="309">
        <f>IF(ramps!Z101&gt;0,parameters!$B46-parameters!$B59*ramps!Z101,1)</f>
        <v>1.4263758355997747E-2</v>
      </c>
      <c r="Z162" s="309">
        <f>IF(ramps!AA101&gt;0,parameters!$B46-parameters!$B59*ramps!AA101,1)</f>
        <v>7.1318791779988733E-3</v>
      </c>
      <c r="AA162" s="309">
        <f>IF(ramps!AB101&gt;0,parameters!$B46-parameters!$B59*ramps!AB101,1)</f>
        <v>0</v>
      </c>
      <c r="AB162" s="309">
        <f>IF(ramps!AC101&gt;0,parameters!$B46-parameters!$B59*ramps!AC101,1)</f>
        <v>0</v>
      </c>
      <c r="AC162" s="309">
        <f>IF(ramps!AD101&gt;0,parameters!$B46-parameters!$B59*ramps!AD101,1)</f>
        <v>0</v>
      </c>
      <c r="AD162" s="309">
        <f>IF(ramps!AE101&gt;0,parameters!$B46-parameters!$B59*ramps!AE101,1)</f>
        <v>0</v>
      </c>
      <c r="AE162" s="309">
        <f>IF(ramps!AF101&gt;0,parameters!$B46-parameters!$B59*ramps!AF101,1)</f>
        <v>0</v>
      </c>
      <c r="AF162" s="309">
        <f>IF(ramps!AG101&gt;0,parameters!$B46-parameters!$B59*ramps!AG101,1)</f>
        <v>0</v>
      </c>
    </row>
    <row r="163" spans="1:39" ht="12.9" customHeight="1">
      <c r="A163" s="71" t="s">
        <v>406</v>
      </c>
      <c r="B163" s="309">
        <f>IF(ramps!C101&gt;0,parameters!$B46-parameters!$B60*ramps!C101,1)</f>
        <v>1</v>
      </c>
      <c r="C163" s="309">
        <f>IF(ramps!D101&gt;0,parameters!$B47-parameters!$B60*ramps!D101,1)</f>
        <v>1</v>
      </c>
      <c r="D163" s="309">
        <f>IF(ramps!E101&gt;0,parameters!$B47-parameters!$B60*ramps!E101,1)</f>
        <v>1</v>
      </c>
      <c r="E163" s="309">
        <f>IF(ramps!F101&gt;0,parameters!$B47-parameters!$B60*ramps!F101,1)</f>
        <v>1</v>
      </c>
      <c r="F163" s="309">
        <f>IF(ramps!G101&gt;0,parameters!$B47-parameters!$B60*ramps!G101,1)</f>
        <v>1</v>
      </c>
      <c r="G163" s="309">
        <f>IF(ramps!H101&gt;0,parameters!$B47-parameters!$B60*ramps!H101,1)</f>
        <v>1</v>
      </c>
      <c r="H163" s="309">
        <f>IF(ramps!I101&gt;0,parameters!$B47-parameters!$B60*ramps!I101,1)</f>
        <v>1</v>
      </c>
      <c r="I163" s="309">
        <f>IF(ramps!J101&gt;0,parameters!$B47-parameters!$B60*ramps!J101,1)</f>
        <v>1</v>
      </c>
      <c r="J163" s="309">
        <f>IF(ramps!K101&gt;0,parameters!$B47-parameters!$B60*ramps!K101,1)</f>
        <v>1</v>
      </c>
      <c r="K163" s="309">
        <f>IF(ramps!L101&gt;0,parameters!$B47-parameters!$B60*ramps!L101,1)</f>
        <v>1</v>
      </c>
      <c r="L163" s="309">
        <f>IF(ramps!M101&gt;0,parameters!$B47-parameters!$B60*ramps!M101,1)</f>
        <v>8.7946948892892434E-3</v>
      </c>
      <c r="M163" s="309">
        <f>IF(ramps!N101&gt;0,parameters!$B47-parameters!$B60*ramps!N101,1)</f>
        <v>8.2083818966699595E-3</v>
      </c>
      <c r="N163" s="309">
        <f>IF(ramps!O101&gt;0,parameters!$B47-parameters!$B60*ramps!O101,1)</f>
        <v>7.6220689040506773E-3</v>
      </c>
      <c r="O163" s="309">
        <f>IF(ramps!P101&gt;0,parameters!$B47-parameters!$B60*ramps!P101,1)</f>
        <v>7.0357559114313942E-3</v>
      </c>
      <c r="P163" s="309">
        <f>IF(ramps!Q101&gt;0,parameters!$B47-parameters!$B60*ramps!Q101,1)</f>
        <v>6.4494429188121111E-3</v>
      </c>
      <c r="Q163" s="309">
        <f>IF(ramps!R101&gt;0,parameters!$B47-parameters!$B60*ramps!R101,1)</f>
        <v>5.8631299261928289E-3</v>
      </c>
      <c r="R163" s="309">
        <f>IF(ramps!S101&gt;0,parameters!$B47-parameters!$B60*ramps!S101,1)</f>
        <v>5.2768169335735459E-3</v>
      </c>
      <c r="S163" s="309">
        <f>IF(ramps!T101&gt;0,parameters!$B47-parameters!$B60*ramps!T101,1)</f>
        <v>4.6905039409542628E-3</v>
      </c>
      <c r="T163" s="309">
        <f>IF(ramps!U101&gt;0,parameters!$B47-parameters!$B60*ramps!U101,1)</f>
        <v>4.1041909483349797E-3</v>
      </c>
      <c r="U163" s="309">
        <f>IF(ramps!V101&gt;0,parameters!$B47-parameters!$B60*ramps!V101,1)</f>
        <v>3.5178779557156967E-3</v>
      </c>
      <c r="V163" s="309">
        <f>IF(ramps!W101&gt;0,parameters!$B47-parameters!$B60*ramps!W101,1)</f>
        <v>2.9315649630964145E-3</v>
      </c>
      <c r="W163" s="309">
        <f>IF(ramps!X101&gt;0,parameters!$B47-parameters!$B60*ramps!X101,1)</f>
        <v>2.3452519704771314E-3</v>
      </c>
      <c r="X163" s="309">
        <f>IF(ramps!Y101&gt;0,parameters!$B47-parameters!$B60*ramps!Y101,1)</f>
        <v>1.7589389778578483E-3</v>
      </c>
      <c r="Y163" s="309">
        <f>IF(ramps!Z101&gt;0,parameters!$B47-parameters!$B60*ramps!Z101,1)</f>
        <v>1.1726259852385661E-3</v>
      </c>
      <c r="Z163" s="309">
        <f>IF(ramps!AA101&gt;0,parameters!$B47-parameters!$B60*ramps!AA101,1)</f>
        <v>5.863129926192822E-4</v>
      </c>
      <c r="AA163" s="309">
        <f>IF(ramps!AB101&gt;0,parameters!$B47-parameters!$B60*ramps!AB101,1)</f>
        <v>0</v>
      </c>
      <c r="AB163" s="309">
        <f>IF(ramps!AC101&gt;0,parameters!$B47-parameters!$B60*ramps!AC101,1)</f>
        <v>0</v>
      </c>
      <c r="AC163" s="309">
        <f>IF(ramps!AD101&gt;0,parameters!$B47-parameters!$B60*ramps!AD101,1)</f>
        <v>0</v>
      </c>
      <c r="AD163" s="309">
        <f>IF(ramps!AE101&gt;0,parameters!$B47-parameters!$B60*ramps!AE101,1)</f>
        <v>0</v>
      </c>
      <c r="AE163" s="309">
        <f>IF(ramps!AF101&gt;0,parameters!$B47-parameters!$B60*ramps!AF101,1)</f>
        <v>0</v>
      </c>
      <c r="AF163" s="309">
        <f>IF(ramps!AG101&gt;0,parameters!$B47-parameters!$B60*ramps!AG101,1)</f>
        <v>0</v>
      </c>
    </row>
    <row r="164" spans="1:39" ht="12.9" customHeight="1">
      <c r="A164" s="71" t="s">
        <v>247</v>
      </c>
      <c r="B164" s="309">
        <f>IF(ramps!C102&gt;0,parameters!$B47-parameters!$B61*ramps!C102,1)</f>
        <v>1</v>
      </c>
      <c r="C164" s="309">
        <f>IF(ramps!D102&gt;0,parameters!$B48-parameters!$B61*ramps!D102,1)</f>
        <v>1</v>
      </c>
      <c r="D164" s="309">
        <f>IF(ramps!E102&gt;0,parameters!$B48-parameters!$B61*ramps!E102,1)</f>
        <v>1</v>
      </c>
      <c r="E164" s="309">
        <f>IF(ramps!F102&gt;0,parameters!$B48-parameters!$B61*ramps!F102,1)</f>
        <v>1</v>
      </c>
      <c r="F164" s="309">
        <f>IF(ramps!G102&gt;0,parameters!$B48-parameters!$B61*ramps!G102,1)</f>
        <v>1</v>
      </c>
      <c r="G164" s="309">
        <f>IF(ramps!H102&gt;0,parameters!$B48-parameters!$B61*ramps!H102,1)</f>
        <v>1</v>
      </c>
      <c r="H164" s="309">
        <f>IF(ramps!I102&gt;0,parameters!$B48-parameters!$B61*ramps!I102,1)</f>
        <v>7.0296419560445563E-4</v>
      </c>
      <c r="I164" s="309">
        <f>IF(ramps!J102&gt;0,parameters!$B48-parameters!$B61*ramps!J102,1)</f>
        <v>6.6596608004632638E-4</v>
      </c>
      <c r="J164" s="309">
        <f>IF(ramps!K102&gt;0,parameters!$B48-parameters!$B61*ramps!K102,1)</f>
        <v>6.2896796448819712E-4</v>
      </c>
      <c r="K164" s="309">
        <f>IF(ramps!L102&gt;0,parameters!$B48-parameters!$B61*ramps!L102,1)</f>
        <v>5.9196984893006787E-4</v>
      </c>
      <c r="L164" s="309">
        <f>IF(ramps!M102&gt;0,parameters!$B48-parameters!$B61*ramps!M102,1)</f>
        <v>5.5497173337193872E-4</v>
      </c>
      <c r="M164" s="309">
        <f>IF(ramps!N102&gt;0,parameters!$B48-parameters!$B61*ramps!N102,1)</f>
        <v>5.1797361781380947E-4</v>
      </c>
      <c r="N164" s="309">
        <f>IF(ramps!O102&gt;0,parameters!$B48-parameters!$B61*ramps!O102,1)</f>
        <v>4.8097550225568021E-4</v>
      </c>
      <c r="O164" s="309">
        <f>IF(ramps!P102&gt;0,parameters!$B48-parameters!$B61*ramps!P102,1)</f>
        <v>4.439773866975509E-4</v>
      </c>
      <c r="P164" s="309">
        <f>IF(ramps!Q102&gt;0,parameters!$B48-parameters!$B61*ramps!Q102,1)</f>
        <v>4.069792711394217E-4</v>
      </c>
      <c r="Q164" s="309">
        <f>IF(ramps!R102&gt;0,parameters!$B48-parameters!$B61*ramps!R102,1)</f>
        <v>3.6998115558129244E-4</v>
      </c>
      <c r="R164" s="309">
        <f>IF(ramps!S102&gt;0,parameters!$B48-parameters!$B61*ramps!S102,1)</f>
        <v>3.3298304002316319E-4</v>
      </c>
      <c r="S164" s="309">
        <f>IF(ramps!T102&gt;0,parameters!$B48-parameters!$B61*ramps!T102,1)</f>
        <v>2.9598492446503399E-4</v>
      </c>
      <c r="T164" s="309">
        <f>IF(ramps!U102&gt;0,parameters!$B48-parameters!$B61*ramps!U102,1)</f>
        <v>2.5898680890690468E-4</v>
      </c>
      <c r="U164" s="309">
        <f>IF(ramps!V102&gt;0,parameters!$B48-parameters!$B61*ramps!V102,1)</f>
        <v>2.2198869334877553E-4</v>
      </c>
      <c r="V164" s="309">
        <f>IF(ramps!W102&gt;0,parameters!$B48-parameters!$B61*ramps!W102,1)</f>
        <v>1.8499057779064617E-4</v>
      </c>
      <c r="W164" s="309">
        <f>IF(ramps!X102&gt;0,parameters!$B48-parameters!$B61*ramps!X102,1)</f>
        <v>1.4799246223251691E-4</v>
      </c>
      <c r="X164" s="309">
        <f>IF(ramps!Y102&gt;0,parameters!$B48-parameters!$B61*ramps!Y102,1)</f>
        <v>1.1099434667438777E-4</v>
      </c>
      <c r="Y164" s="309">
        <f>IF(ramps!Z102&gt;0,parameters!$B48-parameters!$B61*ramps!Z102,1)</f>
        <v>7.3996231116258511E-5</v>
      </c>
      <c r="Z164" s="309">
        <f>IF(ramps!AA102&gt;0,parameters!$B48-parameters!$B61*ramps!AA102,1)</f>
        <v>3.6998115558129255E-5</v>
      </c>
      <c r="AA164" s="309">
        <f>IF(ramps!AB102&gt;0,parameters!$B48-parameters!$B61*ramps!AB102,1)</f>
        <v>0</v>
      </c>
      <c r="AB164" s="309">
        <f>IF(ramps!AC102&gt;0,parameters!$B48-parameters!$B61*ramps!AC102,1)</f>
        <v>0</v>
      </c>
      <c r="AC164" s="309">
        <f>IF(ramps!AD102&gt;0,parameters!$B48-parameters!$B61*ramps!AD102,1)</f>
        <v>0</v>
      </c>
      <c r="AD164" s="309">
        <f>IF(ramps!AE102&gt;0,parameters!$B48-parameters!$B61*ramps!AE102,1)</f>
        <v>0</v>
      </c>
      <c r="AE164" s="309">
        <f>IF(ramps!AF102&gt;0,parameters!$B48-parameters!$B61*ramps!AF102,1)</f>
        <v>0</v>
      </c>
      <c r="AF164" s="309">
        <f>IF(ramps!AG102&gt;0,parameters!$B48-parameters!$B61*ramps!AG102,1)</f>
        <v>0</v>
      </c>
    </row>
    <row r="165" spans="1:39" ht="12.9" customHeight="1">
      <c r="A165" s="280"/>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310"/>
      <c r="AE165" s="310"/>
      <c r="AF165" s="310"/>
    </row>
    <row r="166" spans="1:39" ht="12.9" customHeight="1">
      <c r="A166" s="280" t="s">
        <v>1270</v>
      </c>
      <c r="B166" s="310"/>
      <c r="C166" s="310"/>
      <c r="D166" s="310"/>
      <c r="E166" s="310"/>
      <c r="F166" s="310"/>
      <c r="G166" s="310"/>
      <c r="H166" s="310"/>
      <c r="I166" s="310"/>
      <c r="J166" s="310"/>
      <c r="K166" s="310"/>
      <c r="L166" s="310"/>
      <c r="M166" s="310"/>
      <c r="N166" s="310"/>
      <c r="O166" s="310"/>
      <c r="P166" s="310"/>
      <c r="Q166" s="310"/>
      <c r="R166" s="310"/>
      <c r="S166" s="310"/>
      <c r="T166" s="310"/>
      <c r="U166" s="310"/>
      <c r="V166" s="310"/>
      <c r="W166" s="310"/>
      <c r="X166" s="310"/>
      <c r="Y166" s="310"/>
      <c r="Z166" s="310"/>
      <c r="AA166" s="310"/>
      <c r="AB166" s="310"/>
      <c r="AC166" s="310"/>
      <c r="AD166" s="310"/>
      <c r="AE166" s="310"/>
      <c r="AF166" s="310"/>
    </row>
    <row r="167" spans="1:39" ht="12.9" customHeight="1">
      <c r="A167" s="71" t="s">
        <v>1269</v>
      </c>
      <c r="B167" s="309">
        <f t="shared" ref="B167:AF167" si="71">SUM(B130:B133)</f>
        <v>0.19106718660542241</v>
      </c>
      <c r="C167" s="309">
        <f t="shared" si="71"/>
        <v>0.18617542506132703</v>
      </c>
      <c r="D167" s="309">
        <f t="shared" si="71"/>
        <v>0.18617542506132703</v>
      </c>
      <c r="E167" s="309">
        <f t="shared" si="71"/>
        <v>0.17935884290235965</v>
      </c>
      <c r="F167" s="309">
        <f t="shared" si="71"/>
        <v>0.17625520074637296</v>
      </c>
      <c r="G167" s="309">
        <f t="shared" si="71"/>
        <v>0.17625520074637296</v>
      </c>
      <c r="H167" s="309">
        <f t="shared" si="71"/>
        <v>0.17060160748639391</v>
      </c>
      <c r="I167" s="309">
        <f t="shared" si="71"/>
        <v>0.17060160748639391</v>
      </c>
      <c r="J167" s="309">
        <f t="shared" si="71"/>
        <v>0.17060160748639391</v>
      </c>
      <c r="K167" s="309">
        <f t="shared" si="71"/>
        <v>0.16708510939020843</v>
      </c>
      <c r="L167" s="309">
        <f t="shared" si="71"/>
        <v>0.16708510939020843</v>
      </c>
      <c r="M167" s="309">
        <f t="shared" si="71"/>
        <v>0.16708510939020843</v>
      </c>
      <c r="N167" s="309">
        <f t="shared" si="71"/>
        <v>0.16708510939020843</v>
      </c>
      <c r="O167" s="309">
        <f t="shared" si="71"/>
        <v>0.16708510939020843</v>
      </c>
      <c r="P167" s="309">
        <f t="shared" si="71"/>
        <v>0.16708510939020843</v>
      </c>
      <c r="Q167" s="309">
        <f t="shared" si="71"/>
        <v>0.16708510939020843</v>
      </c>
      <c r="R167" s="309">
        <f t="shared" si="71"/>
        <v>0.16708510939020843</v>
      </c>
      <c r="S167" s="309">
        <f t="shared" si="71"/>
        <v>0.16708510939020843</v>
      </c>
      <c r="T167" s="309">
        <f t="shared" si="71"/>
        <v>0.16708510939020843</v>
      </c>
      <c r="U167" s="309">
        <f t="shared" si="71"/>
        <v>0.16708510939020843</v>
      </c>
      <c r="V167" s="309">
        <f t="shared" si="71"/>
        <v>0.16708510939020843</v>
      </c>
      <c r="W167" s="309">
        <f t="shared" si="71"/>
        <v>0.16708510939020843</v>
      </c>
      <c r="X167" s="309">
        <f t="shared" si="71"/>
        <v>0.16708510939020843</v>
      </c>
      <c r="Y167" s="309">
        <f t="shared" si="71"/>
        <v>0.16708510939020843</v>
      </c>
      <c r="Z167" s="309">
        <f t="shared" si="71"/>
        <v>0.16708510939020843</v>
      </c>
      <c r="AA167" s="309">
        <f t="shared" si="71"/>
        <v>0.16708510939020843</v>
      </c>
      <c r="AB167" s="309">
        <f t="shared" si="71"/>
        <v>0.16708510939020843</v>
      </c>
      <c r="AC167" s="309">
        <f t="shared" si="71"/>
        <v>0.16708510939020843</v>
      </c>
      <c r="AD167" s="309">
        <f t="shared" si="71"/>
        <v>0.16708510939020843</v>
      </c>
      <c r="AE167" s="309">
        <f t="shared" si="71"/>
        <v>0.16708510939020843</v>
      </c>
      <c r="AF167" s="309">
        <f t="shared" si="71"/>
        <v>0.16708510939020843</v>
      </c>
    </row>
    <row r="168" spans="1:39" ht="12.9" customHeight="1">
      <c r="A168" s="71" t="s">
        <v>1291</v>
      </c>
      <c r="B168" s="309">
        <f>SUM(B172:B175)</f>
        <v>0.18735291400358658</v>
      </c>
      <c r="C168" s="309">
        <f t="shared" ref="C168:AF168" si="72">SUM(C172:C175)</f>
        <v>0.17642401453944717</v>
      </c>
      <c r="D168" s="309">
        <f t="shared" si="72"/>
        <v>0.15974174973716804</v>
      </c>
      <c r="E168" s="309">
        <f t="shared" si="72"/>
        <v>0.15249819031548442</v>
      </c>
      <c r="F168" s="309">
        <f t="shared" si="72"/>
        <v>0.1367415609815181</v>
      </c>
      <c r="G168" s="309">
        <f t="shared" si="72"/>
        <v>0.11701317227302468</v>
      </c>
      <c r="H168" s="309">
        <f t="shared" si="72"/>
        <v>0.10601814676909962</v>
      </c>
      <c r="I168" s="309">
        <f t="shared" si="72"/>
        <v>0.10458503132440829</v>
      </c>
      <c r="J168" s="309">
        <f t="shared" si="72"/>
        <v>0.10348535716057691</v>
      </c>
      <c r="K168" s="309">
        <f t="shared" si="72"/>
        <v>0.10754881595034207</v>
      </c>
      <c r="L168" s="309">
        <f t="shared" si="72"/>
        <v>0.10616590623676296</v>
      </c>
      <c r="M168" s="309">
        <f t="shared" si="72"/>
        <v>0.10476283649514813</v>
      </c>
      <c r="N168" s="309">
        <f t="shared" si="72"/>
        <v>0.10081747372029166</v>
      </c>
      <c r="O168" s="309">
        <f>SUM(O172:O175)</f>
        <v>9.3062283434115378E-2</v>
      </c>
      <c r="P168" s="309">
        <f t="shared" si="72"/>
        <v>8.5307093147939092E-2</v>
      </c>
      <c r="Q168" s="309">
        <f t="shared" si="72"/>
        <v>7.755190286176282E-2</v>
      </c>
      <c r="R168" s="309">
        <f t="shared" si="72"/>
        <v>6.9796712575586534E-2</v>
      </c>
      <c r="S168" s="309">
        <f t="shared" si="72"/>
        <v>6.2041522289410254E-2</v>
      </c>
      <c r="T168" s="309">
        <f t="shared" si="72"/>
        <v>5.4286332003233968E-2</v>
      </c>
      <c r="U168" s="309">
        <f t="shared" si="72"/>
        <v>4.6531141717057682E-2</v>
      </c>
      <c r="V168" s="309">
        <f t="shared" si="72"/>
        <v>3.877595143088141E-2</v>
      </c>
      <c r="W168" s="309">
        <f t="shared" si="72"/>
        <v>3.1020761144705127E-2</v>
      </c>
      <c r="X168" s="309">
        <f t="shared" si="72"/>
        <v>2.3265570858528841E-2</v>
      </c>
      <c r="Y168" s="309">
        <f t="shared" si="72"/>
        <v>1.5510380572352571E-2</v>
      </c>
      <c r="Z168" s="309">
        <f t="shared" si="72"/>
        <v>7.7551902861762844E-3</v>
      </c>
      <c r="AA168" s="309">
        <f t="shared" si="72"/>
        <v>0</v>
      </c>
      <c r="AB168" s="309">
        <f t="shared" si="72"/>
        <v>0</v>
      </c>
      <c r="AC168" s="309">
        <f t="shared" si="72"/>
        <v>0</v>
      </c>
      <c r="AD168" s="309">
        <f t="shared" si="72"/>
        <v>0</v>
      </c>
      <c r="AE168" s="309">
        <f t="shared" si="72"/>
        <v>0</v>
      </c>
      <c r="AF168" s="309">
        <f t="shared" si="72"/>
        <v>0</v>
      </c>
    </row>
    <row r="169" spans="1:39" ht="12.9" customHeight="1">
      <c r="A169" s="71" t="s">
        <v>1290</v>
      </c>
      <c r="B169" s="309">
        <f>B167-B168</f>
        <v>3.7142726018358219E-3</v>
      </c>
      <c r="C169" s="309">
        <f t="shared" ref="C169:AF169" si="73">C167-C168</f>
        <v>9.7514105218798608E-3</v>
      </c>
      <c r="D169" s="309">
        <f t="shared" si="73"/>
        <v>2.6433675324158995E-2</v>
      </c>
      <c r="E169" s="309">
        <f t="shared" si="73"/>
        <v>2.6860652586875228E-2</v>
      </c>
      <c r="F169" s="309">
        <f t="shared" si="73"/>
        <v>3.9513639764854863E-2</v>
      </c>
      <c r="G169" s="309">
        <f t="shared" si="73"/>
        <v>5.9242028473348279E-2</v>
      </c>
      <c r="H169" s="309">
        <f t="shared" si="73"/>
        <v>6.4583460717294289E-2</v>
      </c>
      <c r="I169" s="309">
        <f t="shared" si="73"/>
        <v>6.6016576161985627E-2</v>
      </c>
      <c r="J169" s="309">
        <f t="shared" si="73"/>
        <v>6.7116250325817001E-2</v>
      </c>
      <c r="K169" s="309">
        <f t="shared" si="73"/>
        <v>5.9536293439866356E-2</v>
      </c>
      <c r="L169" s="309">
        <f t="shared" si="73"/>
        <v>6.091920315344547E-2</v>
      </c>
      <c r="M169" s="309">
        <f t="shared" si="73"/>
        <v>6.2322272895060302E-2</v>
      </c>
      <c r="N169" s="309">
        <f t="shared" si="73"/>
        <v>6.6267635669916766E-2</v>
      </c>
      <c r="O169" s="309">
        <f t="shared" si="73"/>
        <v>7.4022825956093052E-2</v>
      </c>
      <c r="P169" s="309">
        <f t="shared" si="73"/>
        <v>8.1778016242269339E-2</v>
      </c>
      <c r="Q169" s="309">
        <f t="shared" si="73"/>
        <v>8.9533206528445611E-2</v>
      </c>
      <c r="R169" s="309">
        <f t="shared" si="73"/>
        <v>9.7288396814621897E-2</v>
      </c>
      <c r="S169" s="309">
        <f t="shared" si="73"/>
        <v>0.10504358710079817</v>
      </c>
      <c r="T169" s="309">
        <f t="shared" si="73"/>
        <v>0.11279877738697447</v>
      </c>
      <c r="U169" s="309">
        <f t="shared" si="73"/>
        <v>0.12055396767315074</v>
      </c>
      <c r="V169" s="309">
        <f t="shared" si="73"/>
        <v>0.12830915795932701</v>
      </c>
      <c r="W169" s="309">
        <f t="shared" si="73"/>
        <v>0.13606434824550331</v>
      </c>
      <c r="X169" s="309">
        <f t="shared" si="73"/>
        <v>0.14381953853167959</v>
      </c>
      <c r="Y169" s="309">
        <f t="shared" si="73"/>
        <v>0.15157472881785586</v>
      </c>
      <c r="Z169" s="309">
        <f t="shared" si="73"/>
        <v>0.15932991910403216</v>
      </c>
      <c r="AA169" s="309">
        <f t="shared" si="73"/>
        <v>0.16708510939020843</v>
      </c>
      <c r="AB169" s="309">
        <f t="shared" si="73"/>
        <v>0.16708510939020843</v>
      </c>
      <c r="AC169" s="309">
        <f t="shared" si="73"/>
        <v>0.16708510939020843</v>
      </c>
      <c r="AD169" s="309">
        <f t="shared" si="73"/>
        <v>0.16708510939020843</v>
      </c>
      <c r="AE169" s="309">
        <f t="shared" si="73"/>
        <v>0.16708510939020843</v>
      </c>
      <c r="AF169" s="309">
        <f t="shared" si="73"/>
        <v>0.16708510939020843</v>
      </c>
    </row>
    <row r="170" spans="1:39" ht="12.9" customHeight="1">
      <c r="A170" s="280"/>
      <c r="B170" s="309"/>
      <c r="C170" s="309"/>
      <c r="D170" s="309"/>
      <c r="E170" s="309"/>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09"/>
      <c r="AF170" s="309"/>
      <c r="AI170" s="555"/>
      <c r="AJ170" s="555"/>
      <c r="AK170" s="555"/>
      <c r="AL170" s="555"/>
      <c r="AM170" s="213"/>
    </row>
    <row r="171" spans="1:39" ht="12.9" customHeight="1">
      <c r="A171" s="280" t="s">
        <v>1392</v>
      </c>
      <c r="B171" s="312"/>
      <c r="C171" s="312"/>
      <c r="D171" s="312"/>
      <c r="E171" s="312"/>
      <c r="F171" s="312"/>
      <c r="G171" s="312" t="s">
        <v>1482</v>
      </c>
      <c r="H171" s="312"/>
      <c r="I171" s="312"/>
      <c r="J171" s="312"/>
      <c r="K171" s="312"/>
      <c r="L171" s="312" t="s">
        <v>1483</v>
      </c>
      <c r="M171" s="312"/>
      <c r="N171" s="312"/>
      <c r="O171" s="312"/>
      <c r="P171" s="312"/>
      <c r="Q171" s="312"/>
      <c r="R171" s="312"/>
      <c r="S171" s="312"/>
      <c r="T171" s="312"/>
      <c r="U171" s="312"/>
      <c r="V171" s="312"/>
      <c r="W171" s="312"/>
      <c r="X171" s="312"/>
      <c r="Y171" s="312"/>
      <c r="Z171" s="312"/>
      <c r="AA171" s="312" t="s">
        <v>1484</v>
      </c>
      <c r="AB171" s="312"/>
      <c r="AC171" s="312"/>
      <c r="AD171" s="312"/>
      <c r="AE171" s="312"/>
      <c r="AF171" s="312"/>
      <c r="AI171" s="555"/>
      <c r="AJ171" s="555"/>
      <c r="AK171" s="555"/>
      <c r="AL171" s="555"/>
      <c r="AM171" s="555"/>
    </row>
    <row r="172" spans="1:39" ht="12.9" customHeight="1">
      <c r="A172" s="383" t="s">
        <v>352</v>
      </c>
      <c r="B172" s="309">
        <f>MIN(B156,B161)</f>
        <v>0.1117534971483905</v>
      </c>
      <c r="C172" s="309">
        <f t="shared" ref="C172:AF172" si="74">MIN(C156,C161)</f>
        <v>9.1623775553774087E-2</v>
      </c>
      <c r="D172" s="309">
        <f t="shared" si="74"/>
        <v>7.653549874558721E-2</v>
      </c>
      <c r="E172" s="309">
        <f t="shared" si="74"/>
        <v>5.7401624059190401E-2</v>
      </c>
      <c r="F172" s="309">
        <f t="shared" si="74"/>
        <v>3.8267749372793605E-2</v>
      </c>
      <c r="G172" s="309">
        <f t="shared" si="74"/>
        <v>1.9133874686396796E-2</v>
      </c>
      <c r="H172" s="309">
        <f t="shared" si="74"/>
        <v>0</v>
      </c>
      <c r="I172" s="309">
        <f t="shared" si="74"/>
        <v>0</v>
      </c>
      <c r="J172" s="309">
        <f t="shared" si="74"/>
        <v>0</v>
      </c>
      <c r="K172" s="309">
        <f t="shared" si="74"/>
        <v>0</v>
      </c>
      <c r="L172" s="309">
        <f t="shared" si="74"/>
        <v>0</v>
      </c>
      <c r="M172" s="309">
        <f t="shared" si="74"/>
        <v>0</v>
      </c>
      <c r="N172" s="309">
        <f t="shared" si="74"/>
        <v>0</v>
      </c>
      <c r="O172" s="309">
        <f t="shared" si="74"/>
        <v>0</v>
      </c>
      <c r="P172" s="309">
        <f t="shared" si="74"/>
        <v>0</v>
      </c>
      <c r="Q172" s="309">
        <f t="shared" si="74"/>
        <v>0</v>
      </c>
      <c r="R172" s="309">
        <f t="shared" si="74"/>
        <v>0</v>
      </c>
      <c r="S172" s="309">
        <f t="shared" si="74"/>
        <v>0</v>
      </c>
      <c r="T172" s="309">
        <f t="shared" si="74"/>
        <v>0</v>
      </c>
      <c r="U172" s="309">
        <f t="shared" si="74"/>
        <v>0</v>
      </c>
      <c r="V172" s="309">
        <f t="shared" si="74"/>
        <v>0</v>
      </c>
      <c r="W172" s="309">
        <f t="shared" si="74"/>
        <v>0</v>
      </c>
      <c r="X172" s="309">
        <f t="shared" si="74"/>
        <v>0</v>
      </c>
      <c r="Y172" s="309">
        <f t="shared" si="74"/>
        <v>0</v>
      </c>
      <c r="Z172" s="309">
        <f t="shared" si="74"/>
        <v>0</v>
      </c>
      <c r="AA172" s="309">
        <f t="shared" si="74"/>
        <v>0</v>
      </c>
      <c r="AB172" s="309">
        <f t="shared" si="74"/>
        <v>0</v>
      </c>
      <c r="AC172" s="309">
        <f t="shared" si="74"/>
        <v>0</v>
      </c>
      <c r="AD172" s="309">
        <f t="shared" si="74"/>
        <v>0</v>
      </c>
      <c r="AE172" s="309">
        <f t="shared" si="74"/>
        <v>0</v>
      </c>
      <c r="AF172" s="309">
        <f t="shared" si="74"/>
        <v>0</v>
      </c>
      <c r="AI172" s="376"/>
    </row>
    <row r="173" spans="1:39" ht="12.9" customHeight="1">
      <c r="A173" s="383" t="s">
        <v>393</v>
      </c>
      <c r="B173" s="309">
        <f>MIN(B157,B162)</f>
        <v>6.5565368932281765E-2</v>
      </c>
      <c r="C173" s="309">
        <f t="shared" ref="C173:AF173" si="75">MIN(C157,C162)</f>
        <v>7.49059404578266E-2</v>
      </c>
      <c r="D173" s="309">
        <f t="shared" si="75"/>
        <v>7.3496924087640483E-2</v>
      </c>
      <c r="E173" s="309">
        <f t="shared" si="75"/>
        <v>8.5592358586763104E-2</v>
      </c>
      <c r="F173" s="309">
        <f t="shared" si="75"/>
        <v>8.9212215445796661E-2</v>
      </c>
      <c r="G173" s="309">
        <f t="shared" si="75"/>
        <v>8.8673672334287371E-2</v>
      </c>
      <c r="H173" s="309">
        <f t="shared" si="75"/>
        <v>9.6895140834246829E-2</v>
      </c>
      <c r="I173" s="309">
        <f>MIN(I157,I162)</f>
        <v>9.5603314039932843E-2</v>
      </c>
      <c r="J173" s="309">
        <f t="shared" si="75"/>
        <v>9.4625674838436147E-2</v>
      </c>
      <c r="K173" s="309">
        <f t="shared" si="75"/>
        <v>9.8831862020610547E-2</v>
      </c>
      <c r="L173" s="309">
        <f t="shared" si="75"/>
        <v>9.7588192688575215E-2</v>
      </c>
      <c r="M173" s="309">
        <f t="shared" si="75"/>
        <v>9.6325894786403576E-2</v>
      </c>
      <c r="N173" s="309">
        <f t="shared" si="75"/>
        <v>9.2714429313985311E-2</v>
      </c>
      <c r="O173" s="309">
        <f t="shared" si="75"/>
        <v>8.5582550135986438E-2</v>
      </c>
      <c r="P173" s="309">
        <f t="shared" si="75"/>
        <v>7.8450670957987564E-2</v>
      </c>
      <c r="Q173" s="309">
        <f t="shared" si="75"/>
        <v>7.1318791779988705E-2</v>
      </c>
      <c r="R173" s="309">
        <f t="shared" si="75"/>
        <v>6.4186912601989832E-2</v>
      </c>
      <c r="S173" s="309">
        <f t="shared" si="75"/>
        <v>5.7055033423990958E-2</v>
      </c>
      <c r="T173" s="309">
        <f t="shared" si="75"/>
        <v>4.9923154245992085E-2</v>
      </c>
      <c r="U173" s="309">
        <f t="shared" si="75"/>
        <v>4.2791275067993212E-2</v>
      </c>
      <c r="V173" s="309">
        <f t="shared" si="75"/>
        <v>3.5659395889994353E-2</v>
      </c>
      <c r="W173" s="309">
        <f t="shared" si="75"/>
        <v>2.8527516711995479E-2</v>
      </c>
      <c r="X173" s="309">
        <f t="shared" si="75"/>
        <v>2.1395637533996606E-2</v>
      </c>
      <c r="Y173" s="309">
        <f t="shared" si="75"/>
        <v>1.4263758355997747E-2</v>
      </c>
      <c r="Z173" s="309">
        <f t="shared" si="75"/>
        <v>7.1318791779988733E-3</v>
      </c>
      <c r="AA173" s="309">
        <f t="shared" si="75"/>
        <v>0</v>
      </c>
      <c r="AB173" s="309">
        <f t="shared" si="75"/>
        <v>0</v>
      </c>
      <c r="AC173" s="309">
        <f t="shared" si="75"/>
        <v>0</v>
      </c>
      <c r="AD173" s="309">
        <f t="shared" si="75"/>
        <v>0</v>
      </c>
      <c r="AE173" s="309">
        <f t="shared" si="75"/>
        <v>0</v>
      </c>
      <c r="AF173" s="309">
        <f t="shared" si="75"/>
        <v>0</v>
      </c>
    </row>
    <row r="174" spans="1:39" ht="12.9" customHeight="1">
      <c r="A174" s="383" t="s">
        <v>1157</v>
      </c>
      <c r="B174" s="309">
        <f t="shared" ref="B174:AF174" si="76">MIN(B158,B163)</f>
        <v>9.2990873950548787E-3</v>
      </c>
      <c r="C174" s="309">
        <f t="shared" si="76"/>
        <v>9.1677687555748906E-3</v>
      </c>
      <c r="D174" s="309">
        <f t="shared" si="76"/>
        <v>8.9953186644908777E-3</v>
      </c>
      <c r="E174" s="309">
        <f t="shared" si="76"/>
        <v>8.7957931365237399E-3</v>
      </c>
      <c r="F174" s="309">
        <f t="shared" si="76"/>
        <v>8.5584896222728381E-3</v>
      </c>
      <c r="G174" s="309">
        <f t="shared" si="76"/>
        <v>8.5068249975578606E-3</v>
      </c>
      <c r="H174" s="309">
        <f t="shared" si="76"/>
        <v>8.4281166629763347E-3</v>
      </c>
      <c r="I174" s="309">
        <f t="shared" si="76"/>
        <v>8.3157512044291209E-3</v>
      </c>
      <c r="J174" s="309">
        <f t="shared" si="76"/>
        <v>8.2307143576525795E-3</v>
      </c>
      <c r="K174" s="309">
        <f t="shared" si="76"/>
        <v>8.1249840808014593E-3</v>
      </c>
      <c r="L174" s="309">
        <f t="shared" si="76"/>
        <v>8.0227418148158119E-3</v>
      </c>
      <c r="M174" s="309">
        <f t="shared" si="76"/>
        <v>7.9189680909307475E-3</v>
      </c>
      <c r="N174" s="309">
        <f t="shared" si="76"/>
        <v>7.6220689040506773E-3</v>
      </c>
      <c r="O174" s="309">
        <f t="shared" si="76"/>
        <v>7.0357559114313942E-3</v>
      </c>
      <c r="P174" s="309">
        <f t="shared" si="76"/>
        <v>6.4494429188121111E-3</v>
      </c>
      <c r="Q174" s="309">
        <f t="shared" si="76"/>
        <v>5.8631299261928289E-3</v>
      </c>
      <c r="R174" s="309">
        <f t="shared" si="76"/>
        <v>5.2768169335735459E-3</v>
      </c>
      <c r="S174" s="309">
        <f t="shared" si="76"/>
        <v>4.6905039409542628E-3</v>
      </c>
      <c r="T174" s="309">
        <f t="shared" si="76"/>
        <v>4.1041909483349797E-3</v>
      </c>
      <c r="U174" s="309">
        <f t="shared" si="76"/>
        <v>3.5178779557156967E-3</v>
      </c>
      <c r="V174" s="309">
        <f t="shared" si="76"/>
        <v>2.9315649630964145E-3</v>
      </c>
      <c r="W174" s="309">
        <f t="shared" si="76"/>
        <v>2.3452519704771314E-3</v>
      </c>
      <c r="X174" s="309">
        <f t="shared" si="76"/>
        <v>1.7589389778578483E-3</v>
      </c>
      <c r="Y174" s="309">
        <f t="shared" si="76"/>
        <v>1.1726259852385661E-3</v>
      </c>
      <c r="Z174" s="309">
        <f t="shared" si="76"/>
        <v>5.863129926192822E-4</v>
      </c>
      <c r="AA174" s="309">
        <f t="shared" si="76"/>
        <v>0</v>
      </c>
      <c r="AB174" s="309">
        <f t="shared" si="76"/>
        <v>0</v>
      </c>
      <c r="AC174" s="309">
        <f t="shared" si="76"/>
        <v>0</v>
      </c>
      <c r="AD174" s="309">
        <f t="shared" si="76"/>
        <v>0</v>
      </c>
      <c r="AE174" s="309">
        <f t="shared" si="76"/>
        <v>0</v>
      </c>
      <c r="AF174" s="309">
        <f t="shared" si="76"/>
        <v>0</v>
      </c>
    </row>
    <row r="175" spans="1:39" ht="12.9" customHeight="1">
      <c r="A175" s="383" t="s">
        <v>395</v>
      </c>
      <c r="B175" s="309">
        <f t="shared" ref="B175:AF175" si="77">MIN(B159,B164)</f>
        <v>7.3496052785943043E-4</v>
      </c>
      <c r="C175" s="309">
        <f t="shared" si="77"/>
        <v>7.2652977227158106E-4</v>
      </c>
      <c r="D175" s="309">
        <f t="shared" si="77"/>
        <v>7.1400823944945595E-4</v>
      </c>
      <c r="E175" s="309">
        <f t="shared" si="77"/>
        <v>7.0841453300719381E-4</v>
      </c>
      <c r="F175" s="309">
        <f t="shared" si="77"/>
        <v>7.0310654065500373E-4</v>
      </c>
      <c r="G175" s="309">
        <f t="shared" si="77"/>
        <v>6.988002547826588E-4</v>
      </c>
      <c r="H175" s="309">
        <f t="shared" si="77"/>
        <v>6.9488927187646261E-4</v>
      </c>
      <c r="I175" s="309">
        <f t="shared" si="77"/>
        <v>6.6596608004632638E-4</v>
      </c>
      <c r="J175" s="309">
        <f t="shared" si="77"/>
        <v>6.2896796448819712E-4</v>
      </c>
      <c r="K175" s="309">
        <f t="shared" si="77"/>
        <v>5.9196984893006787E-4</v>
      </c>
      <c r="L175" s="309">
        <f t="shared" si="77"/>
        <v>5.5497173337193872E-4</v>
      </c>
      <c r="M175" s="309">
        <f t="shared" si="77"/>
        <v>5.1797361781380947E-4</v>
      </c>
      <c r="N175" s="309">
        <f t="shared" si="77"/>
        <v>4.8097550225568021E-4</v>
      </c>
      <c r="O175" s="309">
        <f t="shared" si="77"/>
        <v>4.439773866975509E-4</v>
      </c>
      <c r="P175" s="309">
        <f t="shared" si="77"/>
        <v>4.069792711394217E-4</v>
      </c>
      <c r="Q175" s="309">
        <f t="shared" si="77"/>
        <v>3.6998115558129244E-4</v>
      </c>
      <c r="R175" s="309">
        <f t="shared" si="77"/>
        <v>3.3298304002316319E-4</v>
      </c>
      <c r="S175" s="309">
        <f t="shared" si="77"/>
        <v>2.9598492446503399E-4</v>
      </c>
      <c r="T175" s="309">
        <f t="shared" si="77"/>
        <v>2.5898680890690468E-4</v>
      </c>
      <c r="U175" s="309">
        <f t="shared" si="77"/>
        <v>2.2198869334877553E-4</v>
      </c>
      <c r="V175" s="309">
        <f t="shared" si="77"/>
        <v>1.8499057779064617E-4</v>
      </c>
      <c r="W175" s="309">
        <f t="shared" si="77"/>
        <v>1.4799246223251691E-4</v>
      </c>
      <c r="X175" s="309">
        <f t="shared" si="77"/>
        <v>1.1099434667438777E-4</v>
      </c>
      <c r="Y175" s="309">
        <f t="shared" si="77"/>
        <v>7.3996231116258511E-5</v>
      </c>
      <c r="Z175" s="309">
        <f t="shared" si="77"/>
        <v>3.6998115558129255E-5</v>
      </c>
      <c r="AA175" s="309">
        <f t="shared" si="77"/>
        <v>0</v>
      </c>
      <c r="AB175" s="309">
        <f t="shared" si="77"/>
        <v>0</v>
      </c>
      <c r="AC175" s="309">
        <f t="shared" si="77"/>
        <v>0</v>
      </c>
      <c r="AD175" s="309">
        <f t="shared" si="77"/>
        <v>0</v>
      </c>
      <c r="AE175" s="309">
        <f t="shared" si="77"/>
        <v>0</v>
      </c>
      <c r="AF175" s="309">
        <f t="shared" si="77"/>
        <v>0</v>
      </c>
    </row>
    <row r="176" spans="1:39" ht="12.9" customHeight="1">
      <c r="A176" s="383" t="s">
        <v>396</v>
      </c>
      <c r="B176" s="309">
        <f t="shared" ref="B176:AF176" si="78">B134</f>
        <v>4.2626327742272735E-2</v>
      </c>
      <c r="C176" s="309">
        <f t="shared" si="78"/>
        <v>4.2706520554471016E-2</v>
      </c>
      <c r="D176" s="309">
        <f t="shared" si="78"/>
        <v>4.2706520554471016E-2</v>
      </c>
      <c r="E176" s="309">
        <f t="shared" si="78"/>
        <v>4.2818267802978677E-2</v>
      </c>
      <c r="F176" s="309">
        <f t="shared" si="78"/>
        <v>4.2864936765798965E-2</v>
      </c>
      <c r="G176" s="309">
        <f t="shared" si="78"/>
        <v>4.2864936765798965E-2</v>
      </c>
      <c r="H176" s="309">
        <f t="shared" si="78"/>
        <v>4.2905033171898109E-2</v>
      </c>
      <c r="I176" s="309">
        <f t="shared" si="78"/>
        <v>4.2905033171898109E-2</v>
      </c>
      <c r="J176" s="309">
        <f t="shared" si="78"/>
        <v>4.2905033171898109E-2</v>
      </c>
      <c r="K176" s="309">
        <f t="shared" si="78"/>
        <v>4.2929972874707935E-2</v>
      </c>
      <c r="L176" s="309">
        <f t="shared" si="78"/>
        <v>4.2929972874707935E-2</v>
      </c>
      <c r="M176" s="309">
        <f t="shared" si="78"/>
        <v>4.2929972874707935E-2</v>
      </c>
      <c r="N176" s="309">
        <f t="shared" si="78"/>
        <v>4.2929972874707935E-2</v>
      </c>
      <c r="O176" s="309">
        <f t="shared" si="78"/>
        <v>4.2929972874707935E-2</v>
      </c>
      <c r="P176" s="309">
        <f t="shared" si="78"/>
        <v>4.2929972874707935E-2</v>
      </c>
      <c r="Q176" s="309">
        <f t="shared" si="78"/>
        <v>4.2929972874707935E-2</v>
      </c>
      <c r="R176" s="309">
        <f t="shared" si="78"/>
        <v>4.2929972874707935E-2</v>
      </c>
      <c r="S176" s="309">
        <f t="shared" si="78"/>
        <v>4.2929972874707935E-2</v>
      </c>
      <c r="T176" s="309">
        <f t="shared" si="78"/>
        <v>4.2929972874707935E-2</v>
      </c>
      <c r="U176" s="309">
        <f t="shared" si="78"/>
        <v>4.2929972874707935E-2</v>
      </c>
      <c r="V176" s="309">
        <f t="shared" si="78"/>
        <v>4.2929972874707935E-2</v>
      </c>
      <c r="W176" s="309">
        <f t="shared" si="78"/>
        <v>4.2929972874707935E-2</v>
      </c>
      <c r="X176" s="309">
        <f t="shared" si="78"/>
        <v>4.2929972874707935E-2</v>
      </c>
      <c r="Y176" s="309">
        <f t="shared" si="78"/>
        <v>4.2929972874707935E-2</v>
      </c>
      <c r="Z176" s="309">
        <f t="shared" si="78"/>
        <v>4.2929972874707935E-2</v>
      </c>
      <c r="AA176" s="309">
        <f t="shared" si="78"/>
        <v>4.2929972874707935E-2</v>
      </c>
      <c r="AB176" s="309">
        <f t="shared" si="78"/>
        <v>4.2929972874707935E-2</v>
      </c>
      <c r="AC176" s="309">
        <f t="shared" si="78"/>
        <v>4.2929972874707935E-2</v>
      </c>
      <c r="AD176" s="309">
        <f t="shared" si="78"/>
        <v>4.2929972874707935E-2</v>
      </c>
      <c r="AE176" s="309">
        <f t="shared" si="78"/>
        <v>4.2929972874707935E-2</v>
      </c>
      <c r="AF176" s="309">
        <f t="shared" si="78"/>
        <v>4.2929972874707935E-2</v>
      </c>
    </row>
    <row r="177" spans="1:32" ht="12.9" customHeight="1">
      <c r="A177" s="383" t="s">
        <v>243</v>
      </c>
      <c r="B177" s="309">
        <f>B135+B$169*parameters!$B$23</f>
        <v>0.65176646126401694</v>
      </c>
      <c r="C177" s="309">
        <f>C135+C$169*parameters!$B$23</f>
        <v>0.65808731447592494</v>
      </c>
      <c r="D177" s="309">
        <f>D135+D$169*parameters!$B$23</f>
        <v>0.66225788067649483</v>
      </c>
      <c r="E177" s="309">
        <f>E135+E$169*parameters!$B$23</f>
        <v>0.66906945990263356</v>
      </c>
      <c r="F177" s="309">
        <f>F135+F$169*parameters!$B$23</f>
        <v>0.67522547103430752</v>
      </c>
      <c r="G177" s="309">
        <f>G135+G$169*parameters!$B$23</f>
        <v>0.68015756821143092</v>
      </c>
      <c r="H177" s="309">
        <f>H135+H$169*parameters!$B$23</f>
        <v>0.68630449500431456</v>
      </c>
      <c r="I177" s="309">
        <f>I135+I$169*parameters!$B$23</f>
        <v>0.68666277386548735</v>
      </c>
      <c r="J177" s="309">
        <f>J135+J$169*parameters!$B$23</f>
        <v>0.6869376924064452</v>
      </c>
      <c r="K177" s="309">
        <f>K135+K$169*parameters!$B$23</f>
        <v>0.68803546752213662</v>
      </c>
      <c r="L177" s="309">
        <f>L135+L$169*parameters!$B$23</f>
        <v>0.68838119495053141</v>
      </c>
      <c r="M177" s="309">
        <f>M135+M$169*parameters!$B$23</f>
        <v>0.68873196238593515</v>
      </c>
      <c r="N177" s="309">
        <f>N135+N$169*parameters!$B$23</f>
        <v>0.68971830307964921</v>
      </c>
      <c r="O177" s="309">
        <f>O135+O$169*parameters!$B$23</f>
        <v>0.69165710065119335</v>
      </c>
      <c r="P177" s="309">
        <f>P135+P$169*parameters!$B$23</f>
        <v>0.69359589822273737</v>
      </c>
      <c r="Q177" s="309">
        <f>Q135+Q$169*parameters!$B$23</f>
        <v>0.69553469579428151</v>
      </c>
      <c r="R177" s="309">
        <f>R135+R$169*parameters!$B$23</f>
        <v>0.69747349336582554</v>
      </c>
      <c r="S177" s="309">
        <f>S135+S$169*parameters!$B$23</f>
        <v>0.69941229093736956</v>
      </c>
      <c r="T177" s="309">
        <f>T135+T$169*parameters!$B$23</f>
        <v>0.7013510885089137</v>
      </c>
      <c r="U177" s="309">
        <f>U135+U$169*parameters!$B$23</f>
        <v>0.70328988608045773</v>
      </c>
      <c r="V177" s="309">
        <f>V135+V$169*parameters!$B$23</f>
        <v>0.70522868365200186</v>
      </c>
      <c r="W177" s="309">
        <f>W135+W$169*parameters!$B$23</f>
        <v>0.70716748122354589</v>
      </c>
      <c r="X177" s="309">
        <f>X135+X$169*parameters!$B$23</f>
        <v>0.70910627879508992</v>
      </c>
      <c r="Y177" s="309">
        <f>Y135+Y$169*parameters!$B$23</f>
        <v>0.71104507636663405</v>
      </c>
      <c r="Z177" s="309">
        <f>Z135+Z$169*parameters!$B$23</f>
        <v>0.71298387393817808</v>
      </c>
      <c r="AA177" s="309">
        <f>AA135+AA$169*parameters!$B$23</f>
        <v>0.71492267150972222</v>
      </c>
      <c r="AB177" s="309">
        <f>AB135+AB$169*parameters!$B$23</f>
        <v>0.71492267150972222</v>
      </c>
      <c r="AC177" s="309">
        <f>AC135+AC$169*parameters!$B$23</f>
        <v>0.71492267150972222</v>
      </c>
      <c r="AD177" s="309">
        <f>AD135+AD$169*parameters!$B$23</f>
        <v>0.71492267150972222</v>
      </c>
      <c r="AE177" s="309">
        <f>AE135+AE$169*parameters!$B$23</f>
        <v>0.71492267150972222</v>
      </c>
      <c r="AF177" s="309">
        <f>AF135+AF$169*parameters!$B$23</f>
        <v>0.71492267150972222</v>
      </c>
    </row>
    <row r="178" spans="1:32" ht="12.9" customHeight="1">
      <c r="A178" s="383" t="s">
        <v>397</v>
      </c>
      <c r="B178" s="309">
        <f>B136+B$169*parameters!$B$26</f>
        <v>7.6642840752294775E-3</v>
      </c>
      <c r="C178" s="309">
        <f>C136+C$169*parameters!$B$26</f>
        <v>8.4189263152349824E-3</v>
      </c>
      <c r="D178" s="309">
        <f>D136+D$169*parameters!$B$26</f>
        <v>1.0504209415519874E-2</v>
      </c>
      <c r="E178" s="309">
        <f>E136+E$169*parameters!$B$26</f>
        <v>1.0557581573359403E-2</v>
      </c>
      <c r="F178" s="309">
        <f>F136+F$169*parameters!$B$26</f>
        <v>1.2139204970606858E-2</v>
      </c>
      <c r="G178" s="309">
        <f>G136+G$169*parameters!$B$26</f>
        <v>1.4605253559168535E-2</v>
      </c>
      <c r="H178" s="309">
        <f>H136+H$169*parameters!$B$26</f>
        <v>1.5272932589661786E-2</v>
      </c>
      <c r="I178" s="309">
        <f>I136+I$169*parameters!$B$26</f>
        <v>1.5452072020248203E-2</v>
      </c>
      <c r="J178" s="309">
        <f>J136+J$169*parameters!$B$26</f>
        <v>1.5589531290727125E-2</v>
      </c>
      <c r="K178" s="309">
        <f>K136+K$169*parameters!$B$26</f>
        <v>1.4642036679983294E-2</v>
      </c>
      <c r="L178" s="309">
        <f>L136+L$169*parameters!$B$26</f>
        <v>1.4814900394180684E-2</v>
      </c>
      <c r="M178" s="309">
        <f>M136+M$169*parameters!$B$26</f>
        <v>1.4990284111882538E-2</v>
      </c>
      <c r="N178" s="309">
        <f>N136+N$169*parameters!$B$26</f>
        <v>1.5483454458739596E-2</v>
      </c>
      <c r="O178" s="309">
        <f>O136+O$169*parameters!$B$26</f>
        <v>1.645285324451163E-2</v>
      </c>
      <c r="P178" s="309">
        <f>P136+P$169*parameters!$B$26</f>
        <v>1.7422252030283667E-2</v>
      </c>
      <c r="Q178" s="309">
        <f>Q136+Q$169*parameters!$B$26</f>
        <v>1.8391650816055701E-2</v>
      </c>
      <c r="R178" s="309">
        <f>R136+R$169*parameters!$B$26</f>
        <v>1.9361049601827739E-2</v>
      </c>
      <c r="S178" s="309">
        <f>S136+S$169*parameters!$B$26</f>
        <v>2.0330448387599773E-2</v>
      </c>
      <c r="T178" s="309">
        <f>T136+T$169*parameters!$B$26</f>
        <v>2.1299847173371807E-2</v>
      </c>
      <c r="U178" s="309">
        <f>U136+U$169*parameters!$B$26</f>
        <v>2.2269245959143841E-2</v>
      </c>
      <c r="V178" s="309">
        <f>V136+V$169*parameters!$B$26</f>
        <v>2.3238644744915875E-2</v>
      </c>
      <c r="W178" s="309">
        <f>W136+W$169*parameters!$B$26</f>
        <v>2.4208043530687916E-2</v>
      </c>
      <c r="X178" s="309">
        <f>X136+X$169*parameters!$B$26</f>
        <v>2.517744231645995E-2</v>
      </c>
      <c r="Y178" s="309">
        <f>Y136+Y$169*parameters!$B$26</f>
        <v>2.6146841102231984E-2</v>
      </c>
      <c r="Z178" s="309">
        <f>Z136+Z$169*parameters!$B$26</f>
        <v>2.7116239888004018E-2</v>
      </c>
      <c r="AA178" s="309">
        <f>AA136+AA$169*parameters!$B$26</f>
        <v>2.8085638673776052E-2</v>
      </c>
      <c r="AB178" s="309">
        <f>AB136+AB$169*parameters!$B$26</f>
        <v>2.8085638673776052E-2</v>
      </c>
      <c r="AC178" s="309">
        <f>AC136+AC$169*parameters!$B$26</f>
        <v>2.8085638673776052E-2</v>
      </c>
      <c r="AD178" s="309">
        <f>AD136+AD$169*parameters!$B$26</f>
        <v>2.8085638673776052E-2</v>
      </c>
      <c r="AE178" s="309">
        <f>AE136+AE$169*parameters!$B$26</f>
        <v>2.8085638673776052E-2</v>
      </c>
      <c r="AF178" s="309">
        <f>AF136+AF$169*parameters!$B$26</f>
        <v>2.8085638673776052E-2</v>
      </c>
    </row>
    <row r="179" spans="1:32" ht="12.9" customHeight="1">
      <c r="A179" s="383" t="s">
        <v>398</v>
      </c>
      <c r="B179" s="309">
        <f t="shared" ref="B179:AF179" si="79">B137</f>
        <v>1.2293595967897714E-4</v>
      </c>
      <c r="C179" s="309">
        <f t="shared" si="79"/>
        <v>1.2293595967897714E-4</v>
      </c>
      <c r="D179" s="309">
        <f t="shared" si="79"/>
        <v>1.2293595967897714E-4</v>
      </c>
      <c r="E179" s="309">
        <f t="shared" si="79"/>
        <v>1.2293595967897714E-4</v>
      </c>
      <c r="F179" s="309">
        <f t="shared" si="79"/>
        <v>1.2293595967897714E-4</v>
      </c>
      <c r="G179" s="309">
        <f t="shared" si="79"/>
        <v>1.2293595967897714E-4</v>
      </c>
      <c r="H179" s="309">
        <f t="shared" si="79"/>
        <v>1.2293595967897714E-4</v>
      </c>
      <c r="I179" s="309">
        <f t="shared" si="79"/>
        <v>1.2293595967897714E-4</v>
      </c>
      <c r="J179" s="309">
        <f t="shared" si="79"/>
        <v>1.2293595967897714E-4</v>
      </c>
      <c r="K179" s="309">
        <f t="shared" si="79"/>
        <v>1.2293595967897714E-4</v>
      </c>
      <c r="L179" s="309">
        <f t="shared" si="79"/>
        <v>1.2293595967897714E-4</v>
      </c>
      <c r="M179" s="309">
        <f t="shared" si="79"/>
        <v>1.2293595967897714E-4</v>
      </c>
      <c r="N179" s="309">
        <f t="shared" si="79"/>
        <v>1.2293595967897714E-4</v>
      </c>
      <c r="O179" s="309">
        <f t="shared" si="79"/>
        <v>1.2293595967897714E-4</v>
      </c>
      <c r="P179" s="309">
        <f t="shared" si="79"/>
        <v>1.2293595967897714E-4</v>
      </c>
      <c r="Q179" s="309">
        <f t="shared" si="79"/>
        <v>1.2293595967897714E-4</v>
      </c>
      <c r="R179" s="309">
        <f t="shared" si="79"/>
        <v>1.2293595967897714E-4</v>
      </c>
      <c r="S179" s="309">
        <f t="shared" si="79"/>
        <v>1.2293595967897714E-4</v>
      </c>
      <c r="T179" s="309">
        <f t="shared" si="79"/>
        <v>1.2293595967897714E-4</v>
      </c>
      <c r="U179" s="309">
        <f t="shared" si="79"/>
        <v>1.2293595967897714E-4</v>
      </c>
      <c r="V179" s="309">
        <f t="shared" si="79"/>
        <v>1.2293595967897714E-4</v>
      </c>
      <c r="W179" s="309">
        <f t="shared" si="79"/>
        <v>1.2293595967897714E-4</v>
      </c>
      <c r="X179" s="309">
        <f t="shared" si="79"/>
        <v>1.2293595967897714E-4</v>
      </c>
      <c r="Y179" s="309">
        <f t="shared" si="79"/>
        <v>1.2293595967897714E-4</v>
      </c>
      <c r="Z179" s="309">
        <f t="shared" si="79"/>
        <v>1.2293595967897714E-4</v>
      </c>
      <c r="AA179" s="309">
        <f t="shared" si="79"/>
        <v>1.2293595967897714E-4</v>
      </c>
      <c r="AB179" s="309">
        <f t="shared" si="79"/>
        <v>1.2293595967897714E-4</v>
      </c>
      <c r="AC179" s="309">
        <f t="shared" si="79"/>
        <v>1.2293595967897714E-4</v>
      </c>
      <c r="AD179" s="309">
        <f t="shared" si="79"/>
        <v>1.2293595967897714E-4</v>
      </c>
      <c r="AE179" s="309">
        <f t="shared" si="79"/>
        <v>1.2293595967897714E-4</v>
      </c>
      <c r="AF179" s="309">
        <f t="shared" si="79"/>
        <v>1.2293595967897714E-4</v>
      </c>
    </row>
    <row r="180" spans="1:32" ht="12.9" customHeight="1">
      <c r="A180" s="383" t="s">
        <v>399</v>
      </c>
      <c r="B180" s="309">
        <f>B138+B$169*parameters!$B$24</f>
        <v>0.1038571363009179</v>
      </c>
      <c r="C180" s="309">
        <f>C138+C$169*parameters!$B$24</f>
        <v>0.10687570526093992</v>
      </c>
      <c r="D180" s="309">
        <f>D138+D$169*parameters!$B$24</f>
        <v>0.11521683766207949</v>
      </c>
      <c r="E180" s="309">
        <f>E138+E$169*parameters!$B$24</f>
        <v>0.11543032629343759</v>
      </c>
      <c r="F180" s="309">
        <f>F138+F$169*parameters!$B$24</f>
        <v>0.12175681988242741</v>
      </c>
      <c r="G180" s="309">
        <f>G138+G$169*parameters!$B$24</f>
        <v>0.13162101423667411</v>
      </c>
      <c r="H180" s="309">
        <f>H138+H$169*parameters!$B$24</f>
        <v>0.13429173035864714</v>
      </c>
      <c r="I180" s="309">
        <f>I138+I$169*parameters!$B$24</f>
        <v>0.1350082880809928</v>
      </c>
      <c r="J180" s="309">
        <f>J138+J$169*parameters!$B$24</f>
        <v>0.13555812516290849</v>
      </c>
      <c r="K180" s="309">
        <f>K138+K$169*parameters!$B$24</f>
        <v>0.13176814671993317</v>
      </c>
      <c r="L180" s="309">
        <f>L138+L$169*parameters!$B$24</f>
        <v>0.13245960157672274</v>
      </c>
      <c r="M180" s="309">
        <f>M138+M$169*parameters!$B$24</f>
        <v>0.13316113644753014</v>
      </c>
      <c r="N180" s="309">
        <f>N138+N$169*parameters!$B$24</f>
        <v>0.13513381783495837</v>
      </c>
      <c r="O180" s="309">
        <f>O138+O$169*parameters!$B$24</f>
        <v>0.13901141297804653</v>
      </c>
      <c r="P180" s="309">
        <f>P138+P$169*parameters!$B$24</f>
        <v>0.14288900812113467</v>
      </c>
      <c r="Q180" s="309">
        <f>Q138+Q$169*parameters!$B$24</f>
        <v>0.14676660326422281</v>
      </c>
      <c r="R180" s="309">
        <f>R138+R$169*parameters!$B$24</f>
        <v>0.15064419840731094</v>
      </c>
      <c r="S180" s="309">
        <f>S138+S$169*parameters!$B$24</f>
        <v>0.15452179355039908</v>
      </c>
      <c r="T180" s="309">
        <f>T138+T$169*parameters!$B$24</f>
        <v>0.15839938869348724</v>
      </c>
      <c r="U180" s="309">
        <f>U138+U$169*parameters!$B$24</f>
        <v>0.16227698383657535</v>
      </c>
      <c r="V180" s="309">
        <f>V138+V$169*parameters!$B$24</f>
        <v>0.16615457897966351</v>
      </c>
      <c r="W180" s="309">
        <f>W138+W$169*parameters!$B$24</f>
        <v>0.17003217412275165</v>
      </c>
      <c r="X180" s="309">
        <f>X138+X$169*parameters!$B$24</f>
        <v>0.17390976926583979</v>
      </c>
      <c r="Y180" s="309">
        <f>Y138+Y$169*parameters!$B$24</f>
        <v>0.17778736440892792</v>
      </c>
      <c r="Z180" s="309">
        <f>Z138+Z$169*parameters!$B$24</f>
        <v>0.18166495955201606</v>
      </c>
      <c r="AA180" s="309">
        <f>AA138+AA$169*parameters!$B$24</f>
        <v>0.18554255469510422</v>
      </c>
      <c r="AB180" s="309">
        <f>AB138+AB$169*parameters!$B$24</f>
        <v>0.18554255469510422</v>
      </c>
      <c r="AC180" s="309">
        <f>AC138+AC$169*parameters!$B$24</f>
        <v>0.18554255469510422</v>
      </c>
      <c r="AD180" s="309">
        <f>AD138+AD$169*parameters!$B$24</f>
        <v>0.18554255469510422</v>
      </c>
      <c r="AE180" s="309">
        <f>AE138+AE$169*parameters!$B$24</f>
        <v>0.18554255469510422</v>
      </c>
      <c r="AF180" s="309">
        <f>AF138+AF$169*parameters!$B$24</f>
        <v>0.18554255469510422</v>
      </c>
    </row>
    <row r="181" spans="1:32" ht="12.9" customHeight="1">
      <c r="A181" s="383" t="s">
        <v>249</v>
      </c>
      <c r="B181" s="309">
        <f>B139+B$169*parameters!$B$25</f>
        <v>2.8642840752294775E-3</v>
      </c>
      <c r="C181" s="309">
        <f>C139+C$169*parameters!$B$25</f>
        <v>3.6189263152349824E-3</v>
      </c>
      <c r="D181" s="309">
        <f>D139+D$169*parameters!$B$25</f>
        <v>5.7042094155198737E-3</v>
      </c>
      <c r="E181" s="309">
        <f>E139+E$169*parameters!$B$25</f>
        <v>5.7575815733594028E-3</v>
      </c>
      <c r="F181" s="309">
        <f>F139+F$169*parameters!$B$25</f>
        <v>7.403413826594131E-3</v>
      </c>
      <c r="G181" s="309">
        <f>G139+G$169*parameters!$B$25</f>
        <v>9.869462415155808E-3</v>
      </c>
      <c r="H181" s="309">
        <f>H139+H$169*parameters!$B$25</f>
        <v>1.1339069567631907E-2</v>
      </c>
      <c r="I181" s="309">
        <f>I139+I$169*parameters!$B$25</f>
        <v>1.1518208998218324E-2</v>
      </c>
      <c r="J181" s="309">
        <f>J139+J$169*parameters!$B$25</f>
        <v>1.1655668268697246E-2</v>
      </c>
      <c r="K181" s="309">
        <f>K139+K$169*parameters!$B$25</f>
        <v>1.1206967714149934E-2</v>
      </c>
      <c r="L181" s="309">
        <f>L139+L$169*parameters!$B$25</f>
        <v>1.1379831428347323E-2</v>
      </c>
      <c r="M181" s="309">
        <f>M139+M$169*parameters!$B$25</f>
        <v>1.1555215146049177E-2</v>
      </c>
      <c r="N181" s="309">
        <f>N139+N$169*parameters!$B$25</f>
        <v>1.2048385492906235E-2</v>
      </c>
      <c r="O181" s="309">
        <f>O139+O$169*parameters!$B$25</f>
        <v>1.3017784278678271E-2</v>
      </c>
      <c r="P181" s="309">
        <f>P139+P$169*parameters!$B$25</f>
        <v>1.3987183064450306E-2</v>
      </c>
      <c r="Q181" s="309">
        <f>Q139+Q$169*parameters!$B$25</f>
        <v>1.495658185022234E-2</v>
      </c>
      <c r="R181" s="309">
        <f>R139+R$169*parameters!$B$25</f>
        <v>1.5925980635994375E-2</v>
      </c>
      <c r="S181" s="309">
        <f>S139+S$169*parameters!$B$25</f>
        <v>1.6895379421766409E-2</v>
      </c>
      <c r="T181" s="309">
        <f>T139+T$169*parameters!$B$25</f>
        <v>1.786477820753845E-2</v>
      </c>
      <c r="U181" s="309">
        <f>U139+U$169*parameters!$B$25</f>
        <v>1.8834176993310484E-2</v>
      </c>
      <c r="V181" s="309">
        <f>V139+V$169*parameters!$B$25</f>
        <v>1.9803575779082518E-2</v>
      </c>
      <c r="W181" s="309">
        <f>W139+W$169*parameters!$B$25</f>
        <v>2.0772974564854552E-2</v>
      </c>
      <c r="X181" s="309">
        <f>X139+X$169*parameters!$B$25</f>
        <v>2.1742373350626586E-2</v>
      </c>
      <c r="Y181" s="309">
        <f>Y139+Y$169*parameters!$B$25</f>
        <v>2.271177213639862E-2</v>
      </c>
      <c r="Z181" s="309">
        <f>Z139+Z$169*parameters!$B$25</f>
        <v>2.3681170922170661E-2</v>
      </c>
      <c r="AA181" s="309">
        <f>AA139+AA$169*parameters!$B$25</f>
        <v>2.4650569707942695E-2</v>
      </c>
      <c r="AB181" s="309">
        <f>AB139+AB$169*parameters!$B$25</f>
        <v>2.4650569707942695E-2</v>
      </c>
      <c r="AC181" s="309">
        <f>AC139+AC$169*parameters!$B$25</f>
        <v>2.4650569707942695E-2</v>
      </c>
      <c r="AD181" s="309">
        <f>AD139+AD$169*parameters!$B$25</f>
        <v>2.4650569707942695E-2</v>
      </c>
      <c r="AE181" s="309">
        <f>AE139+AE$169*parameters!$B$25</f>
        <v>2.4650569707942695E-2</v>
      </c>
      <c r="AF181" s="309">
        <f>AF139+AF$169*parameters!$B$25</f>
        <v>2.4650569707942695E-2</v>
      </c>
    </row>
    <row r="182" spans="1:32" ht="12.9" customHeight="1">
      <c r="A182" s="383" t="s">
        <v>354</v>
      </c>
      <c r="B182" s="309">
        <f t="shared" ref="B182:AF182" si="80">B140</f>
        <v>1.1933598960928769E-3</v>
      </c>
      <c r="C182" s="309">
        <f t="shared" si="80"/>
        <v>1.1933598960928769E-3</v>
      </c>
      <c r="D182" s="309">
        <f t="shared" si="80"/>
        <v>1.1933598960928769E-3</v>
      </c>
      <c r="E182" s="309">
        <f t="shared" si="80"/>
        <v>1.1933598960928769E-3</v>
      </c>
      <c r="F182" s="309">
        <f t="shared" si="80"/>
        <v>1.1933598960928769E-3</v>
      </c>
      <c r="G182" s="309">
        <f t="shared" si="80"/>
        <v>1.1933598960928769E-3</v>
      </c>
      <c r="H182" s="309">
        <f t="shared" si="80"/>
        <v>1.1933598960928769E-3</v>
      </c>
      <c r="I182" s="309">
        <f t="shared" si="80"/>
        <v>1.1933598960928769E-3</v>
      </c>
      <c r="J182" s="309">
        <f t="shared" si="80"/>
        <v>1.1933598960928769E-3</v>
      </c>
      <c r="K182" s="309">
        <f t="shared" si="80"/>
        <v>1.1933598960928769E-3</v>
      </c>
      <c r="L182" s="309">
        <f t="shared" si="80"/>
        <v>1.1933598960928769E-3</v>
      </c>
      <c r="M182" s="309">
        <f t="shared" si="80"/>
        <v>1.1933598960928769E-3</v>
      </c>
      <c r="N182" s="309">
        <f t="shared" si="80"/>
        <v>1.1933598960928769E-3</v>
      </c>
      <c r="O182" s="309">
        <f t="shared" si="80"/>
        <v>1.1933598960928769E-3</v>
      </c>
      <c r="P182" s="309">
        <f t="shared" si="80"/>
        <v>1.1933598960928769E-3</v>
      </c>
      <c r="Q182" s="309">
        <f t="shared" si="80"/>
        <v>1.1933598960928769E-3</v>
      </c>
      <c r="R182" s="309">
        <f t="shared" si="80"/>
        <v>1.1933598960928769E-3</v>
      </c>
      <c r="S182" s="309">
        <f t="shared" si="80"/>
        <v>1.1933598960928769E-3</v>
      </c>
      <c r="T182" s="309">
        <f t="shared" si="80"/>
        <v>1.1933598960928769E-3</v>
      </c>
      <c r="U182" s="309">
        <f t="shared" si="80"/>
        <v>1.1933598960928769E-3</v>
      </c>
      <c r="V182" s="309">
        <f t="shared" si="80"/>
        <v>1.1933598960928769E-3</v>
      </c>
      <c r="W182" s="309">
        <f t="shared" si="80"/>
        <v>1.1933598960928769E-3</v>
      </c>
      <c r="X182" s="309">
        <f t="shared" si="80"/>
        <v>1.1933598960928769E-3</v>
      </c>
      <c r="Y182" s="309">
        <f t="shared" si="80"/>
        <v>1.1933598960928769E-3</v>
      </c>
      <c r="Z182" s="309">
        <f t="shared" si="80"/>
        <v>1.1933598960928769E-3</v>
      </c>
      <c r="AA182" s="309">
        <f t="shared" si="80"/>
        <v>1.1933598960928769E-3</v>
      </c>
      <c r="AB182" s="309">
        <f t="shared" si="80"/>
        <v>1.1933598960928769E-3</v>
      </c>
      <c r="AC182" s="309">
        <f t="shared" si="80"/>
        <v>1.1933598960928769E-3</v>
      </c>
      <c r="AD182" s="309">
        <f t="shared" si="80"/>
        <v>1.1933598960928769E-3</v>
      </c>
      <c r="AE182" s="309">
        <f t="shared" si="80"/>
        <v>1.1933598960928769E-3</v>
      </c>
      <c r="AF182" s="309">
        <f t="shared" si="80"/>
        <v>1.1933598960928769E-3</v>
      </c>
    </row>
    <row r="183" spans="1:32" ht="12.9" customHeight="1">
      <c r="A183" s="383" t="s">
        <v>353</v>
      </c>
      <c r="B183" s="309">
        <f t="shared" ref="B183:AF183" si="81">B141</f>
        <v>2.0591872218044594E-3</v>
      </c>
      <c r="C183" s="309">
        <f t="shared" si="81"/>
        <v>2.0591872218044594E-3</v>
      </c>
      <c r="D183" s="309">
        <f t="shared" si="81"/>
        <v>2.0591872218044594E-3</v>
      </c>
      <c r="E183" s="309">
        <f t="shared" si="81"/>
        <v>2.0591872218044594E-3</v>
      </c>
      <c r="F183" s="309">
        <f t="shared" si="81"/>
        <v>2.0591872218044594E-3</v>
      </c>
      <c r="G183" s="309">
        <f t="shared" si="81"/>
        <v>2.0591872218044594E-3</v>
      </c>
      <c r="H183" s="309">
        <f t="shared" si="81"/>
        <v>2.0591872218044594E-3</v>
      </c>
      <c r="I183" s="309">
        <f t="shared" si="81"/>
        <v>2.0591872218044594E-3</v>
      </c>
      <c r="J183" s="309">
        <f t="shared" si="81"/>
        <v>2.0591872218044594E-3</v>
      </c>
      <c r="K183" s="309">
        <f t="shared" si="81"/>
        <v>2.0591872218044594E-3</v>
      </c>
      <c r="L183" s="309">
        <f t="shared" si="81"/>
        <v>2.0591872218044594E-3</v>
      </c>
      <c r="M183" s="309">
        <f t="shared" si="81"/>
        <v>2.0591872218044594E-3</v>
      </c>
      <c r="N183" s="309">
        <f t="shared" si="81"/>
        <v>2.0591872218044594E-3</v>
      </c>
      <c r="O183" s="309">
        <f t="shared" si="81"/>
        <v>2.0591872218044594E-3</v>
      </c>
      <c r="P183" s="309">
        <f t="shared" si="81"/>
        <v>2.0591872218044594E-3</v>
      </c>
      <c r="Q183" s="309">
        <f t="shared" si="81"/>
        <v>2.0591872218044594E-3</v>
      </c>
      <c r="R183" s="309">
        <f t="shared" si="81"/>
        <v>2.0591872218044594E-3</v>
      </c>
      <c r="S183" s="309">
        <f t="shared" si="81"/>
        <v>2.0591872218044594E-3</v>
      </c>
      <c r="T183" s="309">
        <f t="shared" si="81"/>
        <v>2.0591872218044594E-3</v>
      </c>
      <c r="U183" s="309">
        <f t="shared" si="81"/>
        <v>2.0591872218044594E-3</v>
      </c>
      <c r="V183" s="309">
        <f t="shared" si="81"/>
        <v>2.0591872218044594E-3</v>
      </c>
      <c r="W183" s="309">
        <f t="shared" si="81"/>
        <v>2.0591872218044594E-3</v>
      </c>
      <c r="X183" s="309">
        <f t="shared" si="81"/>
        <v>2.0591872218044594E-3</v>
      </c>
      <c r="Y183" s="309">
        <f t="shared" si="81"/>
        <v>2.0591872218044594E-3</v>
      </c>
      <c r="Z183" s="309">
        <f t="shared" si="81"/>
        <v>2.0591872218044594E-3</v>
      </c>
      <c r="AA183" s="309">
        <f t="shared" si="81"/>
        <v>2.0591872218044594E-3</v>
      </c>
      <c r="AB183" s="309">
        <f t="shared" si="81"/>
        <v>2.0591872218044594E-3</v>
      </c>
      <c r="AC183" s="309">
        <f t="shared" si="81"/>
        <v>2.0591872218044594E-3</v>
      </c>
      <c r="AD183" s="309">
        <f t="shared" si="81"/>
        <v>2.0591872218044594E-3</v>
      </c>
      <c r="AE183" s="309">
        <f t="shared" si="81"/>
        <v>2.0591872218044594E-3</v>
      </c>
      <c r="AF183" s="309">
        <f t="shared" si="81"/>
        <v>2.0591872218044594E-3</v>
      </c>
    </row>
    <row r="184" spans="1:32" ht="12.9" customHeight="1">
      <c r="A184" s="383" t="s">
        <v>355</v>
      </c>
      <c r="B184" s="309">
        <f t="shared" ref="B184:AF184" si="82">B142</f>
        <v>4.931094611706488E-4</v>
      </c>
      <c r="C184" s="309">
        <f t="shared" si="82"/>
        <v>4.931094611706488E-4</v>
      </c>
      <c r="D184" s="309">
        <f t="shared" si="82"/>
        <v>4.931094611706488E-4</v>
      </c>
      <c r="E184" s="309">
        <f t="shared" si="82"/>
        <v>4.9310946117075982E-4</v>
      </c>
      <c r="F184" s="309">
        <f t="shared" si="82"/>
        <v>4.931094611706488E-4</v>
      </c>
      <c r="G184" s="309">
        <f t="shared" si="82"/>
        <v>4.931094611706488E-4</v>
      </c>
      <c r="H184" s="309">
        <f t="shared" si="82"/>
        <v>4.931094611706488E-4</v>
      </c>
      <c r="I184" s="309">
        <f t="shared" si="82"/>
        <v>4.931094611706488E-4</v>
      </c>
      <c r="J184" s="309">
        <f t="shared" si="82"/>
        <v>4.931094611706488E-4</v>
      </c>
      <c r="K184" s="309">
        <f t="shared" si="82"/>
        <v>4.931094611706488E-4</v>
      </c>
      <c r="L184" s="309">
        <f t="shared" si="82"/>
        <v>4.931094611706488E-4</v>
      </c>
      <c r="M184" s="309">
        <f t="shared" si="82"/>
        <v>4.931094611706488E-4</v>
      </c>
      <c r="N184" s="309">
        <f t="shared" si="82"/>
        <v>4.931094611706488E-4</v>
      </c>
      <c r="O184" s="309">
        <f t="shared" si="82"/>
        <v>4.931094611706488E-4</v>
      </c>
      <c r="P184" s="309">
        <f t="shared" si="82"/>
        <v>4.931094611706488E-4</v>
      </c>
      <c r="Q184" s="309">
        <f t="shared" si="82"/>
        <v>4.931094611706488E-4</v>
      </c>
      <c r="R184" s="309">
        <f t="shared" si="82"/>
        <v>4.931094611706488E-4</v>
      </c>
      <c r="S184" s="309">
        <f t="shared" si="82"/>
        <v>4.931094611706488E-4</v>
      </c>
      <c r="T184" s="309">
        <f t="shared" si="82"/>
        <v>4.931094611706488E-4</v>
      </c>
      <c r="U184" s="309">
        <f t="shared" si="82"/>
        <v>4.931094611706488E-4</v>
      </c>
      <c r="V184" s="309">
        <f t="shared" si="82"/>
        <v>4.931094611706488E-4</v>
      </c>
      <c r="W184" s="309">
        <f t="shared" si="82"/>
        <v>4.931094611706488E-4</v>
      </c>
      <c r="X184" s="309">
        <f t="shared" si="82"/>
        <v>4.931094611706488E-4</v>
      </c>
      <c r="Y184" s="309">
        <f t="shared" si="82"/>
        <v>4.931094611706488E-4</v>
      </c>
      <c r="Z184" s="309">
        <f t="shared" si="82"/>
        <v>4.931094611706488E-4</v>
      </c>
      <c r="AA184" s="309">
        <f t="shared" si="82"/>
        <v>4.931094611706488E-4</v>
      </c>
      <c r="AB184" s="309">
        <f t="shared" si="82"/>
        <v>4.931094611706488E-4</v>
      </c>
      <c r="AC184" s="309">
        <f t="shared" si="82"/>
        <v>4.931094611706488E-4</v>
      </c>
      <c r="AD184" s="309">
        <f t="shared" si="82"/>
        <v>4.931094611706488E-4</v>
      </c>
      <c r="AE184" s="309">
        <f t="shared" si="82"/>
        <v>4.931094611706488E-4</v>
      </c>
      <c r="AF184" s="309">
        <f t="shared" si="82"/>
        <v>4.931094611706488E-4</v>
      </c>
    </row>
    <row r="185" spans="1:32" s="377" customFormat="1" ht="12.9" customHeight="1">
      <c r="A185" s="383" t="s">
        <v>361</v>
      </c>
      <c r="B185" s="318">
        <f t="shared" ref="B185:V185" si="83">1-SUM(B172:B184)</f>
        <v>0</v>
      </c>
      <c r="C185" s="318">
        <f t="shared" si="83"/>
        <v>0</v>
      </c>
      <c r="D185" s="318">
        <f t="shared" si="83"/>
        <v>0</v>
      </c>
      <c r="E185" s="318">
        <f t="shared" si="83"/>
        <v>0</v>
      </c>
      <c r="F185" s="318">
        <f t="shared" si="83"/>
        <v>0</v>
      </c>
      <c r="G185" s="318">
        <f t="shared" si="83"/>
        <v>0</v>
      </c>
      <c r="H185" s="318">
        <f t="shared" si="83"/>
        <v>0</v>
      </c>
      <c r="I185" s="318">
        <f t="shared" si="83"/>
        <v>0</v>
      </c>
      <c r="J185" s="318">
        <f t="shared" si="83"/>
        <v>0</v>
      </c>
      <c r="K185" s="318">
        <f t="shared" si="83"/>
        <v>0</v>
      </c>
      <c r="L185" s="318">
        <f t="shared" si="83"/>
        <v>0</v>
      </c>
      <c r="M185" s="318">
        <f t="shared" si="83"/>
        <v>0</v>
      </c>
      <c r="N185" s="318">
        <f t="shared" si="83"/>
        <v>0</v>
      </c>
      <c r="O185" s="318">
        <f t="shared" si="83"/>
        <v>0</v>
      </c>
      <c r="P185" s="318">
        <f t="shared" si="83"/>
        <v>0</v>
      </c>
      <c r="Q185" s="318">
        <f t="shared" si="83"/>
        <v>0</v>
      </c>
      <c r="R185" s="318">
        <f t="shared" si="83"/>
        <v>0</v>
      </c>
      <c r="S185" s="318">
        <f t="shared" si="83"/>
        <v>0</v>
      </c>
      <c r="T185" s="318">
        <f t="shared" si="83"/>
        <v>0</v>
      </c>
      <c r="U185" s="318">
        <f t="shared" si="83"/>
        <v>0</v>
      </c>
      <c r="V185" s="318">
        <f t="shared" si="83"/>
        <v>0</v>
      </c>
      <c r="W185" s="318">
        <f t="shared" ref="W185:AF185" si="84">1-SUM(W172:W184)</f>
        <v>0</v>
      </c>
      <c r="X185" s="318">
        <f t="shared" si="84"/>
        <v>0</v>
      </c>
      <c r="Y185" s="318">
        <f t="shared" si="84"/>
        <v>0</v>
      </c>
      <c r="Z185" s="318">
        <f t="shared" si="84"/>
        <v>0</v>
      </c>
      <c r="AA185" s="318">
        <f t="shared" si="84"/>
        <v>0</v>
      </c>
      <c r="AB185" s="318">
        <f t="shared" si="84"/>
        <v>0</v>
      </c>
      <c r="AC185" s="318">
        <f t="shared" si="84"/>
        <v>0</v>
      </c>
      <c r="AD185" s="318">
        <f t="shared" si="84"/>
        <v>0</v>
      </c>
      <c r="AE185" s="318">
        <f t="shared" si="84"/>
        <v>0</v>
      </c>
      <c r="AF185" s="318">
        <f t="shared" si="84"/>
        <v>0</v>
      </c>
    </row>
    <row r="186" spans="1:32" ht="12.9" customHeight="1">
      <c r="A186" s="280"/>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row>
    <row r="187" spans="1:32" ht="12.9" customHeight="1">
      <c r="A187" s="387" t="s">
        <v>362</v>
      </c>
      <c r="B187" s="309"/>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row>
    <row r="188" spans="1:32" ht="12.9" customHeight="1">
      <c r="A188" s="280"/>
      <c r="B188" s="310"/>
      <c r="C188" s="310"/>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310"/>
      <c r="AE188" s="310"/>
      <c r="AF188" s="310"/>
    </row>
    <row r="189" spans="1:32" ht="22.75" customHeight="1">
      <c r="A189" s="443" t="s">
        <v>1275</v>
      </c>
      <c r="B189" s="310">
        <f>B13+B36+B65+B80</f>
        <v>0.29956018489871528</v>
      </c>
      <c r="C189" s="310">
        <f t="shared" ref="C189:AF189" si="85">C13+C36+C65+C80</f>
        <v>0.29667531494264882</v>
      </c>
      <c r="D189" s="310">
        <f t="shared" si="85"/>
        <v>0.29400570338936893</v>
      </c>
      <c r="E189" s="310">
        <f t="shared" si="85"/>
        <v>0.29117474976278385</v>
      </c>
      <c r="F189" s="310">
        <f t="shared" si="85"/>
        <v>0.28875499036605906</v>
      </c>
      <c r="G189" s="310">
        <f t="shared" si="85"/>
        <v>0.28719512010865611</v>
      </c>
      <c r="H189" s="310">
        <f t="shared" si="85"/>
        <v>0.28542943569802831</v>
      </c>
      <c r="I189" s="310">
        <f t="shared" si="85"/>
        <v>0.28364261546454883</v>
      </c>
      <c r="J189" s="310">
        <f t="shared" si="85"/>
        <v>0.28234213863210977</v>
      </c>
      <c r="K189" s="310">
        <f t="shared" si="85"/>
        <v>0.28173999293204638</v>
      </c>
      <c r="L189" s="310">
        <f t="shared" si="85"/>
        <v>0.28345973822467241</v>
      </c>
      <c r="M189" s="310">
        <f t="shared" si="85"/>
        <v>0.28476775264292425</v>
      </c>
      <c r="N189" s="310">
        <f t="shared" si="85"/>
        <v>0.28718232303114588</v>
      </c>
      <c r="O189" s="310">
        <f t="shared" si="85"/>
        <v>0.28976272670990399</v>
      </c>
      <c r="P189" s="310">
        <f t="shared" si="85"/>
        <v>0.29254696766897442</v>
      </c>
      <c r="Q189" s="310">
        <f t="shared" si="85"/>
        <v>0.29556900368764771</v>
      </c>
      <c r="R189" s="310">
        <f t="shared" si="85"/>
        <v>0.29772861323168959</v>
      </c>
      <c r="S189" s="310">
        <f t="shared" si="85"/>
        <v>0.30030685117285144</v>
      </c>
      <c r="T189" s="310">
        <f t="shared" si="85"/>
        <v>0.30288387189556504</v>
      </c>
      <c r="U189" s="310">
        <f t="shared" si="85"/>
        <v>0.3054589798081539</v>
      </c>
      <c r="V189" s="310">
        <f t="shared" si="85"/>
        <v>0.30804363736959667</v>
      </c>
      <c r="W189" s="310">
        <f t="shared" si="85"/>
        <v>0.3106319764481244</v>
      </c>
      <c r="X189" s="310">
        <f t="shared" si="85"/>
        <v>0.31320957380399961</v>
      </c>
      <c r="Y189" s="310">
        <f t="shared" si="85"/>
        <v>0.31577721607541226</v>
      </c>
      <c r="Z189" s="310">
        <f t="shared" si="85"/>
        <v>0.31833798703948574</v>
      </c>
      <c r="AA189" s="310">
        <f t="shared" si="85"/>
        <v>0.32089129787386794</v>
      </c>
      <c r="AB189" s="310">
        <f t="shared" si="85"/>
        <v>0.32330462242421054</v>
      </c>
      <c r="AC189" s="310">
        <f t="shared" si="85"/>
        <v>0.32570698065363846</v>
      </c>
      <c r="AD189" s="310">
        <f t="shared" si="85"/>
        <v>0.32809811996057153</v>
      </c>
      <c r="AE189" s="310">
        <f t="shared" si="85"/>
        <v>0.33048178952876855</v>
      </c>
      <c r="AF189" s="310">
        <f t="shared" si="85"/>
        <v>0.33286100557404052</v>
      </c>
    </row>
    <row r="190" spans="1:32" ht="12.9" customHeight="1">
      <c r="A190" s="280" t="s">
        <v>408</v>
      </c>
      <c r="B190" s="309">
        <f>B189/'Baseline Consumption'!Q69</f>
        <v>0.99982460780314608</v>
      </c>
      <c r="C190" s="309">
        <f>C189/'Baseline Consumption'!R69</f>
        <v>0.99787431198216137</v>
      </c>
      <c r="D190" s="309">
        <f>D189/'Baseline Consumption'!S69</f>
        <v>0.99683353346843406</v>
      </c>
      <c r="E190" s="309">
        <f>E189/'Baseline Consumption'!T69</f>
        <v>0.99520344731500621</v>
      </c>
      <c r="F190" s="309">
        <f>F189/'Baseline Consumption'!U69</f>
        <v>0.99493627386308203</v>
      </c>
      <c r="G190" s="309">
        <f>G189/'Baseline Consumption'!V69</f>
        <v>0.99667872442299432</v>
      </c>
      <c r="H190" s="309">
        <f>H189/'Baseline Consumption'!W69</f>
        <v>0.99725472786045555</v>
      </c>
      <c r="I190" s="309">
        <f>I189/'Baseline Consumption'!X69</f>
        <v>0.99652517576607302</v>
      </c>
      <c r="J190" s="309">
        <f>J189/'Baseline Consumption'!Y69</f>
        <v>0.99564603911251837</v>
      </c>
      <c r="K190" s="309">
        <f>K189/'Baseline Consumption'!Z69</f>
        <v>0.99193558980614394</v>
      </c>
      <c r="L190" s="309">
        <f>L189/'Baseline Consumption'!AA69</f>
        <v>0.99020717280768589</v>
      </c>
      <c r="M190" s="309">
        <f>M189/'Baseline Consumption'!AB69</f>
        <v>0.98819251064829938</v>
      </c>
      <c r="N190" s="309">
        <f>N189/'Baseline Consumption'!AC69</f>
        <v>0.98630676457623068</v>
      </c>
      <c r="O190" s="309">
        <f>O189/'Baseline Consumption'!AD69</f>
        <v>0.98450909553130739</v>
      </c>
      <c r="P190" s="309">
        <f>P189/'Baseline Consumption'!AE69</f>
        <v>0.98294491425661012</v>
      </c>
      <c r="Q190" s="309">
        <f>Q189/'Baseline Consumption'!AF69</f>
        <v>0.98159070401192894</v>
      </c>
      <c r="R190" s="309">
        <f>R189/'Baseline Consumption'!AG69</f>
        <v>0.98038416034290166</v>
      </c>
      <c r="S190" s="309">
        <f>S189/'Baseline Consumption'!AH69</f>
        <v>0.97913180202542882</v>
      </c>
      <c r="T190" s="309">
        <f>T189/'Baseline Consumption'!AI69</f>
        <v>0.97789994898129884</v>
      </c>
      <c r="U190" s="309">
        <f>U189/'Baseline Consumption'!AJ69</f>
        <v>0.9766857827693588</v>
      </c>
      <c r="V190" s="309">
        <f>V189/'Baseline Consumption'!AK69</f>
        <v>0.97552509543522004</v>
      </c>
      <c r="W190" s="309">
        <f>W189/'Baseline Consumption'!AL69</f>
        <v>0.97439795901645698</v>
      </c>
      <c r="X190" s="309">
        <f>X189/'Baseline Consumption'!AM69</f>
        <v>0.97325861008649628</v>
      </c>
      <c r="Y190" s="309">
        <f>Y189/'Baseline Consumption'!AN69</f>
        <v>0.97210981108568217</v>
      </c>
      <c r="Z190" s="309">
        <f>Z189/'Baseline Consumption'!AO69</f>
        <v>0.97096122911021743</v>
      </c>
      <c r="AA190" s="309">
        <f>AA189/'Baseline Consumption'!AP69</f>
        <v>0.96981107865093785</v>
      </c>
      <c r="AB190" s="309">
        <f>AB189/'Baseline Consumption'!AQ69</f>
        <v>0.96826250073987041</v>
      </c>
      <c r="AC190" s="309">
        <f>AC189/'Baseline Consumption'!AR69</f>
        <v>0.96670915052064788</v>
      </c>
      <c r="AD190" s="309">
        <f>AD189/'Baseline Consumption'!AS69</f>
        <v>0.96515041218400832</v>
      </c>
      <c r="AE190" s="309">
        <f>AE189/'Baseline Consumption'!AT69</f>
        <v>0.96359735976843786</v>
      </c>
      <c r="AF190" s="309">
        <f>AF189/'Baseline Consumption'!AU69</f>
        <v>0.96205856198505468</v>
      </c>
    </row>
    <row r="191" spans="1:32" ht="12.9" customHeight="1">
      <c r="A191" s="280"/>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c r="AF191" s="310"/>
    </row>
    <row r="192" spans="1:32" ht="12.9" customHeight="1">
      <c r="A192" s="280" t="s">
        <v>1274</v>
      </c>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310"/>
      <c r="AF192" s="310"/>
    </row>
    <row r="193" spans="1:38" ht="12.9" customHeight="1">
      <c r="A193" s="71" t="s">
        <v>2</v>
      </c>
      <c r="B193" s="309">
        <f t="shared" ref="B193:AF193" si="86">B$190*B172/B130</f>
        <v>0.97326424372421705</v>
      </c>
      <c r="C193" s="309">
        <f t="shared" si="86"/>
        <v>0.91975134424946514</v>
      </c>
      <c r="D193" s="309">
        <f t="shared" si="86"/>
        <v>0.76748864784424353</v>
      </c>
      <c r="E193" s="309">
        <f t="shared" si="86"/>
        <v>0.73285105542779105</v>
      </c>
      <c r="F193" s="309">
        <f t="shared" si="86"/>
        <v>0.55705866294076356</v>
      </c>
      <c r="G193" s="309">
        <f t="shared" si="86"/>
        <v>0.27901712511337368</v>
      </c>
      <c r="H193" s="309">
        <f t="shared" si="86"/>
        <v>0</v>
      </c>
      <c r="I193" s="309">
        <f t="shared" si="86"/>
        <v>0</v>
      </c>
      <c r="J193" s="309">
        <f t="shared" si="86"/>
        <v>0</v>
      </c>
      <c r="K193" s="309">
        <f t="shared" si="86"/>
        <v>0</v>
      </c>
      <c r="L193" s="309">
        <f t="shared" si="86"/>
        <v>0</v>
      </c>
      <c r="M193" s="309">
        <f t="shared" si="86"/>
        <v>0</v>
      </c>
      <c r="N193" s="309">
        <f t="shared" si="86"/>
        <v>0</v>
      </c>
      <c r="O193" s="309">
        <f t="shared" si="86"/>
        <v>0</v>
      </c>
      <c r="P193" s="309">
        <f t="shared" si="86"/>
        <v>0</v>
      </c>
      <c r="Q193" s="309">
        <f t="shared" si="86"/>
        <v>0</v>
      </c>
      <c r="R193" s="309">
        <f t="shared" si="86"/>
        <v>0</v>
      </c>
      <c r="S193" s="309">
        <f t="shared" si="86"/>
        <v>0</v>
      </c>
      <c r="T193" s="309">
        <f t="shared" si="86"/>
        <v>0</v>
      </c>
      <c r="U193" s="309">
        <f t="shared" si="86"/>
        <v>0</v>
      </c>
      <c r="V193" s="309">
        <f t="shared" si="86"/>
        <v>0</v>
      </c>
      <c r="W193" s="309">
        <f t="shared" si="86"/>
        <v>0</v>
      </c>
      <c r="X193" s="309">
        <f t="shared" si="86"/>
        <v>0</v>
      </c>
      <c r="Y193" s="309">
        <f t="shared" si="86"/>
        <v>0</v>
      </c>
      <c r="Z193" s="309">
        <f t="shared" si="86"/>
        <v>0</v>
      </c>
      <c r="AA193" s="309">
        <f t="shared" si="86"/>
        <v>0</v>
      </c>
      <c r="AB193" s="309">
        <f t="shared" si="86"/>
        <v>0</v>
      </c>
      <c r="AC193" s="309">
        <f t="shared" si="86"/>
        <v>0</v>
      </c>
      <c r="AD193" s="309">
        <f t="shared" si="86"/>
        <v>0</v>
      </c>
      <c r="AE193" s="309">
        <f t="shared" si="86"/>
        <v>0</v>
      </c>
      <c r="AF193" s="309">
        <f t="shared" si="86"/>
        <v>0</v>
      </c>
    </row>
    <row r="194" spans="1:38" ht="12.9" customHeight="1">
      <c r="A194" s="71" t="s">
        <v>1</v>
      </c>
      <c r="B194" s="309">
        <f t="shared" ref="B194:AF194" si="87">B$190*B173/B131</f>
        <v>0.99109355036554958</v>
      </c>
      <c r="C194" s="309">
        <f t="shared" si="87"/>
        <v>0.97519169097208669</v>
      </c>
      <c r="D194" s="309">
        <f t="shared" si="87"/>
        <v>0.9558498832829817</v>
      </c>
      <c r="E194" s="309">
        <f t="shared" si="87"/>
        <v>0.93311974166652267</v>
      </c>
      <c r="F194" s="309">
        <f t="shared" si="87"/>
        <v>0.90770116408298152</v>
      </c>
      <c r="G194" s="309">
        <f t="shared" si="87"/>
        <v>0.90380176567239823</v>
      </c>
      <c r="H194" s="309">
        <f t="shared" si="87"/>
        <v>0.89595694779468404</v>
      </c>
      <c r="I194" s="309">
        <f t="shared" si="87"/>
        <v>0.8833651495594671</v>
      </c>
      <c r="J194" s="309">
        <f t="shared" si="87"/>
        <v>0.87356052275228613</v>
      </c>
      <c r="K194" s="309">
        <f t="shared" si="87"/>
        <v>0.85912526434373526</v>
      </c>
      <c r="L194" s="309">
        <f>L$190*L173/L131</f>
        <v>0.84683613857049223</v>
      </c>
      <c r="M194" s="309">
        <f t="shared" si="87"/>
        <v>0.83418168474329946</v>
      </c>
      <c r="N194" s="309">
        <f t="shared" si="87"/>
        <v>0.80137424621818742</v>
      </c>
      <c r="O194" s="309">
        <f t="shared" si="87"/>
        <v>0.73838182164848054</v>
      </c>
      <c r="P194" s="309">
        <f t="shared" si="87"/>
        <v>0.67577462855141934</v>
      </c>
      <c r="Q194" s="309">
        <f t="shared" si="87"/>
        <v>0.61349419000745564</v>
      </c>
      <c r="R194" s="309">
        <f t="shared" si="87"/>
        <v>0.55146609019288217</v>
      </c>
      <c r="S194" s="309">
        <f t="shared" si="87"/>
        <v>0.48956590101271447</v>
      </c>
      <c r="T194" s="309">
        <f t="shared" si="87"/>
        <v>0.42783122767931825</v>
      </c>
      <c r="U194" s="309">
        <f t="shared" si="87"/>
        <v>0.36625716853850948</v>
      </c>
      <c r="V194" s="309">
        <f t="shared" si="87"/>
        <v>0.30485159232350628</v>
      </c>
      <c r="W194" s="309">
        <f t="shared" si="87"/>
        <v>0.24359948975411425</v>
      </c>
      <c r="X194" s="309">
        <f t="shared" si="87"/>
        <v>0.18248598939121802</v>
      </c>
      <c r="Y194" s="309">
        <f t="shared" si="87"/>
        <v>0.12151372638571034</v>
      </c>
      <c r="Z194" s="309">
        <f t="shared" si="87"/>
        <v>6.0685076819388624E-2</v>
      </c>
      <c r="AA194" s="309">
        <f t="shared" si="87"/>
        <v>0</v>
      </c>
      <c r="AB194" s="309">
        <f t="shared" si="87"/>
        <v>0</v>
      </c>
      <c r="AC194" s="309">
        <f t="shared" si="87"/>
        <v>0</v>
      </c>
      <c r="AD194" s="309">
        <f t="shared" si="87"/>
        <v>0</v>
      </c>
      <c r="AE194" s="309">
        <f t="shared" si="87"/>
        <v>0</v>
      </c>
      <c r="AF194" s="309">
        <f t="shared" si="87"/>
        <v>0</v>
      </c>
    </row>
    <row r="195" spans="1:38" ht="12.9" customHeight="1">
      <c r="A195" s="71" t="s">
        <v>406</v>
      </c>
      <c r="B195" s="309">
        <f t="shared" ref="B195:AF195" si="88">B$190*B174/B132</f>
        <v>0.99109355036554947</v>
      </c>
      <c r="C195" s="309">
        <f t="shared" si="88"/>
        <v>0.9751916909720868</v>
      </c>
      <c r="D195" s="309">
        <f t="shared" si="88"/>
        <v>0.95584988328298193</v>
      </c>
      <c r="E195" s="309">
        <f t="shared" si="88"/>
        <v>0.93311974166652267</v>
      </c>
      <c r="F195" s="309">
        <f t="shared" si="88"/>
        <v>0.90770116408298163</v>
      </c>
      <c r="G195" s="309">
        <f t="shared" si="88"/>
        <v>0.90380176567239823</v>
      </c>
      <c r="H195" s="309">
        <f t="shared" si="88"/>
        <v>0.89595694779468393</v>
      </c>
      <c r="I195" s="309">
        <f t="shared" si="88"/>
        <v>0.88336514955946699</v>
      </c>
      <c r="J195" s="309">
        <f t="shared" si="88"/>
        <v>0.87356052275228602</v>
      </c>
      <c r="K195" s="309">
        <f t="shared" si="88"/>
        <v>0.85912526434373526</v>
      </c>
      <c r="L195" s="309">
        <f t="shared" si="88"/>
        <v>0.84683613857049223</v>
      </c>
      <c r="M195" s="309">
        <f t="shared" si="88"/>
        <v>0.83418168474329946</v>
      </c>
      <c r="N195" s="309">
        <f t="shared" si="88"/>
        <v>0.80137424621818742</v>
      </c>
      <c r="O195" s="309">
        <f t="shared" si="88"/>
        <v>0.73838182164848054</v>
      </c>
      <c r="P195" s="309">
        <f t="shared" si="88"/>
        <v>0.67577462855141945</v>
      </c>
      <c r="Q195" s="309">
        <f t="shared" si="88"/>
        <v>0.61349419000745564</v>
      </c>
      <c r="R195" s="309">
        <f t="shared" si="88"/>
        <v>0.55146609019288229</v>
      </c>
      <c r="S195" s="309">
        <f t="shared" si="88"/>
        <v>0.48956590101271441</v>
      </c>
      <c r="T195" s="309">
        <f t="shared" si="88"/>
        <v>0.42783122767931819</v>
      </c>
      <c r="U195" s="309">
        <f t="shared" si="88"/>
        <v>0.36625716853850954</v>
      </c>
      <c r="V195" s="309">
        <f t="shared" si="88"/>
        <v>0.30485159232350628</v>
      </c>
      <c r="W195" s="309">
        <f t="shared" si="88"/>
        <v>0.24359948975411427</v>
      </c>
      <c r="X195" s="309">
        <f t="shared" si="88"/>
        <v>0.18248598939121805</v>
      </c>
      <c r="Y195" s="309">
        <f t="shared" si="88"/>
        <v>0.12151372638571031</v>
      </c>
      <c r="Z195" s="309">
        <f t="shared" si="88"/>
        <v>6.0685076819388527E-2</v>
      </c>
      <c r="AA195" s="309">
        <f t="shared" si="88"/>
        <v>0</v>
      </c>
      <c r="AB195" s="309">
        <f t="shared" si="88"/>
        <v>0</v>
      </c>
      <c r="AC195" s="309">
        <f t="shared" si="88"/>
        <v>0</v>
      </c>
      <c r="AD195" s="309">
        <f t="shared" si="88"/>
        <v>0</v>
      </c>
      <c r="AE195" s="309">
        <f t="shared" si="88"/>
        <v>0</v>
      </c>
      <c r="AF195" s="309">
        <f t="shared" si="88"/>
        <v>0</v>
      </c>
    </row>
    <row r="196" spans="1:38" ht="12.9" customHeight="1">
      <c r="A196" s="71" t="s">
        <v>247</v>
      </c>
      <c r="B196" s="309">
        <f t="shared" ref="B196:AF196" si="89">B$190*B175/B133</f>
        <v>0.99306628247501472</v>
      </c>
      <c r="C196" s="309">
        <f t="shared" si="89"/>
        <v>0.97975989547495512</v>
      </c>
      <c r="D196" s="309">
        <f t="shared" si="89"/>
        <v>0.96186974055167995</v>
      </c>
      <c r="E196" s="309">
        <f t="shared" si="89"/>
        <v>0.95277364095629324</v>
      </c>
      <c r="F196" s="309">
        <f t="shared" si="89"/>
        <v>0.94538085404507366</v>
      </c>
      <c r="G196" s="309">
        <f t="shared" si="89"/>
        <v>0.94123624413921403</v>
      </c>
      <c r="H196" s="309">
        <f t="shared" si="89"/>
        <v>0.93650933468427633</v>
      </c>
      <c r="I196" s="309">
        <f t="shared" si="89"/>
        <v>0.89687265818946571</v>
      </c>
      <c r="J196" s="309">
        <f t="shared" si="89"/>
        <v>0.84629913324564054</v>
      </c>
      <c r="K196" s="309">
        <f t="shared" si="89"/>
        <v>0.79354847184491506</v>
      </c>
      <c r="L196" s="309">
        <f t="shared" si="89"/>
        <v>0.74265537960576444</v>
      </c>
      <c r="M196" s="309">
        <f t="shared" si="89"/>
        <v>0.69173475745380952</v>
      </c>
      <c r="N196" s="309">
        <f t="shared" si="89"/>
        <v>0.64109939697454998</v>
      </c>
      <c r="O196" s="309">
        <f t="shared" si="89"/>
        <v>0.59070545731878432</v>
      </c>
      <c r="P196" s="309">
        <f t="shared" si="89"/>
        <v>0.54061970284113559</v>
      </c>
      <c r="Q196" s="309">
        <f t="shared" si="89"/>
        <v>0.49079535200596452</v>
      </c>
      <c r="R196" s="309">
        <f t="shared" si="89"/>
        <v>0.44117287215430573</v>
      </c>
      <c r="S196" s="309">
        <f t="shared" si="89"/>
        <v>0.39165272081017155</v>
      </c>
      <c r="T196" s="309">
        <f t="shared" si="89"/>
        <v>0.34226498214345458</v>
      </c>
      <c r="U196" s="309">
        <f t="shared" si="89"/>
        <v>0.29300573483080772</v>
      </c>
      <c r="V196" s="309">
        <f t="shared" si="89"/>
        <v>0.24388127385880493</v>
      </c>
      <c r="W196" s="309">
        <f t="shared" si="89"/>
        <v>0.19487959180329131</v>
      </c>
      <c r="X196" s="309">
        <f t="shared" si="89"/>
        <v>0.14598879151297448</v>
      </c>
      <c r="Y196" s="309">
        <f t="shared" si="89"/>
        <v>9.721098110856824E-2</v>
      </c>
      <c r="Z196" s="309">
        <f t="shared" si="89"/>
        <v>4.8548061455510889E-2</v>
      </c>
      <c r="AA196" s="309">
        <f t="shared" si="89"/>
        <v>0</v>
      </c>
      <c r="AB196" s="309">
        <f t="shared" si="89"/>
        <v>0</v>
      </c>
      <c r="AC196" s="309">
        <f t="shared" si="89"/>
        <v>0</v>
      </c>
      <c r="AD196" s="309">
        <f t="shared" si="89"/>
        <v>0</v>
      </c>
      <c r="AE196" s="309">
        <f t="shared" si="89"/>
        <v>0</v>
      </c>
      <c r="AF196" s="309">
        <f t="shared" si="89"/>
        <v>0</v>
      </c>
    </row>
    <row r="197" spans="1:38" ht="12.9" customHeight="1">
      <c r="A197" s="104"/>
      <c r="B197" s="310"/>
      <c r="C197" s="310"/>
      <c r="D197" s="310"/>
      <c r="E197" s="310"/>
      <c r="F197" s="310"/>
      <c r="G197" s="310"/>
      <c r="H197" s="310"/>
      <c r="I197" s="310"/>
      <c r="J197" s="310"/>
      <c r="K197" s="310"/>
      <c r="L197" s="310"/>
      <c r="M197" s="310"/>
      <c r="N197" s="310"/>
      <c r="O197" s="310"/>
      <c r="P197" s="310"/>
      <c r="Q197" s="310"/>
      <c r="R197" s="310"/>
      <c r="S197" s="310"/>
      <c r="T197" s="310"/>
      <c r="U197" s="310"/>
      <c r="V197" s="310"/>
      <c r="W197" s="310"/>
      <c r="X197" s="310"/>
      <c r="Y197" s="310"/>
      <c r="Z197" s="310"/>
      <c r="AA197" s="310"/>
      <c r="AB197" s="310"/>
      <c r="AC197" s="310"/>
      <c r="AD197" s="310"/>
      <c r="AE197" s="310"/>
      <c r="AF197" s="310"/>
    </row>
    <row r="198" spans="1:38" s="4" customFormat="1" ht="12.9" customHeight="1">
      <c r="A198" s="396" t="s">
        <v>1305</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310"/>
      <c r="AF198" s="310"/>
    </row>
    <row r="199" spans="1:38" ht="12.9" customHeight="1">
      <c r="A199" s="71" t="s">
        <v>2</v>
      </c>
      <c r="B199" s="418">
        <f>'Baseline Consumption'!Q95*B193</f>
        <v>0.10288682017905212</v>
      </c>
      <c r="C199" s="418">
        <f>'Baseline Consumption'!R95*C193</f>
        <v>8.3455701169857635E-2</v>
      </c>
      <c r="D199" s="418">
        <f>'Baseline Consumption'!S95*D193</f>
        <v>6.9115123520203367E-2</v>
      </c>
      <c r="E199" s="418">
        <f>'Baseline Consumption'!T95*E193</f>
        <v>5.1380807909471901E-2</v>
      </c>
      <c r="F199" s="418">
        <f>'Baseline Consumption'!U95*F193</f>
        <v>3.3972473923664127E-2</v>
      </c>
      <c r="G199" s="418">
        <f>'Baseline Consumption'!V95*G193</f>
        <v>1.6894281200858813E-2</v>
      </c>
      <c r="H199" s="310">
        <f>'Baseline Consumption'!W95*H193</f>
        <v>0</v>
      </c>
      <c r="I199" s="310">
        <f>'Baseline Consumption'!X95*I193</f>
        <v>0</v>
      </c>
      <c r="J199" s="310">
        <f>'Baseline Consumption'!Y95*J193</f>
        <v>0</v>
      </c>
      <c r="K199" s="310">
        <f>'Baseline Consumption'!Z95*K193</f>
        <v>0</v>
      </c>
      <c r="L199" s="310">
        <f>'Baseline Consumption'!AA95*L193</f>
        <v>0</v>
      </c>
      <c r="M199" s="310">
        <f>'Baseline Consumption'!AB95*M193</f>
        <v>0</v>
      </c>
      <c r="N199" s="310">
        <f>'Baseline Consumption'!AC95*N193</f>
        <v>0</v>
      </c>
      <c r="O199" s="310">
        <f>'Baseline Consumption'!AD95*O193</f>
        <v>0</v>
      </c>
      <c r="P199" s="310">
        <f>'Baseline Consumption'!AE95*P193</f>
        <v>0</v>
      </c>
      <c r="Q199" s="310">
        <f>'Baseline Consumption'!AF95*Q193</f>
        <v>0</v>
      </c>
      <c r="R199" s="310">
        <f>'Baseline Consumption'!AG95*R193</f>
        <v>0</v>
      </c>
      <c r="S199" s="310">
        <f>'Baseline Consumption'!AH95*S193</f>
        <v>0</v>
      </c>
      <c r="T199" s="310">
        <f>'Baseline Consumption'!AI95*T193</f>
        <v>0</v>
      </c>
      <c r="U199" s="310">
        <f>'Baseline Consumption'!AJ95*U193</f>
        <v>0</v>
      </c>
      <c r="V199" s="310">
        <f>'Baseline Consumption'!AK95*V193</f>
        <v>0</v>
      </c>
      <c r="W199" s="310">
        <f>'Baseline Consumption'!AL95*W193</f>
        <v>0</v>
      </c>
      <c r="X199" s="310">
        <f>'Baseline Consumption'!AM95*X193</f>
        <v>0</v>
      </c>
      <c r="Y199" s="310">
        <f>'Baseline Consumption'!AN95*Y193</f>
        <v>0</v>
      </c>
      <c r="Z199" s="310">
        <f>'Baseline Consumption'!AO95*Z193</f>
        <v>0</v>
      </c>
      <c r="AA199" s="310">
        <f>'Baseline Consumption'!AP95*AA193</f>
        <v>0</v>
      </c>
      <c r="AB199" s="310">
        <f>'Baseline Consumption'!AQ95*AB193</f>
        <v>0</v>
      </c>
      <c r="AC199" s="310">
        <f>'Baseline Consumption'!AR95*AC193</f>
        <v>0</v>
      </c>
      <c r="AD199" s="310">
        <f>'Baseline Consumption'!AS95*AD193</f>
        <v>0</v>
      </c>
      <c r="AE199" s="310">
        <f>'Baseline Consumption'!AT95*AE193</f>
        <v>0</v>
      </c>
      <c r="AF199" s="310">
        <f>'Baseline Consumption'!AU95*AF193</f>
        <v>0</v>
      </c>
    </row>
    <row r="200" spans="1:38" ht="12.9" customHeight="1">
      <c r="A200" s="71" t="s">
        <v>1</v>
      </c>
      <c r="B200" s="418">
        <f>'Baseline Consumption'!Q96*B194</f>
        <v>4.4355819013026453E-2</v>
      </c>
      <c r="C200" s="418">
        <f>'Baseline Consumption'!R96*C194</f>
        <v>4.9935688668629165E-2</v>
      </c>
      <c r="D200" s="418">
        <f>'Baseline Consumption'!S96*D194</f>
        <v>4.829872210296323E-2</v>
      </c>
      <c r="E200" s="418">
        <f>'Baseline Consumption'!T96*E194</f>
        <v>5.5481110540919608E-2</v>
      </c>
      <c r="F200" s="418">
        <f>'Baseline Consumption'!U96*F194</f>
        <v>5.7086091261715009E-2</v>
      </c>
      <c r="G200" s="418">
        <f>'Baseline Consumption'!V96*G194</f>
        <v>5.6149577405062608E-2</v>
      </c>
      <c r="H200" s="310">
        <f>'Baseline Consumption'!W96*H194</f>
        <v>6.0687074364877823E-2</v>
      </c>
      <c r="I200" s="310">
        <f>'Baseline Consumption'!X96*I194</f>
        <v>5.9226544350458342E-2</v>
      </c>
      <c r="J200" s="310">
        <f>'Baseline Consumption'!Y96*J194</f>
        <v>5.9604718687179689E-2</v>
      </c>
      <c r="K200" s="310">
        <f>'Baseline Consumption'!Z96*K194</f>
        <v>6.1357630605562645E-2</v>
      </c>
      <c r="L200" s="310">
        <f>'Baseline Consumption'!AA96*L194</f>
        <v>6.095534030322125E-2</v>
      </c>
      <c r="M200" s="310">
        <f>'Baseline Consumption'!AB96*M194</f>
        <v>6.0444524189716596E-2</v>
      </c>
      <c r="N200" s="310">
        <f>'Baseline Consumption'!AC96*N194</f>
        <v>5.867162773783758E-2</v>
      </c>
      <c r="O200" s="310">
        <f>'Baseline Consumption'!AD96*O194</f>
        <v>5.4645052354682234E-2</v>
      </c>
      <c r="P200" s="310">
        <f>'Baseline Consumption'!AE96*P194</f>
        <v>5.0572609874604962E-2</v>
      </c>
      <c r="Q200" s="310">
        <f>'Baseline Consumption'!AF96*Q194</f>
        <v>4.6450026729118563E-2</v>
      </c>
      <c r="R200" s="310">
        <f>'Baseline Consumption'!AG96*R194</f>
        <v>4.2110477360897916E-2</v>
      </c>
      <c r="S200" s="310">
        <f>'Baseline Consumption'!AH96*S194</f>
        <v>3.7755680981102394E-2</v>
      </c>
      <c r="T200" s="310">
        <f>'Baseline Consumption'!AI96*T194</f>
        <v>3.3319714309978973E-2</v>
      </c>
      <c r="U200" s="310">
        <f>'Baseline Consumption'!AJ96*U194</f>
        <v>2.880256914571247E-2</v>
      </c>
      <c r="V200" s="310">
        <f>'Baseline Consumption'!AK96*V194</f>
        <v>2.4205236359415062E-2</v>
      </c>
      <c r="W200" s="310">
        <f>'Baseline Consumption'!AL96*W194</f>
        <v>1.9526896838184669E-2</v>
      </c>
      <c r="X200" s="310">
        <f>'Baseline Consumption'!AM96*X194</f>
        <v>1.4766697008309758E-2</v>
      </c>
      <c r="Y200" s="310">
        <f>'Baseline Consumption'!AN96*Y194</f>
        <v>9.9251680278695902E-3</v>
      </c>
      <c r="Z200" s="310">
        <f>'Baseline Consumption'!AO96*Z194</f>
        <v>5.002827706014925E-3</v>
      </c>
      <c r="AA200" s="310">
        <f>'Baseline Consumption'!AP96*AA194</f>
        <v>0</v>
      </c>
      <c r="AB200" s="310">
        <f>'Baseline Consumption'!AQ96*AB194</f>
        <v>0</v>
      </c>
      <c r="AC200" s="310">
        <f>'Baseline Consumption'!AR96*AC194</f>
        <v>0</v>
      </c>
      <c r="AD200" s="310">
        <f>'Baseline Consumption'!AS96*AD194</f>
        <v>0</v>
      </c>
      <c r="AE200" s="310">
        <f>'Baseline Consumption'!AT96*AE194</f>
        <v>0</v>
      </c>
      <c r="AF200" s="310">
        <f>'Baseline Consumption'!AU96*AF194</f>
        <v>0</v>
      </c>
    </row>
    <row r="201" spans="1:38" ht="12.9" customHeight="1">
      <c r="A201" s="71" t="s">
        <v>406</v>
      </c>
      <c r="B201" s="418">
        <f>'Baseline Consumption'!Q97*B195</f>
        <v>6.2909527422530332E-3</v>
      </c>
      <c r="C201" s="418">
        <f>'Baseline Consumption'!R97*C195</f>
        <v>6.1116494041233305E-3</v>
      </c>
      <c r="D201" s="418">
        <f>'Baseline Consumption'!S97*D195</f>
        <v>5.9113003951808121E-3</v>
      </c>
      <c r="E201" s="418">
        <f>'Baseline Consumption'!T97*E195</f>
        <v>5.7014478787596476E-3</v>
      </c>
      <c r="F201" s="418">
        <f>'Baseline Consumption'!U97*F195</f>
        <v>5.4765002438074495E-3</v>
      </c>
      <c r="G201" s="418">
        <f>'Baseline Consumption'!V97*G195</f>
        <v>5.3866566715654379E-3</v>
      </c>
      <c r="H201" s="310">
        <f>'Baseline Consumption'!W97*H195</f>
        <v>5.2786727825378512E-3</v>
      </c>
      <c r="I201" s="310">
        <f>'Baseline Consumption'!X97*I195</f>
        <v>5.1516332091874912E-3</v>
      </c>
      <c r="J201" s="310">
        <f>'Baseline Consumption'!Y97*J195</f>
        <v>5.184527505035447E-3</v>
      </c>
      <c r="K201" s="310">
        <f>'Baseline Consumption'!Z97*K195</f>
        <v>5.0442211824556007E-3</v>
      </c>
      <c r="L201" s="310">
        <f>'Baseline Consumption'!AA97*L195</f>
        <v>5.0111488287069373E-3</v>
      </c>
      <c r="M201" s="310">
        <f>'Baseline Consumption'!AB97*M195</f>
        <v>4.9691545496800323E-3</v>
      </c>
      <c r="N201" s="310">
        <f>'Baseline Consumption'!AC97*N195</f>
        <v>4.8234044327246069E-3</v>
      </c>
      <c r="O201" s="310">
        <f>'Baseline Consumption'!AD97*O195</f>
        <v>4.492378989922957E-3</v>
      </c>
      <c r="P201" s="310">
        <f>'Baseline Consumption'!AE97*P195</f>
        <v>4.1575828053311194E-3</v>
      </c>
      <c r="Q201" s="310">
        <f>'Baseline Consumption'!AF97*Q195</f>
        <v>3.8186645481614596E-3</v>
      </c>
      <c r="R201" s="310">
        <f>'Baseline Consumption'!AG97*R195</f>
        <v>3.4619094611502317E-3</v>
      </c>
      <c r="S201" s="310">
        <f>'Baseline Consumption'!AH97*S195</f>
        <v>3.1039009147404528E-3</v>
      </c>
      <c r="T201" s="310">
        <f>'Baseline Consumption'!AI97*T195</f>
        <v>2.7392193449615959E-3</v>
      </c>
      <c r="U201" s="310">
        <f>'Baseline Consumption'!AJ97*U195</f>
        <v>2.3678640775410486E-3</v>
      </c>
      <c r="V201" s="310">
        <f>'Baseline Consumption'!AK97*V195</f>
        <v>1.9899165721604106E-3</v>
      </c>
      <c r="W201" s="310">
        <f>'Baseline Consumption'!AL97*W195</f>
        <v>1.6053094894095642E-3</v>
      </c>
      <c r="X201" s="310">
        <f>'Baseline Consumption'!AM97*X195</f>
        <v>1.2139726568494143E-3</v>
      </c>
      <c r="Y201" s="310">
        <f>'Baseline Consumption'!AN97*Y195</f>
        <v>8.1594974107543241E-4</v>
      </c>
      <c r="Z201" s="310">
        <f>'Baseline Consumption'!AO97*Z195</f>
        <v>4.1128331126541879E-4</v>
      </c>
      <c r="AA201" s="310">
        <f>'Baseline Consumption'!AP97*AA195</f>
        <v>0</v>
      </c>
      <c r="AB201" s="310">
        <f>'Baseline Consumption'!AQ97*AB195</f>
        <v>0</v>
      </c>
      <c r="AC201" s="310">
        <f>'Baseline Consumption'!AR97*AC195</f>
        <v>0</v>
      </c>
      <c r="AD201" s="310">
        <f>'Baseline Consumption'!AS97*AD195</f>
        <v>0</v>
      </c>
      <c r="AE201" s="310">
        <f>'Baseline Consumption'!AT97*AE195</f>
        <v>0</v>
      </c>
      <c r="AF201" s="310">
        <f>'Baseline Consumption'!AU97*AF195</f>
        <v>0</v>
      </c>
    </row>
    <row r="202" spans="1:38" ht="12.9" customHeight="1">
      <c r="A202" s="71" t="s">
        <v>247</v>
      </c>
      <c r="B202" s="418">
        <f>'Baseline Consumption'!Q98*B196</f>
        <v>6.9620472187277875E-4</v>
      </c>
      <c r="C202" s="418">
        <f>'Baseline Consumption'!R98*C196</f>
        <v>6.8326148648471504E-4</v>
      </c>
      <c r="D202" s="418">
        <f>'Baseline Consumption'!S98*D196</f>
        <v>6.6419896389397859E-4</v>
      </c>
      <c r="E202" s="418">
        <f>'Baseline Consumption'!T98*E196</f>
        <v>6.5295751733643055E-4</v>
      </c>
      <c r="F202" s="418">
        <f>'Baseline Consumption'!U98*F196</f>
        <v>6.4400458218922413E-4</v>
      </c>
      <c r="G202" s="418">
        <f>'Baseline Consumption'!V98*G196</f>
        <v>6.3634487766515209E-4</v>
      </c>
      <c r="H202" s="310">
        <f>'Baseline Consumption'!W98*H196</f>
        <v>6.2923263255012705E-4</v>
      </c>
      <c r="I202" s="310">
        <f>'Baseline Consumption'!X98*I196</f>
        <v>5.9937830934467858E-4</v>
      </c>
      <c r="J202" s="310">
        <f>'Baseline Consumption'!Y98*J196</f>
        <v>5.6225333936621403E-4</v>
      </c>
      <c r="K202" s="310">
        <f>'Baseline Consumption'!Z98*K196</f>
        <v>5.2879749219679668E-4</v>
      </c>
      <c r="L202" s="310">
        <f>'Baseline Consumption'!AA98*L196</f>
        <v>4.9877370028316424E-4</v>
      </c>
      <c r="M202" s="310">
        <f>'Baseline Consumption'!AB98*M196</f>
        <v>4.6767025477232818E-4</v>
      </c>
      <c r="N202" s="310">
        <f>'Baseline Consumption'!AC98*N196</f>
        <v>4.3794740905041789E-4</v>
      </c>
      <c r="O202" s="310">
        <f>'Baseline Consumption'!AD98*O196</f>
        <v>4.0789151449984221E-4</v>
      </c>
      <c r="P202" s="310">
        <f>'Baseline Consumption'!AE98*P196</f>
        <v>3.7749325044236667E-4</v>
      </c>
      <c r="Q202" s="310">
        <f>'Baseline Consumption'!AF98*Q196</f>
        <v>3.4672071733269906E-4</v>
      </c>
      <c r="R202" s="310">
        <f>'Baseline Consumption'!AG98*R196</f>
        <v>3.1432866557728188E-4</v>
      </c>
      <c r="S202" s="310">
        <f>'Baseline Consumption'!AH98*S196</f>
        <v>2.8182280431167313E-4</v>
      </c>
      <c r="T202" s="310">
        <f>'Baseline Consumption'!AI98*T196</f>
        <v>2.4871105703012215E-4</v>
      </c>
      <c r="U202" s="310">
        <f>'Baseline Consumption'!AJ98*U196</f>
        <v>2.1499336251115227E-4</v>
      </c>
      <c r="V202" s="310">
        <f>'Baseline Consumption'!AK98*V196</f>
        <v>1.8067711699470043E-4</v>
      </c>
      <c r="W202" s="310">
        <f>'Baseline Consumption'!AL98*W196</f>
        <v>1.4575620630962499E-4</v>
      </c>
      <c r="X202" s="310">
        <f>'Baseline Consumption'!AM98*X196</f>
        <v>1.1022425905615704E-4</v>
      </c>
      <c r="Y202" s="310">
        <f>'Baseline Consumption'!AN98*Y196</f>
        <v>7.4085240000804108E-5</v>
      </c>
      <c r="Z202" s="310">
        <f>'Baseline Consumption'!AO98*Z196</f>
        <v>3.7343014268579995E-5</v>
      </c>
      <c r="AA202" s="310">
        <f>'Baseline Consumption'!AP98*AA196</f>
        <v>0</v>
      </c>
      <c r="AB202" s="310">
        <f>'Baseline Consumption'!AQ98*AB196</f>
        <v>0</v>
      </c>
      <c r="AC202" s="310">
        <f>'Baseline Consumption'!AR98*AC196</f>
        <v>0</v>
      </c>
      <c r="AD202" s="310">
        <f>'Baseline Consumption'!AS98*AD196</f>
        <v>0</v>
      </c>
      <c r="AE202" s="310">
        <f>'Baseline Consumption'!AT98*AE196</f>
        <v>0</v>
      </c>
      <c r="AF202" s="310">
        <f>'Baseline Consumption'!AU98*AF196</f>
        <v>0</v>
      </c>
    </row>
    <row r="203" spans="1:38" ht="12.9" customHeight="1">
      <c r="A203" s="104"/>
      <c r="B203" s="310"/>
      <c r="C203" s="310"/>
      <c r="D203" s="310"/>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310"/>
      <c r="AE203" s="310"/>
      <c r="AF203" s="310"/>
    </row>
    <row r="204" spans="1:38" ht="12.9" customHeight="1">
      <c r="A204" s="104" t="s">
        <v>1276</v>
      </c>
      <c r="B204" s="283">
        <f>B7</f>
        <v>2020</v>
      </c>
      <c r="C204" s="283">
        <f t="shared" ref="C204:AF204" si="90">C7</f>
        <v>2021</v>
      </c>
      <c r="D204" s="283">
        <f t="shared" si="90"/>
        <v>2022</v>
      </c>
      <c r="E204" s="283">
        <f t="shared" si="90"/>
        <v>2023</v>
      </c>
      <c r="F204" s="283">
        <f t="shared" si="90"/>
        <v>2024</v>
      </c>
      <c r="G204" s="283">
        <f t="shared" si="90"/>
        <v>2025</v>
      </c>
      <c r="H204" s="283">
        <f t="shared" si="90"/>
        <v>2026</v>
      </c>
      <c r="I204" s="283">
        <f t="shared" si="90"/>
        <v>2027</v>
      </c>
      <c r="J204" s="283">
        <f t="shared" si="90"/>
        <v>2028</v>
      </c>
      <c r="K204" s="283">
        <f t="shared" si="90"/>
        <v>2029</v>
      </c>
      <c r="L204" s="283">
        <f t="shared" si="90"/>
        <v>2030</v>
      </c>
      <c r="M204" s="283">
        <f t="shared" si="90"/>
        <v>2031</v>
      </c>
      <c r="N204" s="283">
        <f t="shared" si="90"/>
        <v>2032</v>
      </c>
      <c r="O204" s="283">
        <f t="shared" si="90"/>
        <v>2033</v>
      </c>
      <c r="P204" s="283">
        <f t="shared" si="90"/>
        <v>2034</v>
      </c>
      <c r="Q204" s="283">
        <f t="shared" si="90"/>
        <v>2035</v>
      </c>
      <c r="R204" s="283">
        <f t="shared" si="90"/>
        <v>2036</v>
      </c>
      <c r="S204" s="283">
        <f t="shared" si="90"/>
        <v>2037</v>
      </c>
      <c r="T204" s="283">
        <f t="shared" si="90"/>
        <v>2038</v>
      </c>
      <c r="U204" s="283">
        <f t="shared" si="90"/>
        <v>2039</v>
      </c>
      <c r="V204" s="283">
        <f t="shared" si="90"/>
        <v>2040</v>
      </c>
      <c r="W204" s="283">
        <f t="shared" si="90"/>
        <v>2041</v>
      </c>
      <c r="X204" s="283">
        <f t="shared" si="90"/>
        <v>2042</v>
      </c>
      <c r="Y204" s="283">
        <f t="shared" si="90"/>
        <v>2043</v>
      </c>
      <c r="Z204" s="283">
        <f t="shared" si="90"/>
        <v>2044</v>
      </c>
      <c r="AA204" s="283">
        <f t="shared" si="90"/>
        <v>2045</v>
      </c>
      <c r="AB204" s="283">
        <f t="shared" si="90"/>
        <v>2046</v>
      </c>
      <c r="AC204" s="283">
        <f t="shared" si="90"/>
        <v>2047</v>
      </c>
      <c r="AD204" s="283">
        <f t="shared" si="90"/>
        <v>2048</v>
      </c>
      <c r="AE204" s="283">
        <f t="shared" si="90"/>
        <v>2049</v>
      </c>
      <c r="AF204" s="283">
        <f t="shared" si="90"/>
        <v>2050</v>
      </c>
    </row>
    <row r="205" spans="1:38" s="200" customFormat="1" ht="12.9" customHeight="1">
      <c r="A205" s="388" t="s">
        <v>1094</v>
      </c>
      <c r="B205" s="310">
        <f>B200/B199</f>
        <v>0.43111274054183812</v>
      </c>
      <c r="C205" s="310">
        <f t="shared" ref="C205:AF205" si="91">C200/C199</f>
        <v>0.59834963901381533</v>
      </c>
      <c r="D205" s="310">
        <f t="shared" si="91"/>
        <v>0.69881553620959391</v>
      </c>
      <c r="E205" s="310">
        <f t="shared" si="91"/>
        <v>1.0798022218465706</v>
      </c>
      <c r="F205" s="310">
        <f t="shared" si="91"/>
        <v>1.6803630901295852</v>
      </c>
      <c r="G205" s="310">
        <f t="shared" si="91"/>
        <v>3.3235848709685425</v>
      </c>
      <c r="H205" s="310" t="e">
        <f t="shared" si="91"/>
        <v>#DIV/0!</v>
      </c>
      <c r="I205" s="310" t="e">
        <f t="shared" si="91"/>
        <v>#DIV/0!</v>
      </c>
      <c r="J205" s="310" t="e">
        <f t="shared" si="91"/>
        <v>#DIV/0!</v>
      </c>
      <c r="K205" s="310" t="e">
        <f t="shared" si="91"/>
        <v>#DIV/0!</v>
      </c>
      <c r="L205" s="310" t="e">
        <f t="shared" si="91"/>
        <v>#DIV/0!</v>
      </c>
      <c r="M205" s="310" t="e">
        <f t="shared" si="91"/>
        <v>#DIV/0!</v>
      </c>
      <c r="N205" s="310" t="e">
        <f t="shared" si="91"/>
        <v>#DIV/0!</v>
      </c>
      <c r="O205" s="310" t="e">
        <f t="shared" si="91"/>
        <v>#DIV/0!</v>
      </c>
      <c r="P205" s="310" t="e">
        <f t="shared" si="91"/>
        <v>#DIV/0!</v>
      </c>
      <c r="Q205" s="310" t="e">
        <f t="shared" si="91"/>
        <v>#DIV/0!</v>
      </c>
      <c r="R205" s="310" t="e">
        <f t="shared" si="91"/>
        <v>#DIV/0!</v>
      </c>
      <c r="S205" s="310" t="e">
        <f t="shared" si="91"/>
        <v>#DIV/0!</v>
      </c>
      <c r="T205" s="310" t="e">
        <f t="shared" si="91"/>
        <v>#DIV/0!</v>
      </c>
      <c r="U205" s="310" t="e">
        <f t="shared" si="91"/>
        <v>#DIV/0!</v>
      </c>
      <c r="V205" s="310" t="e">
        <f t="shared" si="91"/>
        <v>#DIV/0!</v>
      </c>
      <c r="W205" s="310" t="e">
        <f t="shared" si="91"/>
        <v>#DIV/0!</v>
      </c>
      <c r="X205" s="310" t="e">
        <f t="shared" si="91"/>
        <v>#DIV/0!</v>
      </c>
      <c r="Y205" s="310" t="e">
        <f t="shared" si="91"/>
        <v>#DIV/0!</v>
      </c>
      <c r="Z205" s="310" t="e">
        <f t="shared" si="91"/>
        <v>#DIV/0!</v>
      </c>
      <c r="AA205" s="310" t="e">
        <f t="shared" si="91"/>
        <v>#DIV/0!</v>
      </c>
      <c r="AB205" s="310" t="e">
        <f t="shared" si="91"/>
        <v>#DIV/0!</v>
      </c>
      <c r="AC205" s="310" t="e">
        <f t="shared" si="91"/>
        <v>#DIV/0!</v>
      </c>
      <c r="AD205" s="310" t="e">
        <f t="shared" si="91"/>
        <v>#DIV/0!</v>
      </c>
      <c r="AE205" s="310" t="e">
        <f t="shared" si="91"/>
        <v>#DIV/0!</v>
      </c>
      <c r="AF205" s="310" t="e">
        <f t="shared" si="91"/>
        <v>#DIV/0!</v>
      </c>
      <c r="AG205" s="197"/>
      <c r="AL205" s="197"/>
    </row>
    <row r="206" spans="1:38" s="40" customFormat="1" ht="24" customHeight="1">
      <c r="A206" s="494" t="s">
        <v>1414</v>
      </c>
      <c r="B206" s="311">
        <f>(('Baseline Price'!Q48/'Baseline Price'!Q49)/('Adjusted price'!B55/'Adjusted price'!B56))-1</f>
        <v>0.25927506009320123</v>
      </c>
      <c r="C206" s="311">
        <f>(('Baseline Price'!R48/'Baseline Price'!R49)/('Adjusted price'!C55/'Adjusted price'!C56))-1</f>
        <v>0.30860218633300107</v>
      </c>
      <c r="D206" s="311">
        <f>(('Baseline Price'!S48/'Baseline Price'!S49)/('Adjusted price'!D55/'Adjusted price'!D56))-1</f>
        <v>0.37270753235677079</v>
      </c>
      <c r="E206" s="311">
        <f>(('Baseline Price'!T48/'Baseline Price'!T49)/('Adjusted price'!E55/'Adjusted price'!E56))-1</f>
        <v>0.44148082831701907</v>
      </c>
      <c r="F206" s="311">
        <f>(('Baseline Price'!U48/'Baseline Price'!U49)/('Adjusted price'!F55/'Adjusted price'!F56))-1</f>
        <v>0.50348831406638239</v>
      </c>
      <c r="G206" s="311">
        <f>(('Baseline Price'!V48/'Baseline Price'!V49)/('Adjusted price'!G55/'Adjusted price'!G56))-1</f>
        <v>0.57782399206964441</v>
      </c>
      <c r="H206" s="311">
        <f>(('Baseline Price'!W48/'Baseline Price'!W49)/('Adjusted price'!H55/'Adjusted price'!H56))-1</f>
        <v>0.63948294037380649</v>
      </c>
      <c r="I206" s="311">
        <f>(('Baseline Price'!X48/'Baseline Price'!X49)/('Adjusted price'!I55/'Adjusted price'!I56))-1</f>
        <v>0.68156467540248666</v>
      </c>
      <c r="J206" s="311">
        <f>(('Baseline Price'!Y48/'Baseline Price'!Y49)/('Adjusted price'!J55/'Adjusted price'!J56))-1</f>
        <v>0.73728877649737745</v>
      </c>
      <c r="K206" s="311">
        <f>(('Baseline Price'!Z48/'Baseline Price'!Z49)/('Adjusted price'!K55/'Adjusted price'!K56))-1</f>
        <v>0.77440412300875816</v>
      </c>
      <c r="L206" s="311">
        <f>(('Baseline Price'!AA48/'Baseline Price'!AA49)/('Adjusted price'!L55/'Adjusted price'!L56))-1</f>
        <v>0.8112668991495211</v>
      </c>
      <c r="M206" s="311">
        <f>(('Baseline Price'!AB48/'Baseline Price'!AB49)/('Adjusted price'!M55/'Adjusted price'!M56))-1</f>
        <v>0.84661371457881351</v>
      </c>
      <c r="N206" s="311">
        <f>(('Baseline Price'!AC48/'Baseline Price'!AC49)/('Adjusted price'!N55/'Adjusted price'!N56))-1</f>
        <v>0.90703152431922129</v>
      </c>
      <c r="O206" s="311">
        <f>(('Baseline Price'!AD48/'Baseline Price'!AD49)/('Adjusted price'!O55/'Adjusted price'!O56))-1</f>
        <v>0.95256846862928191</v>
      </c>
      <c r="P206" s="311">
        <f>(('Baseline Price'!AE48/'Baseline Price'!AE49)/('Adjusted price'!P55/'Adjusted price'!P56))-1</f>
        <v>0.97431312167855277</v>
      </c>
      <c r="Q206" s="311">
        <f>(('Baseline Price'!AF48/'Baseline Price'!AF49)/('Adjusted price'!Q55/'Adjusted price'!Q56))-1</f>
        <v>0.97686451265221264</v>
      </c>
      <c r="R206" s="311">
        <f>(('Baseline Price'!AG48/'Baseline Price'!AG49)/('Adjusted price'!R55/'Adjusted price'!R56))-1</f>
        <v>0.96916064282001124</v>
      </c>
      <c r="S206" s="311">
        <f>(('Baseline Price'!AH48/'Baseline Price'!AH49)/('Adjusted price'!S55/'Adjusted price'!S56))-1</f>
        <v>0.96327084634741023</v>
      </c>
      <c r="T206" s="311">
        <f>(('Baseline Price'!AI48/'Baseline Price'!AI49)/('Adjusted price'!T55/'Adjusted price'!T56))-1</f>
        <v>0.96047714402002926</v>
      </c>
      <c r="U206" s="311">
        <f>(('Baseline Price'!AJ48/'Baseline Price'!AJ49)/('Adjusted price'!U55/'Adjusted price'!U56))-1</f>
        <v>0.9544846070207933</v>
      </c>
      <c r="V206" s="311">
        <f>(('Baseline Price'!AK48/'Baseline Price'!AK49)/('Adjusted price'!V55/'Adjusted price'!V56))-1</f>
        <v>0.96179165075780815</v>
      </c>
      <c r="W206" s="311">
        <f>(('Baseline Price'!AL48/'Baseline Price'!AL49)/('Adjusted price'!W55/'Adjusted price'!W56))-1</f>
        <v>0.95567246794644256</v>
      </c>
      <c r="X206" s="311">
        <f>(('Baseline Price'!AM48/'Baseline Price'!AM49)/('Adjusted price'!X55/'Adjusted price'!X56))-1</f>
        <v>0.95902810864175048</v>
      </c>
      <c r="Y206" s="311">
        <f>(('Baseline Price'!AN48/'Baseline Price'!AN49)/('Adjusted price'!Y55/'Adjusted price'!Y56))-1</f>
        <v>0.96711624808886998</v>
      </c>
      <c r="Z206" s="311">
        <f>(('Baseline Price'!AO48/'Baseline Price'!AO49)/('Adjusted price'!Z55/'Adjusted price'!Z56))-1</f>
        <v>0.98435711579356844</v>
      </c>
      <c r="AA206" s="311">
        <f>(('Baseline Price'!AP48/'Baseline Price'!AP49)/('Adjusted price'!AA55/'Adjusted price'!AA56))-1</f>
        <v>0.99619532355923623</v>
      </c>
      <c r="AB206" s="311">
        <f>(('Baseline Price'!AQ48/'Baseline Price'!AQ49)/('Adjusted price'!AB55/'Adjusted price'!AB56))-1</f>
        <v>1.0080424420369476</v>
      </c>
      <c r="AC206" s="311">
        <f>(('Baseline Price'!AR48/'Baseline Price'!AR49)/('Adjusted price'!AC55/'Adjusted price'!AC56))-1</f>
        <v>1.0228086560212883</v>
      </c>
      <c r="AD206" s="311">
        <f>(('Baseline Price'!AS48/'Baseline Price'!AS49)/('Adjusted price'!AD55/'Adjusted price'!AD56))-1</f>
        <v>1.0438416850882017</v>
      </c>
      <c r="AE206" s="311">
        <f>(('Baseline Price'!AT48/'Baseline Price'!AT49)/('Adjusted price'!AE55/'Adjusted price'!AE56))-1</f>
        <v>1.0564073714363169</v>
      </c>
      <c r="AF206" s="311">
        <f>(('Baseline Price'!AU48/'Baseline Price'!AU49)/('Adjusted price'!AF55/'Adjusted price'!AF56))-1</f>
        <v>1.0664959087996837</v>
      </c>
      <c r="AG206" s="84"/>
    </row>
    <row r="207" spans="1:38" s="200" customFormat="1" ht="12.9" customHeight="1">
      <c r="A207" s="388" t="s">
        <v>1095</v>
      </c>
      <c r="B207" s="310">
        <f>(1+B206*ramps!C65)*B205</f>
        <v>0.43632899035501482</v>
      </c>
      <c r="C207" s="310">
        <f>(1+C206*ramps!D65)*C205</f>
        <v>0.61558382631432973</v>
      </c>
      <c r="D207" s="310">
        <f>(1+D206*ramps!E65)*D205</f>
        <v>0.73527907017984906</v>
      </c>
      <c r="E207" s="310">
        <f>(1+E206*ramps!F65)*E205</f>
        <v>1.1465418989512839</v>
      </c>
      <c r="F207" s="310">
        <f>(1+F206*ramps!G65)*F205</f>
        <v>1.798809135227206</v>
      </c>
      <c r="G207" s="310">
        <f>(1+G206*ramps!H65)*G205</f>
        <v>3.5924474619060871</v>
      </c>
      <c r="H207" s="310" t="e">
        <f>(1+H206*ramps!I65)*H205</f>
        <v>#DIV/0!</v>
      </c>
      <c r="I207" s="310" t="e">
        <f>(1+I206*ramps!J65)*I205</f>
        <v>#DIV/0!</v>
      </c>
      <c r="J207" s="310" t="e">
        <f>(1+J206*ramps!K65)*J205</f>
        <v>#DIV/0!</v>
      </c>
      <c r="K207" s="310" t="e">
        <f>(1+K206*ramps!L65)*K205</f>
        <v>#DIV/0!</v>
      </c>
      <c r="L207" s="310" t="e">
        <f>(1+L206*ramps!M65)*L205</f>
        <v>#DIV/0!</v>
      </c>
      <c r="M207" s="310" t="e">
        <f>(1+M206*ramps!N65)*M205</f>
        <v>#DIV/0!</v>
      </c>
      <c r="N207" s="310" t="e">
        <f>(1+N206*ramps!O65)*N205</f>
        <v>#DIV/0!</v>
      </c>
      <c r="O207" s="310" t="e">
        <f>(1+O206*ramps!P65)*O205</f>
        <v>#DIV/0!</v>
      </c>
      <c r="P207" s="310" t="e">
        <f>(1+P206*ramps!Q65)*P205</f>
        <v>#DIV/0!</v>
      </c>
      <c r="Q207" s="310" t="e">
        <f>(1+Q206*ramps!R65)*Q205</f>
        <v>#DIV/0!</v>
      </c>
      <c r="R207" s="310" t="e">
        <f>(1+R206*ramps!S65)*R205</f>
        <v>#DIV/0!</v>
      </c>
      <c r="S207" s="310" t="e">
        <f>(1+S206*ramps!T65)*S205</f>
        <v>#DIV/0!</v>
      </c>
      <c r="T207" s="310" t="e">
        <f>(1+T206*ramps!U65)*T205</f>
        <v>#DIV/0!</v>
      </c>
      <c r="U207" s="310" t="e">
        <f>(1+U206*ramps!V65)*U205</f>
        <v>#DIV/0!</v>
      </c>
      <c r="V207" s="310" t="e">
        <f>(1+V206*ramps!W65)*V205</f>
        <v>#DIV/0!</v>
      </c>
      <c r="W207" s="310" t="e">
        <f>(1+W206*ramps!X65)*W205</f>
        <v>#DIV/0!</v>
      </c>
      <c r="X207" s="310" t="e">
        <f>(1+X206*ramps!Y65)*X205</f>
        <v>#DIV/0!</v>
      </c>
      <c r="Y207" s="310" t="e">
        <f>(1+Y206*ramps!Z65)*Y205</f>
        <v>#DIV/0!</v>
      </c>
      <c r="Z207" s="310" t="e">
        <f>(1+Z206*ramps!AA65)*Z205</f>
        <v>#DIV/0!</v>
      </c>
      <c r="AA207" s="310" t="e">
        <f>(1+AA206*ramps!AB65)*AA205</f>
        <v>#DIV/0!</v>
      </c>
      <c r="AB207" s="310" t="e">
        <f>(1+AB206*ramps!AC65)*AB205</f>
        <v>#DIV/0!</v>
      </c>
      <c r="AC207" s="310" t="e">
        <f>(1+AC206*ramps!AD65)*AC205</f>
        <v>#DIV/0!</v>
      </c>
      <c r="AD207" s="310" t="e">
        <f>(1+AD206*ramps!AE65)*AD205</f>
        <v>#DIV/0!</v>
      </c>
      <c r="AE207" s="310" t="e">
        <f>(1+AE206*ramps!AF65)*AE205</f>
        <v>#DIV/0!</v>
      </c>
      <c r="AF207" s="310" t="e">
        <f>(1+AF206*ramps!AG65)*AF205</f>
        <v>#DIV/0!</v>
      </c>
      <c r="AG207" s="84"/>
    </row>
    <row r="208" spans="1:38" s="40" customFormat="1" ht="12.9" customHeight="1">
      <c r="A208" s="388" t="s">
        <v>1096</v>
      </c>
      <c r="B208" s="310">
        <f t="shared" ref="B208:AF208" si="92">IF(ISERROR(B205),B200,B207*(B199+B200)/(1+B207))</f>
        <v>4.4729468337200207E-2</v>
      </c>
      <c r="C208" s="310">
        <f t="shared" si="92"/>
        <v>5.0825949614443582E-2</v>
      </c>
      <c r="D208" s="310">
        <f>IF(ISERROR(D205),D200,D207*(D199+D200)/(1+D207))</f>
        <v>4.9751042768639279E-2</v>
      </c>
      <c r="E208" s="310">
        <f t="shared" si="92"/>
        <v>5.7078628171920789E-2</v>
      </c>
      <c r="F208" s="310">
        <f t="shared" si="92"/>
        <v>5.8523811729250003E-2</v>
      </c>
      <c r="G208" s="310">
        <f t="shared" si="92"/>
        <v>5.7138644836615786E-2</v>
      </c>
      <c r="H208" s="310">
        <f t="shared" si="92"/>
        <v>6.0687074364877823E-2</v>
      </c>
      <c r="I208" s="310">
        <f t="shared" si="92"/>
        <v>5.9226544350458342E-2</v>
      </c>
      <c r="J208" s="310">
        <f t="shared" si="92"/>
        <v>5.9604718687179689E-2</v>
      </c>
      <c r="K208" s="310">
        <f t="shared" si="92"/>
        <v>6.1357630605562645E-2</v>
      </c>
      <c r="L208" s="310">
        <f t="shared" si="92"/>
        <v>6.095534030322125E-2</v>
      </c>
      <c r="M208" s="310">
        <f t="shared" si="92"/>
        <v>6.0444524189716596E-2</v>
      </c>
      <c r="N208" s="310">
        <f t="shared" si="92"/>
        <v>5.867162773783758E-2</v>
      </c>
      <c r="O208" s="310">
        <f t="shared" si="92"/>
        <v>5.4645052354682234E-2</v>
      </c>
      <c r="P208" s="310">
        <f t="shared" si="92"/>
        <v>5.0572609874604962E-2</v>
      </c>
      <c r="Q208" s="310">
        <f t="shared" si="92"/>
        <v>4.6450026729118563E-2</v>
      </c>
      <c r="R208" s="310">
        <f t="shared" si="92"/>
        <v>4.2110477360897916E-2</v>
      </c>
      <c r="S208" s="310">
        <f t="shared" si="92"/>
        <v>3.7755680981102394E-2</v>
      </c>
      <c r="T208" s="310">
        <f t="shared" si="92"/>
        <v>3.3319714309978973E-2</v>
      </c>
      <c r="U208" s="310">
        <f t="shared" si="92"/>
        <v>2.880256914571247E-2</v>
      </c>
      <c r="V208" s="310">
        <f t="shared" si="92"/>
        <v>2.4205236359415062E-2</v>
      </c>
      <c r="W208" s="310">
        <f t="shared" si="92"/>
        <v>1.9526896838184669E-2</v>
      </c>
      <c r="X208" s="310">
        <f t="shared" si="92"/>
        <v>1.4766697008309758E-2</v>
      </c>
      <c r="Y208" s="310">
        <f t="shared" si="92"/>
        <v>9.9251680278695902E-3</v>
      </c>
      <c r="Z208" s="310">
        <f t="shared" si="92"/>
        <v>5.002827706014925E-3</v>
      </c>
      <c r="AA208" s="310">
        <f t="shared" si="92"/>
        <v>0</v>
      </c>
      <c r="AB208" s="310">
        <f t="shared" si="92"/>
        <v>0</v>
      </c>
      <c r="AC208" s="310">
        <f t="shared" si="92"/>
        <v>0</v>
      </c>
      <c r="AD208" s="310">
        <f t="shared" si="92"/>
        <v>0</v>
      </c>
      <c r="AE208" s="310">
        <f t="shared" si="92"/>
        <v>0</v>
      </c>
      <c r="AF208" s="310">
        <f t="shared" si="92"/>
        <v>0</v>
      </c>
      <c r="AG208" s="84"/>
    </row>
    <row r="209" spans="1:33" s="40" customFormat="1" ht="12.9" customHeight="1">
      <c r="A209" s="388" t="s">
        <v>1097</v>
      </c>
      <c r="B209" s="310">
        <f t="shared" ref="B209:AF209" si="93">(B199+B200)-B208</f>
        <v>0.10251317085487838</v>
      </c>
      <c r="C209" s="310">
        <f t="shared" si="93"/>
        <v>8.2565440224043218E-2</v>
      </c>
      <c r="D209" s="310">
        <f t="shared" si="93"/>
        <v>6.7662802854527304E-2</v>
      </c>
      <c r="E209" s="310">
        <f t="shared" si="93"/>
        <v>4.9783290278470713E-2</v>
      </c>
      <c r="F209" s="310">
        <f t="shared" si="93"/>
        <v>3.2534753456129134E-2</v>
      </c>
      <c r="G209" s="310">
        <f t="shared" si="93"/>
        <v>1.5905213769305628E-2</v>
      </c>
      <c r="H209" s="310">
        <f t="shared" si="93"/>
        <v>0</v>
      </c>
      <c r="I209" s="310">
        <f t="shared" si="93"/>
        <v>0</v>
      </c>
      <c r="J209" s="310">
        <f t="shared" si="93"/>
        <v>0</v>
      </c>
      <c r="K209" s="310">
        <f t="shared" si="93"/>
        <v>0</v>
      </c>
      <c r="L209" s="310">
        <f t="shared" si="93"/>
        <v>0</v>
      </c>
      <c r="M209" s="310">
        <f t="shared" si="93"/>
        <v>0</v>
      </c>
      <c r="N209" s="310">
        <f t="shared" si="93"/>
        <v>0</v>
      </c>
      <c r="O209" s="310">
        <f t="shared" si="93"/>
        <v>0</v>
      </c>
      <c r="P209" s="310">
        <f t="shared" si="93"/>
        <v>0</v>
      </c>
      <c r="Q209" s="310">
        <f t="shared" si="93"/>
        <v>0</v>
      </c>
      <c r="R209" s="310">
        <f t="shared" si="93"/>
        <v>0</v>
      </c>
      <c r="S209" s="310">
        <f t="shared" si="93"/>
        <v>0</v>
      </c>
      <c r="T209" s="310">
        <f t="shared" si="93"/>
        <v>0</v>
      </c>
      <c r="U209" s="310">
        <f t="shared" si="93"/>
        <v>0</v>
      </c>
      <c r="V209" s="310">
        <f t="shared" si="93"/>
        <v>0</v>
      </c>
      <c r="W209" s="310">
        <f t="shared" si="93"/>
        <v>0</v>
      </c>
      <c r="X209" s="310">
        <f t="shared" si="93"/>
        <v>0</v>
      </c>
      <c r="Y209" s="310">
        <f t="shared" si="93"/>
        <v>0</v>
      </c>
      <c r="Z209" s="310">
        <f t="shared" si="93"/>
        <v>0</v>
      </c>
      <c r="AA209" s="310">
        <f t="shared" si="93"/>
        <v>0</v>
      </c>
      <c r="AB209" s="310">
        <f t="shared" si="93"/>
        <v>0</v>
      </c>
      <c r="AC209" s="310">
        <f t="shared" si="93"/>
        <v>0</v>
      </c>
      <c r="AD209" s="310">
        <f t="shared" si="93"/>
        <v>0</v>
      </c>
      <c r="AE209" s="310">
        <f t="shared" si="93"/>
        <v>0</v>
      </c>
      <c r="AF209" s="310">
        <f t="shared" si="93"/>
        <v>0</v>
      </c>
      <c r="AG209" s="84"/>
    </row>
    <row r="210" spans="1:33" s="40" customFormat="1" ht="12.9" customHeight="1">
      <c r="A210" s="388" t="s">
        <v>1099</v>
      </c>
      <c r="B210" s="310">
        <f>(B208-B200)*'Baseline Consumption'!Q90/'Baseline Consumption'!Q89</f>
        <v>2.7456278534813885E-4</v>
      </c>
      <c r="C210" s="310">
        <f>(C208-C200)*'Baseline Consumption'!R90/'Baseline Consumption'!R89</f>
        <v>6.5157479824098365E-4</v>
      </c>
      <c r="D210" s="310">
        <f>(D208-D200)*'Baseline Consumption'!S90/'Baseline Consumption'!S89</f>
        <v>1.0568633111367402E-3</v>
      </c>
      <c r="E210" s="310">
        <f>(E208-E200)*'Baseline Consumption'!T90/'Baseline Consumption'!T89</f>
        <v>1.156855359034991E-3</v>
      </c>
      <c r="F210" s="310">
        <f>(F208-F200)*'Baseline Consumption'!U90/'Baseline Consumption'!U89</f>
        <v>1.0363016398878856E-3</v>
      </c>
      <c r="G210" s="310">
        <f>(G208-G200)*'Baseline Consumption'!V90/'Baseline Consumption'!V89</f>
        <v>7.0931787680371405E-4</v>
      </c>
      <c r="H210" s="310">
        <f>(H208-H200)*'Baseline Consumption'!W90/'Baseline Consumption'!W89</f>
        <v>0</v>
      </c>
      <c r="I210" s="310">
        <f>(I208-I200)*'Baseline Consumption'!X90/'Baseline Consumption'!X89</f>
        <v>0</v>
      </c>
      <c r="J210" s="310">
        <f>(J208-J200)*'Baseline Consumption'!Y90/'Baseline Consumption'!Y89</f>
        <v>0</v>
      </c>
      <c r="K210" s="310">
        <f>(K208-K200)*'Baseline Consumption'!Z90/'Baseline Consumption'!Z89</f>
        <v>0</v>
      </c>
      <c r="L210" s="310">
        <f>(L208-L200)*'Baseline Consumption'!AA90/'Baseline Consumption'!AA89</f>
        <v>0</v>
      </c>
      <c r="M210" s="310">
        <f>(M208-M200)*'Baseline Consumption'!AB90/'Baseline Consumption'!AB89</f>
        <v>0</v>
      </c>
      <c r="N210" s="310">
        <f>(N208-N200)*'Baseline Consumption'!AC90/'Baseline Consumption'!AC89</f>
        <v>0</v>
      </c>
      <c r="O210" s="310">
        <f>(O208-O200)*'Baseline Consumption'!AD90/'Baseline Consumption'!AD89</f>
        <v>0</v>
      </c>
      <c r="P210" s="310">
        <f>(P208-P200)*'Baseline Consumption'!AE90/'Baseline Consumption'!AE89</f>
        <v>0</v>
      </c>
      <c r="Q210" s="310">
        <f>(Q208-Q200)*'Baseline Consumption'!AF90/'Baseline Consumption'!AF89</f>
        <v>0</v>
      </c>
      <c r="R210" s="310">
        <f>(R208-R200)*'Baseline Consumption'!AG90/'Baseline Consumption'!AG89</f>
        <v>0</v>
      </c>
      <c r="S210" s="310">
        <f>(S208-S200)*'Baseline Consumption'!AH90/'Baseline Consumption'!AH89</f>
        <v>0</v>
      </c>
      <c r="T210" s="310">
        <f>(T208-T200)*'Baseline Consumption'!AI90/'Baseline Consumption'!AI89</f>
        <v>0</v>
      </c>
      <c r="U210" s="310">
        <f>(U208-U200)*'Baseline Consumption'!AJ90/'Baseline Consumption'!AJ89</f>
        <v>0</v>
      </c>
      <c r="V210" s="310">
        <f>(V208-V200)*'Baseline Consumption'!AK90/'Baseline Consumption'!AK89</f>
        <v>0</v>
      </c>
      <c r="W210" s="310">
        <f>(W208-W200)*'Baseline Consumption'!AL90/'Baseline Consumption'!AL89</f>
        <v>0</v>
      </c>
      <c r="X210" s="310">
        <f>(X208-X200)*'Baseline Consumption'!AM90/'Baseline Consumption'!AM89</f>
        <v>0</v>
      </c>
      <c r="Y210" s="310">
        <f>(Y208-Y200)*'Baseline Consumption'!AN90/'Baseline Consumption'!AN89</f>
        <v>0</v>
      </c>
      <c r="Z210" s="310">
        <f>(Z208-Z200)*'Baseline Consumption'!AO90/'Baseline Consumption'!AO89</f>
        <v>0</v>
      </c>
      <c r="AA210" s="310">
        <f>(AA208-AA200)*'Baseline Consumption'!AP90/'Baseline Consumption'!AP89</f>
        <v>0</v>
      </c>
      <c r="AB210" s="310">
        <f>(AB208-AB200)*'Baseline Consumption'!AQ90/'Baseline Consumption'!AQ89</f>
        <v>0</v>
      </c>
      <c r="AC210" s="310">
        <f>(AC208-AC200)*'Baseline Consumption'!AR90/'Baseline Consumption'!AR89</f>
        <v>0</v>
      </c>
      <c r="AD210" s="310">
        <f>(AD208-AD200)*'Baseline Consumption'!AS90/'Baseline Consumption'!AS89</f>
        <v>0</v>
      </c>
      <c r="AE210" s="310">
        <f>(AE208-AE200)*'Baseline Consumption'!AT90/'Baseline Consumption'!AT89</f>
        <v>0</v>
      </c>
      <c r="AF210" s="310">
        <f>(AF208-AF200)*'Baseline Consumption'!AU90/'Baseline Consumption'!AU89</f>
        <v>0</v>
      </c>
      <c r="AG210" s="197"/>
    </row>
    <row r="211" spans="1:33" s="40" customFormat="1" ht="12.9" customHeight="1">
      <c r="A211" s="388" t="s">
        <v>1098</v>
      </c>
      <c r="B211" s="418">
        <f>B209-B199</f>
        <v>-3.7364932417374708E-4</v>
      </c>
      <c r="C211" s="418">
        <f>C209-C199</f>
        <v>-8.9026094581441673E-4</v>
      </c>
      <c r="D211" s="418">
        <f t="shared" ref="D211:AF211" si="94">D209-D199</f>
        <v>-1.4523206656760629E-3</v>
      </c>
      <c r="E211" s="418">
        <f t="shared" si="94"/>
        <v>-1.5975176310011885E-3</v>
      </c>
      <c r="F211" s="418">
        <f t="shared" si="94"/>
        <v>-1.4377204675349933E-3</v>
      </c>
      <c r="G211" s="418">
        <f>G209-G199</f>
        <v>-9.8906743155318527E-4</v>
      </c>
      <c r="H211" s="310">
        <f t="shared" si="94"/>
        <v>0</v>
      </c>
      <c r="I211" s="310">
        <f t="shared" si="94"/>
        <v>0</v>
      </c>
      <c r="J211" s="310">
        <f t="shared" si="94"/>
        <v>0</v>
      </c>
      <c r="K211" s="310">
        <f t="shared" si="94"/>
        <v>0</v>
      </c>
      <c r="L211" s="310">
        <f t="shared" si="94"/>
        <v>0</v>
      </c>
      <c r="M211" s="310">
        <f t="shared" si="94"/>
        <v>0</v>
      </c>
      <c r="N211" s="310">
        <f t="shared" si="94"/>
        <v>0</v>
      </c>
      <c r="O211" s="310">
        <f t="shared" si="94"/>
        <v>0</v>
      </c>
      <c r="P211" s="310">
        <f t="shared" si="94"/>
        <v>0</v>
      </c>
      <c r="Q211" s="310">
        <f t="shared" si="94"/>
        <v>0</v>
      </c>
      <c r="R211" s="310">
        <f t="shared" si="94"/>
        <v>0</v>
      </c>
      <c r="S211" s="310">
        <f t="shared" si="94"/>
        <v>0</v>
      </c>
      <c r="T211" s="310">
        <f t="shared" si="94"/>
        <v>0</v>
      </c>
      <c r="U211" s="310">
        <f t="shared" si="94"/>
        <v>0</v>
      </c>
      <c r="V211" s="310">
        <f t="shared" si="94"/>
        <v>0</v>
      </c>
      <c r="W211" s="310">
        <f t="shared" si="94"/>
        <v>0</v>
      </c>
      <c r="X211" s="310">
        <f t="shared" si="94"/>
        <v>0</v>
      </c>
      <c r="Y211" s="310">
        <f t="shared" si="94"/>
        <v>0</v>
      </c>
      <c r="Z211" s="310">
        <f t="shared" si="94"/>
        <v>0</v>
      </c>
      <c r="AA211" s="310">
        <f t="shared" si="94"/>
        <v>0</v>
      </c>
      <c r="AB211" s="310">
        <f t="shared" si="94"/>
        <v>0</v>
      </c>
      <c r="AC211" s="310">
        <f t="shared" si="94"/>
        <v>0</v>
      </c>
      <c r="AD211" s="310">
        <f t="shared" si="94"/>
        <v>0</v>
      </c>
      <c r="AE211" s="310">
        <f t="shared" si="94"/>
        <v>0</v>
      </c>
      <c r="AF211" s="310">
        <f t="shared" si="94"/>
        <v>0</v>
      </c>
      <c r="AG211" s="197"/>
    </row>
    <row r="212" spans="1:33" ht="12.9" customHeight="1">
      <c r="A212" s="104"/>
      <c r="B212" s="310"/>
      <c r="C212" s="310"/>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310"/>
      <c r="AE212" s="310"/>
      <c r="AF212" s="310"/>
    </row>
    <row r="213" spans="1:33" s="4" customFormat="1" ht="12.9" customHeight="1">
      <c r="A213" s="280" t="s">
        <v>1306</v>
      </c>
      <c r="B213" s="310"/>
      <c r="C213" s="310"/>
      <c r="D213" s="310"/>
      <c r="E213" s="310"/>
      <c r="F213" s="310"/>
      <c r="G213" s="310"/>
      <c r="H213" s="310"/>
      <c r="I213" s="310"/>
      <c r="J213" s="310"/>
      <c r="K213" s="310"/>
      <c r="L213" s="310"/>
      <c r="M213" s="310"/>
      <c r="N213" s="310"/>
      <c r="O213" s="310"/>
      <c r="P213" s="310"/>
      <c r="Q213" s="310"/>
      <c r="R213" s="310"/>
      <c r="S213" s="310"/>
      <c r="T213" s="310"/>
      <c r="U213" s="310"/>
      <c r="V213" s="310"/>
      <c r="W213" s="310"/>
      <c r="X213" s="310"/>
      <c r="Y213" s="310"/>
      <c r="Z213" s="310"/>
      <c r="AA213" s="310"/>
      <c r="AB213" s="310"/>
      <c r="AC213" s="310"/>
      <c r="AD213" s="310"/>
      <c r="AE213" s="310"/>
      <c r="AF213" s="310"/>
    </row>
    <row r="214" spans="1:33" ht="12.9" customHeight="1">
      <c r="A214" s="71" t="s">
        <v>2</v>
      </c>
      <c r="B214" s="418">
        <f>B199+B211</f>
        <v>0.10251317085487838</v>
      </c>
      <c r="C214" s="418">
        <f>C199+C211</f>
        <v>8.2565440224043218E-2</v>
      </c>
      <c r="D214" s="418">
        <f t="shared" ref="D214:AF214" si="95">D199+D211</f>
        <v>6.7662802854527304E-2</v>
      </c>
      <c r="E214" s="418">
        <f t="shared" si="95"/>
        <v>4.9783290278470713E-2</v>
      </c>
      <c r="F214" s="418">
        <f t="shared" si="95"/>
        <v>3.2534753456129134E-2</v>
      </c>
      <c r="G214" s="418">
        <f t="shared" si="95"/>
        <v>1.5905213769305628E-2</v>
      </c>
      <c r="H214" s="310">
        <f t="shared" si="95"/>
        <v>0</v>
      </c>
      <c r="I214" s="310">
        <f t="shared" si="95"/>
        <v>0</v>
      </c>
      <c r="J214" s="310">
        <f t="shared" si="95"/>
        <v>0</v>
      </c>
      <c r="K214" s="310">
        <f t="shared" si="95"/>
        <v>0</v>
      </c>
      <c r="L214" s="310">
        <f t="shared" si="95"/>
        <v>0</v>
      </c>
      <c r="M214" s="310">
        <f t="shared" si="95"/>
        <v>0</v>
      </c>
      <c r="N214" s="310">
        <f t="shared" si="95"/>
        <v>0</v>
      </c>
      <c r="O214" s="310">
        <f t="shared" si="95"/>
        <v>0</v>
      </c>
      <c r="P214" s="310">
        <f t="shared" si="95"/>
        <v>0</v>
      </c>
      <c r="Q214" s="310">
        <f t="shared" si="95"/>
        <v>0</v>
      </c>
      <c r="R214" s="310">
        <f t="shared" si="95"/>
        <v>0</v>
      </c>
      <c r="S214" s="310">
        <f t="shared" si="95"/>
        <v>0</v>
      </c>
      <c r="T214" s="310">
        <f t="shared" si="95"/>
        <v>0</v>
      </c>
      <c r="U214" s="310">
        <f t="shared" si="95"/>
        <v>0</v>
      </c>
      <c r="V214" s="310">
        <f t="shared" si="95"/>
        <v>0</v>
      </c>
      <c r="W214" s="310">
        <f t="shared" si="95"/>
        <v>0</v>
      </c>
      <c r="X214" s="310">
        <f t="shared" si="95"/>
        <v>0</v>
      </c>
      <c r="Y214" s="310">
        <f t="shared" si="95"/>
        <v>0</v>
      </c>
      <c r="Z214" s="310">
        <f t="shared" si="95"/>
        <v>0</v>
      </c>
      <c r="AA214" s="310">
        <f t="shared" si="95"/>
        <v>0</v>
      </c>
      <c r="AB214" s="310">
        <f t="shared" si="95"/>
        <v>0</v>
      </c>
      <c r="AC214" s="310">
        <f t="shared" si="95"/>
        <v>0</v>
      </c>
      <c r="AD214" s="310">
        <f t="shared" si="95"/>
        <v>0</v>
      </c>
      <c r="AE214" s="310">
        <f t="shared" si="95"/>
        <v>0</v>
      </c>
      <c r="AF214" s="310">
        <f t="shared" si="95"/>
        <v>0</v>
      </c>
    </row>
    <row r="215" spans="1:33" ht="12.9" customHeight="1">
      <c r="A215" s="71" t="s">
        <v>1</v>
      </c>
      <c r="B215" s="418">
        <f>B200+B210</f>
        <v>4.4630381798374592E-2</v>
      </c>
      <c r="C215" s="418">
        <f t="shared" ref="C215:AF215" si="96">C200+C210</f>
        <v>5.0587263466870147E-2</v>
      </c>
      <c r="D215" s="418">
        <f t="shared" si="96"/>
        <v>4.935558541409997E-2</v>
      </c>
      <c r="E215" s="418">
        <f t="shared" si="96"/>
        <v>5.6637965899954595E-2</v>
      </c>
      <c r="F215" s="418">
        <f t="shared" si="96"/>
        <v>5.8122392901602898E-2</v>
      </c>
      <c r="G215" s="418">
        <f t="shared" si="96"/>
        <v>5.6858895281866322E-2</v>
      </c>
      <c r="H215" s="310">
        <f t="shared" si="96"/>
        <v>6.0687074364877823E-2</v>
      </c>
      <c r="I215" s="310">
        <f t="shared" si="96"/>
        <v>5.9226544350458342E-2</v>
      </c>
      <c r="J215" s="310">
        <f t="shared" si="96"/>
        <v>5.9604718687179689E-2</v>
      </c>
      <c r="K215" s="310">
        <f t="shared" si="96"/>
        <v>6.1357630605562645E-2</v>
      </c>
      <c r="L215" s="310">
        <f>L200+L210</f>
        <v>6.095534030322125E-2</v>
      </c>
      <c r="M215" s="310">
        <f t="shared" si="96"/>
        <v>6.0444524189716596E-2</v>
      </c>
      <c r="N215" s="310">
        <f t="shared" si="96"/>
        <v>5.867162773783758E-2</v>
      </c>
      <c r="O215" s="310">
        <f t="shared" si="96"/>
        <v>5.4645052354682234E-2</v>
      </c>
      <c r="P215" s="310">
        <f t="shared" si="96"/>
        <v>5.0572609874604962E-2</v>
      </c>
      <c r="Q215" s="310">
        <f t="shared" si="96"/>
        <v>4.6450026729118563E-2</v>
      </c>
      <c r="R215" s="310">
        <f t="shared" si="96"/>
        <v>4.2110477360897916E-2</v>
      </c>
      <c r="S215" s="310">
        <f t="shared" si="96"/>
        <v>3.7755680981102394E-2</v>
      </c>
      <c r="T215" s="310">
        <f t="shared" si="96"/>
        <v>3.3319714309978973E-2</v>
      </c>
      <c r="U215" s="310">
        <f t="shared" si="96"/>
        <v>2.880256914571247E-2</v>
      </c>
      <c r="V215" s="310">
        <f t="shared" si="96"/>
        <v>2.4205236359415062E-2</v>
      </c>
      <c r="W215" s="310">
        <f t="shared" si="96"/>
        <v>1.9526896838184669E-2</v>
      </c>
      <c r="X215" s="310">
        <f t="shared" si="96"/>
        <v>1.4766697008309758E-2</v>
      </c>
      <c r="Y215" s="310">
        <f t="shared" si="96"/>
        <v>9.9251680278695902E-3</v>
      </c>
      <c r="Z215" s="310">
        <f t="shared" si="96"/>
        <v>5.002827706014925E-3</v>
      </c>
      <c r="AA215" s="310">
        <f t="shared" si="96"/>
        <v>0</v>
      </c>
      <c r="AB215" s="310">
        <f t="shared" si="96"/>
        <v>0</v>
      </c>
      <c r="AC215" s="310">
        <f t="shared" si="96"/>
        <v>0</v>
      </c>
      <c r="AD215" s="310">
        <f t="shared" si="96"/>
        <v>0</v>
      </c>
      <c r="AE215" s="310">
        <f t="shared" si="96"/>
        <v>0</v>
      </c>
      <c r="AF215" s="310">
        <f t="shared" si="96"/>
        <v>0</v>
      </c>
    </row>
    <row r="216" spans="1:33" ht="12.9" customHeight="1">
      <c r="A216" s="71" t="s">
        <v>406</v>
      </c>
      <c r="B216" s="418">
        <f>B201</f>
        <v>6.2909527422530332E-3</v>
      </c>
      <c r="C216" s="418">
        <f t="shared" ref="C216:AF216" si="97">C201</f>
        <v>6.1116494041233305E-3</v>
      </c>
      <c r="D216" s="418">
        <f t="shared" si="97"/>
        <v>5.9113003951808121E-3</v>
      </c>
      <c r="E216" s="418">
        <f t="shared" si="97"/>
        <v>5.7014478787596476E-3</v>
      </c>
      <c r="F216" s="418">
        <f t="shared" si="97"/>
        <v>5.4765002438074495E-3</v>
      </c>
      <c r="G216" s="418">
        <f t="shared" si="97"/>
        <v>5.3866566715654379E-3</v>
      </c>
      <c r="H216" s="310">
        <f t="shared" si="97"/>
        <v>5.2786727825378512E-3</v>
      </c>
      <c r="I216" s="310">
        <f t="shared" si="97"/>
        <v>5.1516332091874912E-3</v>
      </c>
      <c r="J216" s="310">
        <f t="shared" si="97"/>
        <v>5.184527505035447E-3</v>
      </c>
      <c r="K216" s="310">
        <f t="shared" si="97"/>
        <v>5.0442211824556007E-3</v>
      </c>
      <c r="L216" s="310">
        <f t="shared" si="97"/>
        <v>5.0111488287069373E-3</v>
      </c>
      <c r="M216" s="310">
        <f t="shared" si="97"/>
        <v>4.9691545496800323E-3</v>
      </c>
      <c r="N216" s="310">
        <f t="shared" si="97"/>
        <v>4.8234044327246069E-3</v>
      </c>
      <c r="O216" s="310">
        <f t="shared" si="97"/>
        <v>4.492378989922957E-3</v>
      </c>
      <c r="P216" s="310">
        <f t="shared" si="97"/>
        <v>4.1575828053311194E-3</v>
      </c>
      <c r="Q216" s="310">
        <f t="shared" si="97"/>
        <v>3.8186645481614596E-3</v>
      </c>
      <c r="R216" s="310">
        <f t="shared" si="97"/>
        <v>3.4619094611502317E-3</v>
      </c>
      <c r="S216" s="310">
        <f t="shared" si="97"/>
        <v>3.1039009147404528E-3</v>
      </c>
      <c r="T216" s="310">
        <f t="shared" si="97"/>
        <v>2.7392193449615959E-3</v>
      </c>
      <c r="U216" s="310">
        <f t="shared" si="97"/>
        <v>2.3678640775410486E-3</v>
      </c>
      <c r="V216" s="310">
        <f t="shared" si="97"/>
        <v>1.9899165721604106E-3</v>
      </c>
      <c r="W216" s="310">
        <f t="shared" si="97"/>
        <v>1.6053094894095642E-3</v>
      </c>
      <c r="X216" s="310">
        <f t="shared" si="97"/>
        <v>1.2139726568494143E-3</v>
      </c>
      <c r="Y216" s="310">
        <f t="shared" si="97"/>
        <v>8.1594974107543241E-4</v>
      </c>
      <c r="Z216" s="310">
        <f t="shared" si="97"/>
        <v>4.1128331126541879E-4</v>
      </c>
      <c r="AA216" s="310">
        <f t="shared" si="97"/>
        <v>0</v>
      </c>
      <c r="AB216" s="310">
        <f t="shared" si="97"/>
        <v>0</v>
      </c>
      <c r="AC216" s="310">
        <f t="shared" si="97"/>
        <v>0</v>
      </c>
      <c r="AD216" s="310">
        <f t="shared" si="97"/>
        <v>0</v>
      </c>
      <c r="AE216" s="310">
        <f t="shared" si="97"/>
        <v>0</v>
      </c>
      <c r="AF216" s="310">
        <f t="shared" si="97"/>
        <v>0</v>
      </c>
    </row>
    <row r="217" spans="1:33" ht="12.9" customHeight="1">
      <c r="A217" s="71" t="s">
        <v>247</v>
      </c>
      <c r="B217" s="418">
        <f t="shared" ref="B217:AF217" si="98">B202</f>
        <v>6.9620472187277875E-4</v>
      </c>
      <c r="C217" s="418">
        <f t="shared" si="98"/>
        <v>6.8326148648471504E-4</v>
      </c>
      <c r="D217" s="418">
        <f t="shared" si="98"/>
        <v>6.6419896389397859E-4</v>
      </c>
      <c r="E217" s="418">
        <f t="shared" si="98"/>
        <v>6.5295751733643055E-4</v>
      </c>
      <c r="F217" s="418">
        <f t="shared" si="98"/>
        <v>6.4400458218922413E-4</v>
      </c>
      <c r="G217" s="418">
        <f t="shared" si="98"/>
        <v>6.3634487766515209E-4</v>
      </c>
      <c r="H217" s="310">
        <f t="shared" si="98"/>
        <v>6.2923263255012705E-4</v>
      </c>
      <c r="I217" s="310">
        <f t="shared" si="98"/>
        <v>5.9937830934467858E-4</v>
      </c>
      <c r="J217" s="310">
        <f t="shared" si="98"/>
        <v>5.6225333936621403E-4</v>
      </c>
      <c r="K217" s="310">
        <f t="shared" si="98"/>
        <v>5.2879749219679668E-4</v>
      </c>
      <c r="L217" s="310">
        <f t="shared" si="98"/>
        <v>4.9877370028316424E-4</v>
      </c>
      <c r="M217" s="310">
        <f t="shared" si="98"/>
        <v>4.6767025477232818E-4</v>
      </c>
      <c r="N217" s="310">
        <f t="shared" si="98"/>
        <v>4.3794740905041789E-4</v>
      </c>
      <c r="O217" s="310">
        <f t="shared" si="98"/>
        <v>4.0789151449984221E-4</v>
      </c>
      <c r="P217" s="310">
        <f t="shared" si="98"/>
        <v>3.7749325044236667E-4</v>
      </c>
      <c r="Q217" s="310">
        <f t="shared" si="98"/>
        <v>3.4672071733269906E-4</v>
      </c>
      <c r="R217" s="310">
        <f t="shared" si="98"/>
        <v>3.1432866557728188E-4</v>
      </c>
      <c r="S217" s="310">
        <f t="shared" si="98"/>
        <v>2.8182280431167313E-4</v>
      </c>
      <c r="T217" s="310">
        <f t="shared" si="98"/>
        <v>2.4871105703012215E-4</v>
      </c>
      <c r="U217" s="310">
        <f t="shared" si="98"/>
        <v>2.1499336251115227E-4</v>
      </c>
      <c r="V217" s="310">
        <f t="shared" si="98"/>
        <v>1.8067711699470043E-4</v>
      </c>
      <c r="W217" s="310">
        <f t="shared" si="98"/>
        <v>1.4575620630962499E-4</v>
      </c>
      <c r="X217" s="310">
        <f t="shared" si="98"/>
        <v>1.1022425905615704E-4</v>
      </c>
      <c r="Y217" s="310">
        <f t="shared" si="98"/>
        <v>7.4085240000804108E-5</v>
      </c>
      <c r="Z217" s="310">
        <f t="shared" si="98"/>
        <v>3.7343014268579995E-5</v>
      </c>
      <c r="AA217" s="310">
        <f t="shared" si="98"/>
        <v>0</v>
      </c>
      <c r="AB217" s="310">
        <f t="shared" si="98"/>
        <v>0</v>
      </c>
      <c r="AC217" s="310">
        <f t="shared" si="98"/>
        <v>0</v>
      </c>
      <c r="AD217" s="310">
        <f t="shared" si="98"/>
        <v>0</v>
      </c>
      <c r="AE217" s="310">
        <f t="shared" si="98"/>
        <v>0</v>
      </c>
      <c r="AF217" s="310">
        <f t="shared" si="98"/>
        <v>0</v>
      </c>
    </row>
    <row r="218" spans="1:33" s="4" customFormat="1" ht="12.9" customHeight="1">
      <c r="A218" s="280"/>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310"/>
      <c r="AF218" s="310"/>
    </row>
    <row r="219" spans="1:33" ht="12.9" customHeight="1">
      <c r="A219" s="280" t="s">
        <v>308</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310"/>
      <c r="AE219" s="310"/>
      <c r="AF219" s="310"/>
    </row>
    <row r="220" spans="1:33" ht="12.9" customHeight="1">
      <c r="A220" s="71" t="s">
        <v>76</v>
      </c>
      <c r="B220" s="309">
        <f t="shared" ref="B220:AF220" si="99">B13/B189</f>
        <v>0.38993244335421606</v>
      </c>
      <c r="C220" s="309">
        <f t="shared" si="99"/>
        <v>0.38714421407243099</v>
      </c>
      <c r="D220" s="309">
        <f t="shared" si="99"/>
        <v>0.3842517248505658</v>
      </c>
      <c r="E220" s="309">
        <f t="shared" si="99"/>
        <v>0.38129436244709225</v>
      </c>
      <c r="F220" s="309">
        <f t="shared" si="99"/>
        <v>0.37789164548723952</v>
      </c>
      <c r="G220" s="309">
        <f t="shared" si="99"/>
        <v>0.3740073393417534</v>
      </c>
      <c r="H220" s="309">
        <f t="shared" si="99"/>
        <v>0.37024014243814862</v>
      </c>
      <c r="I220" s="309">
        <f t="shared" si="99"/>
        <v>0.36547990153017823</v>
      </c>
      <c r="J220" s="309">
        <f t="shared" si="99"/>
        <v>0.36012886088111384</v>
      </c>
      <c r="K220" s="309">
        <f t="shared" si="99"/>
        <v>0.35544583650823053</v>
      </c>
      <c r="L220" s="309">
        <f t="shared" si="99"/>
        <v>0.35151994309948015</v>
      </c>
      <c r="M220" s="309">
        <f t="shared" si="99"/>
        <v>0.34933327431742611</v>
      </c>
      <c r="N220" s="309">
        <f t="shared" si="99"/>
        <v>0.34613059919442396</v>
      </c>
      <c r="O220" s="309">
        <f t="shared" si="99"/>
        <v>0.34322996323020999</v>
      </c>
      <c r="P220" s="309">
        <f t="shared" si="99"/>
        <v>0.34058868623407601</v>
      </c>
      <c r="Q220" s="309">
        <f t="shared" si="99"/>
        <v>0.33790247497969816</v>
      </c>
      <c r="R220" s="309">
        <f t="shared" si="99"/>
        <v>0.33516809071164239</v>
      </c>
      <c r="S220" s="309">
        <f t="shared" si="99"/>
        <v>0.33251302378153369</v>
      </c>
      <c r="T220" s="309">
        <f t="shared" si="99"/>
        <v>0.32989904599510406</v>
      </c>
      <c r="U220" s="309">
        <f t="shared" si="99"/>
        <v>0.32732336545234747</v>
      </c>
      <c r="V220" s="309">
        <f t="shared" si="99"/>
        <v>0.32476830188961364</v>
      </c>
      <c r="W220" s="309">
        <f t="shared" si="99"/>
        <v>0.32225554391882372</v>
      </c>
      <c r="X220" s="309">
        <f t="shared" si="99"/>
        <v>0.31978444015970259</v>
      </c>
      <c r="Y220" s="309">
        <f t="shared" si="99"/>
        <v>0.31735253443140504</v>
      </c>
      <c r="Z220" s="309">
        <f t="shared" si="99"/>
        <v>0.31495884181907041</v>
      </c>
      <c r="AA220" s="309">
        <f t="shared" si="99"/>
        <v>0.31260241500509522</v>
      </c>
      <c r="AB220" s="309">
        <f t="shared" si="99"/>
        <v>0.31033223256440928</v>
      </c>
      <c r="AC220" s="309">
        <f t="shared" si="99"/>
        <v>0.30809787078568057</v>
      </c>
      <c r="AD220" s="309">
        <f t="shared" si="99"/>
        <v>0.30589838002137426</v>
      </c>
      <c r="AE220" s="309">
        <f t="shared" si="99"/>
        <v>0.30373381792387599</v>
      </c>
      <c r="AF220" s="309">
        <f t="shared" si="99"/>
        <v>0.30160417143674878</v>
      </c>
    </row>
    <row r="221" spans="1:33" ht="12.9" customHeight="1">
      <c r="A221" s="71" t="s">
        <v>77</v>
      </c>
      <c r="B221" s="309">
        <f t="shared" ref="B221:AF221" si="100">B36/B189</f>
        <v>0.34777728081567089</v>
      </c>
      <c r="C221" s="309">
        <f t="shared" si="100"/>
        <v>0.34502006919310041</v>
      </c>
      <c r="D221" s="309">
        <f t="shared" si="100"/>
        <v>0.34211743714178489</v>
      </c>
      <c r="E221" s="309">
        <f t="shared" si="100"/>
        <v>0.33901207688430152</v>
      </c>
      <c r="F221" s="309">
        <f t="shared" si="100"/>
        <v>0.33589764684540308</v>
      </c>
      <c r="G221" s="309">
        <f t="shared" si="100"/>
        <v>0.33298628969755101</v>
      </c>
      <c r="H221" s="309">
        <f t="shared" si="100"/>
        <v>0.33019093157764956</v>
      </c>
      <c r="I221" s="309">
        <f t="shared" si="100"/>
        <v>0.32865288900318695</v>
      </c>
      <c r="J221" s="309">
        <f t="shared" si="100"/>
        <v>0.32841591705820633</v>
      </c>
      <c r="K221" s="309">
        <f t="shared" si="100"/>
        <v>0.32826817020050997</v>
      </c>
      <c r="L221" s="309">
        <f t="shared" si="100"/>
        <v>0.32861676087842384</v>
      </c>
      <c r="M221" s="309">
        <f t="shared" si="100"/>
        <v>0.33039642264872449</v>
      </c>
      <c r="N221" s="309">
        <f t="shared" si="100"/>
        <v>0.3310304245164733</v>
      </c>
      <c r="O221" s="309">
        <f t="shared" si="100"/>
        <v>0.33168694813437666</v>
      </c>
      <c r="P221" s="309">
        <f t="shared" si="100"/>
        <v>0.332118475759206</v>
      </c>
      <c r="Q221" s="309">
        <f t="shared" si="100"/>
        <v>0.33279408440409031</v>
      </c>
      <c r="R221" s="309">
        <f t="shared" si="100"/>
        <v>0.33357034741237868</v>
      </c>
      <c r="S221" s="309">
        <f t="shared" si="100"/>
        <v>0.33418021200341158</v>
      </c>
      <c r="T221" s="309">
        <f t="shared" si="100"/>
        <v>0.33476268287600042</v>
      </c>
      <c r="U221" s="309">
        <f t="shared" si="100"/>
        <v>0.335315680718277</v>
      </c>
      <c r="V221" s="309">
        <f t="shared" si="100"/>
        <v>0.33582097261724825</v>
      </c>
      <c r="W221" s="309">
        <f t="shared" si="100"/>
        <v>0.33630938575309938</v>
      </c>
      <c r="X221" s="309">
        <f t="shared" si="100"/>
        <v>0.33677506632934351</v>
      </c>
      <c r="Y221" s="309">
        <f t="shared" si="100"/>
        <v>0.33721786558668754</v>
      </c>
      <c r="Z221" s="309">
        <f t="shared" si="100"/>
        <v>0.33763993438555423</v>
      </c>
      <c r="AA221" s="309">
        <f t="shared" si="100"/>
        <v>0.33804151981505154</v>
      </c>
      <c r="AB221" s="309">
        <f t="shared" si="100"/>
        <v>0.33845016568141562</v>
      </c>
      <c r="AC221" s="309">
        <f t="shared" si="100"/>
        <v>0.33883831322390195</v>
      </c>
      <c r="AD221" s="309">
        <f t="shared" si="100"/>
        <v>0.33920647655010266</v>
      </c>
      <c r="AE221" s="309">
        <f t="shared" si="100"/>
        <v>0.33955774893080348</v>
      </c>
      <c r="AF221" s="309">
        <f t="shared" si="100"/>
        <v>0.33989497557864989</v>
      </c>
    </row>
    <row r="222" spans="1:33" ht="12.9" customHeight="1">
      <c r="A222" s="71" t="s">
        <v>78</v>
      </c>
      <c r="B222" s="309">
        <f t="shared" ref="B222:AF222" si="101">B65/B189</f>
        <v>0.25723868584545423</v>
      </c>
      <c r="C222" s="309">
        <f t="shared" si="101"/>
        <v>0.26129371413314262</v>
      </c>
      <c r="D222" s="309">
        <f t="shared" si="101"/>
        <v>0.26547307919290952</v>
      </c>
      <c r="E222" s="309">
        <f t="shared" si="101"/>
        <v>0.26978124428108508</v>
      </c>
      <c r="F222" s="309">
        <f t="shared" si="101"/>
        <v>0.27447630003824008</v>
      </c>
      <c r="G222" s="309">
        <f t="shared" si="101"/>
        <v>0.27934612224208799</v>
      </c>
      <c r="H222" s="309">
        <f t="shared" si="101"/>
        <v>0.28409813220678354</v>
      </c>
      <c r="I222" s="309">
        <f t="shared" si="101"/>
        <v>0.28858418613158732</v>
      </c>
      <c r="J222" s="309">
        <f t="shared" si="101"/>
        <v>0.29240347545968282</v>
      </c>
      <c r="K222" s="309">
        <f t="shared" si="101"/>
        <v>0.29557617663008118</v>
      </c>
      <c r="L222" s="309">
        <f t="shared" si="101"/>
        <v>0.29772887783086593</v>
      </c>
      <c r="M222" s="309">
        <f t="shared" si="101"/>
        <v>0.29702528981840498</v>
      </c>
      <c r="N222" s="309">
        <f t="shared" si="101"/>
        <v>0.29862554113196138</v>
      </c>
      <c r="O222" s="309">
        <f t="shared" si="101"/>
        <v>0.30010013346692083</v>
      </c>
      <c r="P222" s="309">
        <f t="shared" si="101"/>
        <v>0.30158067096725938</v>
      </c>
      <c r="Q222" s="309">
        <f t="shared" si="101"/>
        <v>0.30317767923913708</v>
      </c>
      <c r="R222" s="309">
        <f t="shared" si="101"/>
        <v>0.30410490070544255</v>
      </c>
      <c r="S222" s="309">
        <f t="shared" si="101"/>
        <v>0.30539435275073795</v>
      </c>
      <c r="T222" s="309">
        <f t="shared" si="101"/>
        <v>0.30668142905602397</v>
      </c>
      <c r="U222" s="309">
        <f t="shared" si="101"/>
        <v>0.30797074219648185</v>
      </c>
      <c r="V222" s="309">
        <f t="shared" si="101"/>
        <v>0.3092990806964977</v>
      </c>
      <c r="W222" s="309">
        <f t="shared" si="101"/>
        <v>0.31061366471126456</v>
      </c>
      <c r="X222" s="309">
        <f t="shared" si="101"/>
        <v>0.31191931534803208</v>
      </c>
      <c r="Y222" s="309">
        <f t="shared" si="101"/>
        <v>0.31321843932271837</v>
      </c>
      <c r="Z222" s="309">
        <f t="shared" si="101"/>
        <v>0.31450983937771149</v>
      </c>
      <c r="AA222" s="309">
        <f t="shared" si="101"/>
        <v>0.31579387984542506</v>
      </c>
      <c r="AB222" s="309">
        <f t="shared" si="101"/>
        <v>0.31698728524570952</v>
      </c>
      <c r="AC222" s="309">
        <f t="shared" si="101"/>
        <v>0.31817394108412195</v>
      </c>
      <c r="AD222" s="309">
        <f t="shared" si="101"/>
        <v>0.31935400476459469</v>
      </c>
      <c r="AE222" s="309">
        <f t="shared" si="101"/>
        <v>0.32052449536783939</v>
      </c>
      <c r="AF222" s="309">
        <f t="shared" si="101"/>
        <v>0.32168267536346989</v>
      </c>
    </row>
    <row r="223" spans="1:33" ht="12.9" customHeight="1">
      <c r="A223" s="71" t="s">
        <v>79</v>
      </c>
      <c r="B223" s="309">
        <f t="shared" ref="B223:AF223" si="102">B80/B189</f>
        <v>5.0515899846587022E-3</v>
      </c>
      <c r="C223" s="309">
        <f t="shared" si="102"/>
        <v>6.5420026013259672E-3</v>
      </c>
      <c r="D223" s="309">
        <f t="shared" si="102"/>
        <v>8.1577588147398496E-3</v>
      </c>
      <c r="E223" s="309">
        <f t="shared" si="102"/>
        <v>9.9123163875210109E-3</v>
      </c>
      <c r="F223" s="309">
        <f t="shared" si="102"/>
        <v>1.173440762911738E-2</v>
      </c>
      <c r="G223" s="309">
        <f t="shared" si="102"/>
        <v>1.3660248718607444E-2</v>
      </c>
      <c r="H223" s="309">
        <f t="shared" si="102"/>
        <v>1.5470793777418298E-2</v>
      </c>
      <c r="I223" s="309">
        <f t="shared" si="102"/>
        <v>1.7283023335047495E-2</v>
      </c>
      <c r="J223" s="309">
        <f t="shared" si="102"/>
        <v>1.9051746600997031E-2</v>
      </c>
      <c r="K223" s="309">
        <f t="shared" si="102"/>
        <v>2.0709816661178337E-2</v>
      </c>
      <c r="L223" s="309">
        <f t="shared" si="102"/>
        <v>2.2134418191230236E-2</v>
      </c>
      <c r="M223" s="309">
        <f t="shared" si="102"/>
        <v>2.3245013215444459E-2</v>
      </c>
      <c r="N223" s="309">
        <f t="shared" si="102"/>
        <v>2.4213435157141253E-2</v>
      </c>
      <c r="O223" s="309">
        <f t="shared" si="102"/>
        <v>2.4982955168492683E-2</v>
      </c>
      <c r="P223" s="309">
        <f t="shared" si="102"/>
        <v>2.5712167039458552E-2</v>
      </c>
      <c r="Q223" s="309">
        <f t="shared" si="102"/>
        <v>2.612576137707447E-2</v>
      </c>
      <c r="R223" s="309">
        <f t="shared" si="102"/>
        <v>2.7156661170536528E-2</v>
      </c>
      <c r="S223" s="309">
        <f t="shared" si="102"/>
        <v>2.7912411464316771E-2</v>
      </c>
      <c r="T223" s="309">
        <f t="shared" si="102"/>
        <v>2.8656842072871492E-2</v>
      </c>
      <c r="U223" s="309">
        <f t="shared" si="102"/>
        <v>2.939021163289357E-2</v>
      </c>
      <c r="V223" s="309">
        <f t="shared" si="102"/>
        <v>3.0111644796640299E-2</v>
      </c>
      <c r="W223" s="309">
        <f t="shared" si="102"/>
        <v>3.0821405616812247E-2</v>
      </c>
      <c r="X223" s="309">
        <f t="shared" si="102"/>
        <v>3.1521178162921666E-2</v>
      </c>
      <c r="Y223" s="309">
        <f t="shared" si="102"/>
        <v>3.2211160659189109E-2</v>
      </c>
      <c r="Z223" s="309">
        <f t="shared" si="102"/>
        <v>3.2891384417663996E-2</v>
      </c>
      <c r="AA223" s="309">
        <f t="shared" si="102"/>
        <v>3.3562185334428243E-2</v>
      </c>
      <c r="AB223" s="309">
        <f t="shared" si="102"/>
        <v>3.4230316508465759E-2</v>
      </c>
      <c r="AC223" s="309">
        <f t="shared" si="102"/>
        <v>3.4889874906295512E-2</v>
      </c>
      <c r="AD223" s="309">
        <f t="shared" si="102"/>
        <v>3.5541138663928336E-2</v>
      </c>
      <c r="AE223" s="309">
        <f t="shared" si="102"/>
        <v>3.6183937777481232E-2</v>
      </c>
      <c r="AF223" s="309">
        <f t="shared" si="102"/>
        <v>3.6818177621131397E-2</v>
      </c>
    </row>
    <row r="224" spans="1:33" ht="12.9" customHeight="1">
      <c r="A224" s="40"/>
    </row>
  </sheetData>
  <mergeCells count="2">
    <mergeCell ref="AI170:AL170"/>
    <mergeCell ref="AI171:AM171"/>
  </mergeCells>
  <phoneticPr fontId="7"/>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00B0F0"/>
  </sheetPr>
  <dimension ref="A1:AH107"/>
  <sheetViews>
    <sheetView workbookViewId="0">
      <pane xSplit="1" ySplit="7" topLeftCell="B8" activePane="bottomRight" state="frozen"/>
      <selection pane="topRight" activeCell="B1" sqref="B1"/>
      <selection pane="bottomLeft" activeCell="A8" sqref="A8"/>
      <selection pane="bottomRight" activeCell="A54" sqref="A54:XFD54"/>
    </sheetView>
  </sheetViews>
  <sheetFormatPr defaultRowHeight="12"/>
  <cols>
    <col min="1" max="1" width="37.88671875" customWidth="1"/>
    <col min="2" max="22" width="8.88671875" customWidth="1"/>
  </cols>
  <sheetData>
    <row r="1" spans="1:33" s="280" customFormat="1" ht="26.15" customHeight="1">
      <c r="A1" s="281" t="s">
        <v>384</v>
      </c>
    </row>
    <row r="2" spans="1:33" s="280" customFormat="1" ht="12.9" customHeight="1">
      <c r="A2" s="43" t="s">
        <v>359</v>
      </c>
      <c r="C2" s="165"/>
    </row>
    <row r="3" spans="1:33" s="280" customFormat="1" ht="12.9" customHeight="1">
      <c r="A3" s="43" t="s">
        <v>360</v>
      </c>
    </row>
    <row r="4" spans="1:33" s="280" customFormat="1" ht="12.9" customHeight="1">
      <c r="A4" s="43" t="s">
        <v>357</v>
      </c>
      <c r="B4" s="280" t="str">
        <f>'Baseline Emissions'!B4</f>
        <v>million tCO2</v>
      </c>
    </row>
    <row r="5" spans="1:33" s="280" customFormat="1" ht="12.9" customHeight="1"/>
    <row r="6" spans="1:33" s="5" customFormat="1" ht="13">
      <c r="A6" s="250" t="s">
        <v>76</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1"/>
      <c r="AG6" s="5" t="s">
        <v>1385</v>
      </c>
    </row>
    <row r="7" spans="1:33" s="280" customFormat="1" ht="12.9" customHeight="1">
      <c r="A7" s="253" t="s">
        <v>6</v>
      </c>
      <c r="B7" s="253">
        <v>2020</v>
      </c>
      <c r="C7" s="253">
        <v>2021</v>
      </c>
      <c r="D7" s="253">
        <v>2022</v>
      </c>
      <c r="E7" s="253">
        <v>2023</v>
      </c>
      <c r="F7" s="253">
        <v>2024</v>
      </c>
      <c r="G7" s="253">
        <v>2025</v>
      </c>
      <c r="H7" s="253">
        <v>2026</v>
      </c>
      <c r="I7" s="253">
        <v>2027</v>
      </c>
      <c r="J7" s="253">
        <v>2028</v>
      </c>
      <c r="K7" s="253">
        <v>2029</v>
      </c>
      <c r="L7" s="253">
        <v>2030</v>
      </c>
      <c r="M7" s="253">
        <v>2031</v>
      </c>
      <c r="N7" s="253">
        <v>2032</v>
      </c>
      <c r="O7" s="253">
        <v>2033</v>
      </c>
      <c r="P7" s="253">
        <v>2034</v>
      </c>
      <c r="Q7" s="253">
        <v>2035</v>
      </c>
      <c r="R7" s="253">
        <v>2036</v>
      </c>
      <c r="S7" s="253">
        <v>2037</v>
      </c>
      <c r="T7" s="253">
        <v>2038</v>
      </c>
      <c r="U7" s="253">
        <v>2039</v>
      </c>
      <c r="V7" s="253">
        <v>2040</v>
      </c>
      <c r="W7" s="253">
        <v>2041</v>
      </c>
      <c r="X7" s="253">
        <v>2042</v>
      </c>
      <c r="Y7" s="253">
        <v>2043</v>
      </c>
      <c r="Z7" s="253">
        <v>2044</v>
      </c>
      <c r="AA7" s="253">
        <v>2045</v>
      </c>
      <c r="AB7" s="253">
        <v>2046</v>
      </c>
      <c r="AC7" s="253">
        <v>2047</v>
      </c>
      <c r="AD7" s="253">
        <v>2048</v>
      </c>
      <c r="AE7" s="253">
        <v>2049</v>
      </c>
      <c r="AF7" s="253">
        <v>2050</v>
      </c>
      <c r="AG7" s="436" t="s">
        <v>290</v>
      </c>
    </row>
    <row r="8" spans="1:33">
      <c r="A8" s="40" t="s">
        <v>1242</v>
      </c>
      <c r="B8" s="300">
        <f>'Adjusted Consumption'!B8*parameters!$B$87</f>
        <v>0.38076223093672201</v>
      </c>
      <c r="C8" s="300">
        <f>'Adjusted Consumption'!C8*parameters!$B$87</f>
        <v>0.37051623498489367</v>
      </c>
      <c r="D8" s="300">
        <f>'Adjusted Consumption'!D8*parameters!$B$87</f>
        <v>0.36152398962438642</v>
      </c>
      <c r="E8" s="300">
        <f>'Adjusted Consumption'!E8*parameters!$B$87</f>
        <v>0.35360116779171136</v>
      </c>
      <c r="F8" s="300">
        <f>'Adjusted Consumption'!F8*parameters!$B$87</f>
        <v>0.34625547031726778</v>
      </c>
      <c r="G8" s="300">
        <f>'Adjusted Consumption'!G8*parameters!$B$87</f>
        <v>0.33955376185149672</v>
      </c>
      <c r="H8" s="300">
        <f>'Adjusted Consumption'!H8*parameters!$B$87</f>
        <v>0.33319612749044875</v>
      </c>
      <c r="I8" s="300">
        <f>'Adjusted Consumption'!I8*parameters!$B$87</f>
        <v>0.32752022644565465</v>
      </c>
      <c r="J8" s="300">
        <f>'Adjusted Consumption'!J8*parameters!$B$87</f>
        <v>0.32272497897380475</v>
      </c>
      <c r="K8" s="300">
        <f>'Adjusted Consumption'!K8*parameters!$B$87</f>
        <v>0.31696047679870254</v>
      </c>
      <c r="L8" s="300">
        <f>'Adjusted Consumption'!L8*parameters!$B$87</f>
        <v>0.31252608850458502</v>
      </c>
      <c r="M8" s="300">
        <f>'Adjusted Consumption'!M8*parameters!$B$87</f>
        <v>0.30887122888477947</v>
      </c>
      <c r="N8" s="300">
        <f>'Adjusted Consumption'!N8*parameters!$B$87</f>
        <v>0.30563326436287219</v>
      </c>
      <c r="O8" s="300">
        <f>'Adjusted Consumption'!O8*parameters!$B$87</f>
        <v>0.30259238316825043</v>
      </c>
      <c r="P8" s="300">
        <f>'Adjusted Consumption'!P8*parameters!$B$87</f>
        <v>0.30012442997138544</v>
      </c>
      <c r="Q8" s="300">
        <f>'Adjusted Consumption'!Q8*parameters!$B$87</f>
        <v>0.29804134805039684</v>
      </c>
      <c r="R8" s="300">
        <f>'Adjusted Consumption'!R8*parameters!$B$87</f>
        <v>0.29621325246728475</v>
      </c>
      <c r="S8" s="300">
        <f>'Adjusted Consumption'!S8*parameters!$B$87</f>
        <v>0.2945431232017926</v>
      </c>
      <c r="T8" s="300">
        <f>'Adjusted Consumption'!T8*parameters!$B$87</f>
        <v>0.2931299523812142</v>
      </c>
      <c r="U8" s="300">
        <f>'Adjusted Consumption'!U8*parameters!$B$87</f>
        <v>0.29192899377346199</v>
      </c>
      <c r="V8" s="300">
        <f>'Adjusted Consumption'!V8*parameters!$B$87</f>
        <v>0.29138922743489237</v>
      </c>
      <c r="W8" s="300">
        <f>'Adjusted Consumption'!W8*parameters!$B$87</f>
        <v>0.29104586759135437</v>
      </c>
      <c r="X8" s="300">
        <f>'Adjusted Consumption'!X8*parameters!$B$87</f>
        <v>0.29066340740641594</v>
      </c>
      <c r="Y8" s="300">
        <f>'Adjusted Consumption'!Y8*parameters!$B$87</f>
        <v>0.29035792470307553</v>
      </c>
      <c r="Z8" s="300">
        <f>'Adjusted Consumption'!Z8*parameters!$B$87</f>
        <v>0.29007849362191035</v>
      </c>
      <c r="AA8" s="300">
        <f>'Adjusted Consumption'!AA8*parameters!$B$87</f>
        <v>0.29001534709775423</v>
      </c>
      <c r="AB8" s="300">
        <f>'Adjusted Consumption'!AB8*parameters!$B$87</f>
        <v>0.29011044777906514</v>
      </c>
      <c r="AC8" s="300">
        <f>'Adjusted Consumption'!AC8*parameters!$B$87</f>
        <v>0.29033829273050049</v>
      </c>
      <c r="AD8" s="300">
        <f>'Adjusted Consumption'!AD8*parameters!$B$87</f>
        <v>0.29064021454479227</v>
      </c>
      <c r="AE8" s="300">
        <f>'Adjusted Consumption'!AE8*parameters!$B$87</f>
        <v>0.29109637340531752</v>
      </c>
      <c r="AF8" s="300">
        <f>'Adjusted Consumption'!AF8*parameters!$B$87</f>
        <v>0.29169086188078053</v>
      </c>
      <c r="AG8" s="442">
        <f>((AF8-B8)/B8)/29</f>
        <v>-8.0665209666786232E-3</v>
      </c>
    </row>
    <row r="9" spans="1:33">
      <c r="A9" s="40" t="s">
        <v>75</v>
      </c>
      <c r="B9" s="300">
        <f>'Adjusted Consumption'!B9*parameters!$B$91</f>
        <v>1.7104622426691877E-3</v>
      </c>
      <c r="C9" s="300">
        <f>'Adjusted Consumption'!C9*parameters!$B$91</f>
        <v>1.6195299045982552E-3</v>
      </c>
      <c r="D9" s="300">
        <f>'Adjusted Consumption'!D9*parameters!$B$91</f>
        <v>1.5319430600844513E-3</v>
      </c>
      <c r="E9" s="300">
        <f>'Adjusted Consumption'!E9*parameters!$B$91</f>
        <v>1.4598119757813556E-3</v>
      </c>
      <c r="F9" s="300">
        <f>'Adjusted Consumption'!F9*parameters!$B$91</f>
        <v>1.3794232619663655E-3</v>
      </c>
      <c r="G9" s="300">
        <f>'Adjusted Consumption'!G9*parameters!$B$91</f>
        <v>1.3104341583036934E-3</v>
      </c>
      <c r="H9" s="300">
        <f>'Adjusted Consumption'!H9*parameters!$B$91</f>
        <v>1.2531735507024227E-3</v>
      </c>
      <c r="I9" s="300">
        <f>'Adjusted Consumption'!I9*parameters!$B$91</f>
        <v>1.1997286176984522E-3</v>
      </c>
      <c r="J9" s="300">
        <f>'Adjusted Consumption'!J9*parameters!$B$91</f>
        <v>1.1458389709704448E-3</v>
      </c>
      <c r="K9" s="300">
        <f>'Adjusted Consumption'!K9*parameters!$B$91</f>
        <v>1.0924468178760188E-3</v>
      </c>
      <c r="L9" s="300">
        <f>'Adjusted Consumption'!L9*parameters!$B$91</f>
        <v>1.0424702258831965E-3</v>
      </c>
      <c r="M9" s="300">
        <f>'Adjusted Consumption'!M9*parameters!$B$91</f>
        <v>9.9258897994219551E-4</v>
      </c>
      <c r="N9" s="300">
        <f>'Adjusted Consumption'!N9*parameters!$B$91</f>
        <v>9.502463242255433E-4</v>
      </c>
      <c r="O9" s="300">
        <f>'Adjusted Consumption'!O9*parameters!$B$91</f>
        <v>9.0370517217808189E-4</v>
      </c>
      <c r="P9" s="300">
        <f>'Adjusted Consumption'!P9*parameters!$B$91</f>
        <v>8.6247747066646723E-4</v>
      </c>
      <c r="Q9" s="300">
        <f>'Adjusted Consumption'!Q9*parameters!$B$91</f>
        <v>8.223004038310375E-4</v>
      </c>
      <c r="R9" s="300">
        <f>'Adjusted Consumption'!R9*parameters!$B$91</f>
        <v>7.8643853011400237E-4</v>
      </c>
      <c r="S9" s="300">
        <f>'Adjusted Consumption'!S9*parameters!$B$91</f>
        <v>7.5017060495901451E-4</v>
      </c>
      <c r="T9" s="300">
        <f>'Adjusted Consumption'!T9*parameters!$B$91</f>
        <v>7.1425068112955666E-4</v>
      </c>
      <c r="U9" s="300">
        <f>'Adjusted Consumption'!U9*parameters!$B$91</f>
        <v>6.8237726599503271E-4</v>
      </c>
      <c r="V9" s="300">
        <f>'Adjusted Consumption'!V9*parameters!$B$91</f>
        <v>6.5226317606933884E-4</v>
      </c>
      <c r="W9" s="300">
        <f>'Adjusted Consumption'!W9*parameters!$B$91</f>
        <v>6.2594225634846502E-4</v>
      </c>
      <c r="X9" s="300">
        <f>'Adjusted Consumption'!X9*parameters!$B$91</f>
        <v>5.954298267418375E-4</v>
      </c>
      <c r="Y9" s="300">
        <f>'Adjusted Consumption'!Y9*parameters!$B$91</f>
        <v>5.7219777181252934E-4</v>
      </c>
      <c r="Z9" s="300">
        <f>'Adjusted Consumption'!Z9*parameters!$B$91</f>
        <v>5.4485279419372637E-4</v>
      </c>
      <c r="AA9" s="300">
        <f>'Adjusted Consumption'!AA9*parameters!$B$91</f>
        <v>5.2134204513358095E-4</v>
      </c>
      <c r="AB9" s="300">
        <f>'Adjusted Consumption'!AB9*parameters!$B$91</f>
        <v>4.9769905226725139E-4</v>
      </c>
      <c r="AC9" s="300">
        <f>'Adjusted Consumption'!AC9*parameters!$B$91</f>
        <v>4.7397570813532345E-4</v>
      </c>
      <c r="AD9" s="300">
        <f>'Adjusted Consumption'!AD9*parameters!$B$91</f>
        <v>4.5024387895095251E-4</v>
      </c>
      <c r="AE9" s="300">
        <f>'Adjusted Consumption'!AE9*parameters!$B$91</f>
        <v>4.3022881297577915E-4</v>
      </c>
      <c r="AF9" s="300">
        <f>'Adjusted Consumption'!AF9*parameters!$B$91</f>
        <v>4.1020937257569846E-4</v>
      </c>
      <c r="AG9" s="442">
        <f t="shared" ref="AG9:AG14" si="0">((AF9-B9)/B9)/29</f>
        <v>-2.6212976087285841E-2</v>
      </c>
    </row>
    <row r="10" spans="1:33">
      <c r="A10" s="40" t="s">
        <v>1243</v>
      </c>
      <c r="B10" s="300">
        <f>'Adjusted Consumption'!B10*parameters!$B$80</f>
        <v>0.1834811959286779</v>
      </c>
      <c r="C10" s="300">
        <f>'Adjusted Consumption'!C10*parameters!$B$80</f>
        <v>0.17811394999519684</v>
      </c>
      <c r="D10" s="300">
        <f>'Adjusted Consumption'!D10*parameters!$B$80</f>
        <v>0.17306929901583137</v>
      </c>
      <c r="E10" s="300">
        <f>'Adjusted Consumption'!E10*parameters!$B$80</f>
        <v>0.16809478968745836</v>
      </c>
      <c r="F10" s="300">
        <f>'Adjusted Consumption'!F10*parameters!$B$80</f>
        <v>0.16291735292623927</v>
      </c>
      <c r="G10" s="300">
        <f>'Adjusted Consumption'!G10*parameters!$B$80</f>
        <v>0.1580620547388556</v>
      </c>
      <c r="H10" s="300">
        <f>'Adjusted Consumption'!H10*parameters!$B$80</f>
        <v>0.15342408761325715</v>
      </c>
      <c r="I10" s="300">
        <f>'Adjusted Consumption'!I10*parameters!$B$80</f>
        <v>0.14892537873253731</v>
      </c>
      <c r="J10" s="300">
        <f>'Adjusted Consumption'!J10*parameters!$B$80</f>
        <v>0.14485381940049213</v>
      </c>
      <c r="K10" s="300">
        <f>'Adjusted Consumption'!K10*parameters!$B$80</f>
        <v>0.14081393142470391</v>
      </c>
      <c r="L10" s="300">
        <f>'Adjusted Consumption'!L10*parameters!$B$80</f>
        <v>0.13716249389765001</v>
      </c>
      <c r="M10" s="300">
        <f>'Adjusted Consumption'!M10*parameters!$B$80</f>
        <v>0.13367059235049059</v>
      </c>
      <c r="N10" s="300">
        <f>'Adjusted Consumption'!N10*parameters!$B$80</f>
        <v>0.13010128709958244</v>
      </c>
      <c r="O10" s="300">
        <f>'Adjusted Consumption'!O10*parameters!$B$80</f>
        <v>0.1265752496405958</v>
      </c>
      <c r="P10" s="300">
        <f>'Adjusted Consumption'!P10*parameters!$B$80</f>
        <v>0.12339047182610717</v>
      </c>
      <c r="Q10" s="300">
        <f>'Adjusted Consumption'!Q10*parameters!$B$80</f>
        <v>0.12040465767422442</v>
      </c>
      <c r="R10" s="300">
        <f>'Adjusted Consumption'!R10*parameters!$B$80</f>
        <v>0.11743521289889226</v>
      </c>
      <c r="S10" s="300">
        <f>'Adjusted Consumption'!S10*parameters!$B$80</f>
        <v>0.11453772890401599</v>
      </c>
      <c r="T10" s="300">
        <f>'Adjusted Consumption'!T10*parameters!$B$80</f>
        <v>0.11182404301890377</v>
      </c>
      <c r="U10" s="300">
        <f>'Adjusted Consumption'!U10*parameters!$B$80</f>
        <v>0.10917141616362602</v>
      </c>
      <c r="V10" s="300">
        <f>'Adjusted Consumption'!V10*parameters!$B$80</f>
        <v>0.10689921066645885</v>
      </c>
      <c r="W10" s="300">
        <f>'Adjusted Consumption'!W10*parameters!$B$80</f>
        <v>0.10464133890538385</v>
      </c>
      <c r="X10" s="300">
        <f>'Adjusted Consumption'!X10*parameters!$B$80</f>
        <v>0.10237291556487545</v>
      </c>
      <c r="Y10" s="300">
        <f>'Adjusted Consumption'!Y10*parameters!$B$80</f>
        <v>0.10012852202627968</v>
      </c>
      <c r="Z10" s="300">
        <f>'Adjusted Consumption'!Z10*parameters!$B$80</f>
        <v>9.789948455660788E-2</v>
      </c>
      <c r="AA10" s="300">
        <f>'Adjusted Consumption'!AA10*parameters!$B$80</f>
        <v>9.576224836929309E-2</v>
      </c>
      <c r="AB10" s="300">
        <f>'Adjusted Consumption'!AB10*parameters!$B$80</f>
        <v>9.3677069569036833E-2</v>
      </c>
      <c r="AC10" s="300">
        <f>'Adjusted Consumption'!AC10*parameters!$B$80</f>
        <v>9.1591584563581435E-2</v>
      </c>
      <c r="AD10" s="300">
        <f>'Adjusted Consumption'!AD10*parameters!$B$80</f>
        <v>8.9498051799330638E-2</v>
      </c>
      <c r="AE10" s="300">
        <f>'Adjusted Consumption'!AE10*parameters!$B$80</f>
        <v>8.7450926070036503E-2</v>
      </c>
      <c r="AF10" s="300">
        <f>'Adjusted Consumption'!AF10*parameters!$B$80</f>
        <v>8.5454745763961448E-2</v>
      </c>
      <c r="AG10" s="442">
        <f t="shared" si="0"/>
        <v>-1.8422718482753557E-2</v>
      </c>
    </row>
    <row r="11" spans="1:33">
      <c r="A11" s="40" t="s">
        <v>1</v>
      </c>
      <c r="B11" s="300">
        <f>'Adjusted Consumption'!B11*parameters!$B$76</f>
        <v>4.4841034244770572</v>
      </c>
      <c r="C11" s="300">
        <f>'Adjusted Consumption'!C11*parameters!$B$76</f>
        <v>4.457506027527872</v>
      </c>
      <c r="D11" s="300">
        <f>'Adjusted Consumption'!D11*parameters!$B$76</f>
        <v>4.4279308108348854</v>
      </c>
      <c r="E11" s="300">
        <f>'Adjusted Consumption'!E11*parameters!$B$76</f>
        <v>4.3949765606977449</v>
      </c>
      <c r="F11" s="300">
        <f>'Adjusted Consumption'!F11*parameters!$B$76</f>
        <v>4.402783203461329</v>
      </c>
      <c r="G11" s="300">
        <f>'Adjusted Consumption'!G11*parameters!$B$76</f>
        <v>4.3796621326085843</v>
      </c>
      <c r="H11" s="300">
        <f>'Adjusted Consumption'!H11*parameters!$B$76</f>
        <v>4.3300524383726913</v>
      </c>
      <c r="I11" s="300">
        <f>'Adjusted Consumption'!I11*parameters!$B$76</f>
        <v>4.2680749282755901</v>
      </c>
      <c r="J11" s="300">
        <f>'Adjusted Consumption'!J11*parameters!$B$76</f>
        <v>4.207764307759442</v>
      </c>
      <c r="K11" s="300">
        <f>'Adjusted Consumption'!K11*parameters!$B$76</f>
        <v>4.155951834381268</v>
      </c>
      <c r="L11" s="300">
        <f>'Adjusted Consumption'!L11*parameters!$B$76</f>
        <v>4.0851507619442904</v>
      </c>
      <c r="M11" s="300">
        <f>'Adjusted Consumption'!M11*parameters!$B$76</f>
        <v>4.0295529472046292</v>
      </c>
      <c r="N11" s="300">
        <f>'Adjusted Consumption'!N11*parameters!$B$76</f>
        <v>3.9766448944290276</v>
      </c>
      <c r="O11" s="300">
        <f>'Adjusted Consumption'!O11*parameters!$B$76</f>
        <v>3.923719638385665</v>
      </c>
      <c r="P11" s="300">
        <f>'Adjusted Consumption'!P11*parameters!$B$76</f>
        <v>3.8872417812961806</v>
      </c>
      <c r="Q11" s="300">
        <f>'Adjusted Consumption'!Q11*parameters!$B$76</f>
        <v>3.8595528443290958</v>
      </c>
      <c r="R11" s="300">
        <f>'Adjusted Consumption'!R11*parameters!$B$76</f>
        <v>3.8335887783002378</v>
      </c>
      <c r="S11" s="300">
        <f>'Adjusted Consumption'!S11*parameters!$B$76</f>
        <v>3.806065022783522</v>
      </c>
      <c r="T11" s="300">
        <f>'Adjusted Consumption'!T11*parameters!$B$76</f>
        <v>3.7776443877295649</v>
      </c>
      <c r="U11" s="300">
        <f>'Adjusted Consumption'!U11*parameters!$B$76</f>
        <v>3.7488100548503276</v>
      </c>
      <c r="V11" s="300">
        <f>'Adjusted Consumption'!V11*parameters!$B$76</f>
        <v>3.7352459572107142</v>
      </c>
      <c r="W11" s="300">
        <f>'Adjusted Consumption'!W11*parameters!$B$76</f>
        <v>3.721386641096315</v>
      </c>
      <c r="X11" s="300">
        <f>'Adjusted Consumption'!X11*parameters!$B$76</f>
        <v>3.7059081663835647</v>
      </c>
      <c r="Y11" s="300">
        <f>'Adjusted Consumption'!Y11*parameters!$B$76</f>
        <v>3.6896591187906473</v>
      </c>
      <c r="Z11" s="300">
        <f>'Adjusted Consumption'!Z11*parameters!$B$76</f>
        <v>3.6719448932985812</v>
      </c>
      <c r="AA11" s="300">
        <f>'Adjusted Consumption'!AA11*parameters!$B$76</f>
        <v>3.6547361562671896</v>
      </c>
      <c r="AB11" s="300">
        <f>'Adjusted Consumption'!AB11*parameters!$B$76</f>
        <v>3.6373155536850779</v>
      </c>
      <c r="AC11" s="300">
        <f>'Adjusted Consumption'!AC11*parameters!$B$76</f>
        <v>3.619698157279974</v>
      </c>
      <c r="AD11" s="300">
        <f>'Adjusted Consumption'!AD11*parameters!$B$76</f>
        <v>3.6005474971862705</v>
      </c>
      <c r="AE11" s="300">
        <f>'Adjusted Consumption'!AE11*parameters!$B$76</f>
        <v>3.5807832531862824</v>
      </c>
      <c r="AF11" s="300">
        <f>'Adjusted Consumption'!AF11*parameters!$B$76</f>
        <v>3.5597700632043576</v>
      </c>
      <c r="AG11" s="442">
        <f t="shared" si="0"/>
        <v>-7.1081242256436968E-3</v>
      </c>
    </row>
    <row r="12" spans="1:33">
      <c r="A12" s="40" t="s">
        <v>1244</v>
      </c>
      <c r="B12" s="300">
        <f>'Adjusted Consumption'!B12*parameters!$B$98</f>
        <v>0</v>
      </c>
      <c r="C12" s="300">
        <f>'Adjusted Consumption'!C12*parameters!$B$98</f>
        <v>0</v>
      </c>
      <c r="D12" s="300">
        <f>'Adjusted Consumption'!D12*parameters!$B$98</f>
        <v>0</v>
      </c>
      <c r="E12" s="300">
        <f>'Adjusted Consumption'!E12*parameters!$B$98</f>
        <v>0</v>
      </c>
      <c r="F12" s="300">
        <f>'Adjusted Consumption'!F12*parameters!$B$98</f>
        <v>0</v>
      </c>
      <c r="G12" s="300">
        <f>'Adjusted Consumption'!G12*parameters!$B$98</f>
        <v>0</v>
      </c>
      <c r="H12" s="300">
        <f>'Adjusted Consumption'!H12*parameters!$B$98</f>
        <v>0</v>
      </c>
      <c r="I12" s="300">
        <f>'Adjusted Consumption'!I12*parameters!$B$98</f>
        <v>0</v>
      </c>
      <c r="J12" s="300">
        <f>'Adjusted Consumption'!J12*parameters!$B$98</f>
        <v>0</v>
      </c>
      <c r="K12" s="300">
        <f>'Adjusted Consumption'!K12*parameters!$B$98</f>
        <v>0</v>
      </c>
      <c r="L12" s="300">
        <f>'Adjusted Consumption'!L12*parameters!$B$98</f>
        <v>0</v>
      </c>
      <c r="M12" s="300">
        <f>'Adjusted Consumption'!M12*parameters!$B$98</f>
        <v>0</v>
      </c>
      <c r="N12" s="300">
        <f>'Adjusted Consumption'!N12*parameters!$B$98</f>
        <v>0</v>
      </c>
      <c r="O12" s="300">
        <f>'Adjusted Consumption'!O12*parameters!$B$98</f>
        <v>0</v>
      </c>
      <c r="P12" s="300">
        <f>'Adjusted Consumption'!P12*parameters!$B$98</f>
        <v>0</v>
      </c>
      <c r="Q12" s="300">
        <f>'Adjusted Consumption'!Q12*parameters!$B$98</f>
        <v>0</v>
      </c>
      <c r="R12" s="300">
        <f>'Adjusted Consumption'!R12*parameters!$B$98</f>
        <v>0</v>
      </c>
      <c r="S12" s="300">
        <f>'Adjusted Consumption'!S12*parameters!$B$98</f>
        <v>0</v>
      </c>
      <c r="T12" s="300">
        <f>'Adjusted Consumption'!T12*parameters!$B$98</f>
        <v>0</v>
      </c>
      <c r="U12" s="300">
        <f>'Adjusted Consumption'!U12*parameters!$B$98</f>
        <v>0</v>
      </c>
      <c r="V12" s="300">
        <f>'Adjusted Consumption'!V12*parameters!$B$98</f>
        <v>0</v>
      </c>
      <c r="W12" s="300">
        <f>'Adjusted Consumption'!W12*parameters!$B$98</f>
        <v>0</v>
      </c>
      <c r="X12" s="300">
        <f>'Adjusted Consumption'!X12*parameters!$B$98</f>
        <v>0</v>
      </c>
      <c r="Y12" s="300">
        <f>'Adjusted Consumption'!Y12*parameters!$B$98</f>
        <v>0</v>
      </c>
      <c r="Z12" s="300">
        <f>'Adjusted Consumption'!Z12*parameters!$B$98</f>
        <v>0</v>
      </c>
      <c r="AA12" s="300">
        <f>'Adjusted Consumption'!AA12*parameters!$B$98</f>
        <v>0</v>
      </c>
      <c r="AB12" s="300">
        <f>'Adjusted Consumption'!AB12*parameters!$B$98</f>
        <v>0</v>
      </c>
      <c r="AC12" s="300">
        <f>'Adjusted Consumption'!AC12*parameters!$B$98</f>
        <v>0</v>
      </c>
      <c r="AD12" s="300">
        <f>'Adjusted Consumption'!AD12*parameters!$B$98</f>
        <v>0</v>
      </c>
      <c r="AE12" s="300">
        <f>'Adjusted Consumption'!AE12*parameters!$B$98</f>
        <v>0</v>
      </c>
      <c r="AF12" s="300">
        <f>'Adjusted Consumption'!AF12*parameters!$B$98</f>
        <v>0</v>
      </c>
      <c r="AG12" s="442"/>
    </row>
    <row r="13" spans="1:33">
      <c r="A13" s="40" t="s">
        <v>8</v>
      </c>
      <c r="B13" s="300">
        <f>B83*'Adjusted Consumption'!B220</f>
        <v>4.8588081629338582</v>
      </c>
      <c r="C13" s="300">
        <f>C83*'Adjusted Consumption'!C220</f>
        <v>4.2110384977367437</v>
      </c>
      <c r="D13" s="300">
        <f>D83*'Adjusted Consumption'!D220</f>
        <v>3.6075589702786979</v>
      </c>
      <c r="E13" s="300">
        <f>E83*'Adjusted Consumption'!E220</f>
        <v>3.0769551110424529</v>
      </c>
      <c r="F13" s="300">
        <f>F83*'Adjusted Consumption'!F220</f>
        <v>2.4572386719181187</v>
      </c>
      <c r="G13" s="300">
        <f>G83*'Adjusted Consumption'!G220</f>
        <v>1.8159230233959909</v>
      </c>
      <c r="H13" s="300">
        <f>H83*'Adjusted Consumption'!H220</f>
        <v>1.3128534125336375</v>
      </c>
      <c r="I13" s="300">
        <f>I83*'Adjusted Consumption'!I220</f>
        <v>1.2643908878469821</v>
      </c>
      <c r="J13" s="300">
        <f>J83*'Adjusted Consumption'!J220</f>
        <v>1.2527551567703927</v>
      </c>
      <c r="K13" s="300">
        <f>K83*'Adjusted Consumption'!K220</f>
        <v>1.2660065256051989</v>
      </c>
      <c r="L13" s="300">
        <f>L83*'Adjusted Consumption'!L220</f>
        <v>1.2431317611291131</v>
      </c>
      <c r="M13" s="300">
        <f>M83*'Adjusted Consumption'!M220</f>
        <v>1.2243578715488925</v>
      </c>
      <c r="N13" s="300">
        <f>N83*'Adjusted Consumption'!N220</f>
        <v>1.1771453819648372</v>
      </c>
      <c r="O13" s="300">
        <f>O83*'Adjusted Consumption'!O220</f>
        <v>1.0871713827535712</v>
      </c>
      <c r="P13" s="300">
        <f>P83*'Adjusted Consumption'!P220</f>
        <v>0.99840685889006753</v>
      </c>
      <c r="Q13" s="300">
        <f>Q83*'Adjusted Consumption'!Q220</f>
        <v>0.9097861328431468</v>
      </c>
      <c r="R13" s="300">
        <f>R83*'Adjusted Consumption'!R220</f>
        <v>0.81811584101580825</v>
      </c>
      <c r="S13" s="300">
        <f>S83*'Adjusted Consumption'!S220</f>
        <v>0.72770094690856035</v>
      </c>
      <c r="T13" s="300">
        <f>T83*'Adjusted Consumption'!T220</f>
        <v>0.63715383371479506</v>
      </c>
      <c r="U13" s="300">
        <f>U83*'Adjusted Consumption'!U220</f>
        <v>0.54647488534708433</v>
      </c>
      <c r="V13" s="300">
        <f>V83*'Adjusted Consumption'!V220</f>
        <v>0.45566422660617578</v>
      </c>
      <c r="W13" s="300">
        <f>W83*'Adjusted Consumption'!W220</f>
        <v>0.36475025252113907</v>
      </c>
      <c r="X13" s="300">
        <f>X83*'Adjusted Consumption'!X220</f>
        <v>0.27371756264195063</v>
      </c>
      <c r="Y13" s="300">
        <f>Y83*'Adjusted Consumption'!Y220</f>
        <v>0.18257521081780004</v>
      </c>
      <c r="Z13" s="300">
        <f>Z83*'Adjusted Consumption'!Z220</f>
        <v>9.1333757076051167E-2</v>
      </c>
      <c r="AA13" s="300">
        <f>AA83*'Adjusted Consumption'!AA220</f>
        <v>0</v>
      </c>
      <c r="AB13" s="300">
        <f>AB83*'Adjusted Consumption'!AB220</f>
        <v>0</v>
      </c>
      <c r="AC13" s="300">
        <f>AC83*'Adjusted Consumption'!AC220</f>
        <v>0</v>
      </c>
      <c r="AD13" s="300">
        <f>AD83*'Adjusted Consumption'!AD220</f>
        <v>0</v>
      </c>
      <c r="AE13" s="300">
        <f>AE83*'Adjusted Consumption'!AE220</f>
        <v>0</v>
      </c>
      <c r="AF13" s="300">
        <f>AF83*'Adjusted Consumption'!AF220</f>
        <v>0</v>
      </c>
      <c r="AG13" s="442">
        <f t="shared" si="0"/>
        <v>-3.4482758620689655E-2</v>
      </c>
    </row>
    <row r="14" spans="1:33">
      <c r="A14" s="40" t="s">
        <v>4</v>
      </c>
      <c r="B14" s="300">
        <f t="shared" ref="B14:V14" si="1">SUM(B8:B13)</f>
        <v>9.9088654765189847</v>
      </c>
      <c r="C14" s="300">
        <f t="shared" si="1"/>
        <v>9.2187942401493039</v>
      </c>
      <c r="D14" s="300">
        <f t="shared" si="1"/>
        <v>8.5716150128138846</v>
      </c>
      <c r="E14" s="300">
        <f t="shared" si="1"/>
        <v>7.9950874411951496</v>
      </c>
      <c r="F14" s="300">
        <f t="shared" si="1"/>
        <v>7.3705741218849212</v>
      </c>
      <c r="G14" s="300">
        <f t="shared" si="1"/>
        <v>6.6945114067532305</v>
      </c>
      <c r="H14" s="300">
        <f t="shared" si="1"/>
        <v>6.1307792395607379</v>
      </c>
      <c r="I14" s="300">
        <f t="shared" si="1"/>
        <v>6.0101111499184627</v>
      </c>
      <c r="J14" s="300">
        <f t="shared" si="1"/>
        <v>5.9292441018751019</v>
      </c>
      <c r="K14" s="300">
        <f t="shared" si="1"/>
        <v>5.88082521502775</v>
      </c>
      <c r="L14" s="300">
        <f t="shared" si="1"/>
        <v>5.7790135757015211</v>
      </c>
      <c r="M14" s="300">
        <f t="shared" si="1"/>
        <v>5.6974452289687338</v>
      </c>
      <c r="N14" s="300">
        <f t="shared" si="1"/>
        <v>5.5904750741805449</v>
      </c>
      <c r="O14" s="300">
        <f t="shared" si="1"/>
        <v>5.4409623591202596</v>
      </c>
      <c r="P14" s="300">
        <f t="shared" si="1"/>
        <v>5.3100260194544076</v>
      </c>
      <c r="Q14" s="300">
        <f t="shared" si="1"/>
        <v>5.1886072833006951</v>
      </c>
      <c r="R14" s="300">
        <f t="shared" si="1"/>
        <v>5.0661395232123372</v>
      </c>
      <c r="S14" s="300">
        <f t="shared" si="1"/>
        <v>4.94359699240285</v>
      </c>
      <c r="T14" s="300">
        <f t="shared" si="1"/>
        <v>4.8204664675256073</v>
      </c>
      <c r="U14" s="300">
        <f t="shared" si="1"/>
        <v>4.6970677274004951</v>
      </c>
      <c r="V14" s="300">
        <f t="shared" si="1"/>
        <v>4.5898508850943109</v>
      </c>
      <c r="W14" s="300">
        <f t="shared" ref="W14:AF14" si="2">SUM(W8:W13)</f>
        <v>4.4824500423705409</v>
      </c>
      <c r="X14" s="300">
        <f t="shared" si="2"/>
        <v>4.3732574818235479</v>
      </c>
      <c r="Y14" s="300">
        <f t="shared" si="2"/>
        <v>4.2632929741096159</v>
      </c>
      <c r="Z14" s="300">
        <f t="shared" si="2"/>
        <v>4.1518014813473441</v>
      </c>
      <c r="AA14" s="300">
        <f t="shared" si="2"/>
        <v>4.0410350937793709</v>
      </c>
      <c r="AB14" s="300">
        <f t="shared" si="2"/>
        <v>4.0216007700854473</v>
      </c>
      <c r="AC14" s="300">
        <f t="shared" si="2"/>
        <v>4.0021020102821909</v>
      </c>
      <c r="AD14" s="300">
        <f t="shared" si="2"/>
        <v>3.9811360074093445</v>
      </c>
      <c r="AE14" s="300">
        <f t="shared" si="2"/>
        <v>3.9597607814746123</v>
      </c>
      <c r="AF14" s="300">
        <f t="shared" si="2"/>
        <v>3.9373258802216755</v>
      </c>
      <c r="AG14" s="442">
        <f t="shared" si="0"/>
        <v>-2.0780901605836444E-2</v>
      </c>
    </row>
    <row r="15" spans="1:33">
      <c r="A15" s="40"/>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5"/>
    </row>
    <row r="16" spans="1:33" s="5" customFormat="1" ht="13">
      <c r="A16" s="250" t="s">
        <v>77</v>
      </c>
      <c r="B16" s="380"/>
      <c r="C16" s="380"/>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1"/>
      <c r="AG16" s="5" t="s">
        <v>1385</v>
      </c>
    </row>
    <row r="17" spans="1:33" s="377" customFormat="1" ht="12.9" customHeight="1">
      <c r="A17" s="253" t="s">
        <v>6</v>
      </c>
      <c r="B17" s="253">
        <v>2020</v>
      </c>
      <c r="C17" s="253">
        <v>2021</v>
      </c>
      <c r="D17" s="253">
        <v>2022</v>
      </c>
      <c r="E17" s="253">
        <v>2023</v>
      </c>
      <c r="F17" s="253">
        <v>2024</v>
      </c>
      <c r="G17" s="253">
        <v>2025</v>
      </c>
      <c r="H17" s="253">
        <v>2026</v>
      </c>
      <c r="I17" s="253">
        <v>2027</v>
      </c>
      <c r="J17" s="253">
        <v>2028</v>
      </c>
      <c r="K17" s="253">
        <v>2029</v>
      </c>
      <c r="L17" s="253">
        <v>2030</v>
      </c>
      <c r="M17" s="253">
        <v>2031</v>
      </c>
      <c r="N17" s="253">
        <v>2032</v>
      </c>
      <c r="O17" s="253">
        <v>2033</v>
      </c>
      <c r="P17" s="253">
        <v>2034</v>
      </c>
      <c r="Q17" s="253">
        <v>2035</v>
      </c>
      <c r="R17" s="253">
        <v>2036</v>
      </c>
      <c r="S17" s="253">
        <v>2037</v>
      </c>
      <c r="T17" s="253">
        <v>2038</v>
      </c>
      <c r="U17" s="253">
        <v>2039</v>
      </c>
      <c r="V17" s="253">
        <v>2040</v>
      </c>
      <c r="W17" s="253">
        <v>2041</v>
      </c>
      <c r="X17" s="253">
        <v>2042</v>
      </c>
      <c r="Y17" s="253">
        <v>2043</v>
      </c>
      <c r="Z17" s="253">
        <v>2044</v>
      </c>
      <c r="AA17" s="253">
        <v>2045</v>
      </c>
      <c r="AB17" s="253">
        <v>2046</v>
      </c>
      <c r="AC17" s="253">
        <v>2047</v>
      </c>
      <c r="AD17" s="253">
        <v>2048</v>
      </c>
      <c r="AE17" s="253">
        <v>2049</v>
      </c>
      <c r="AF17" s="253">
        <v>2050</v>
      </c>
      <c r="AG17" s="436" t="s">
        <v>290</v>
      </c>
    </row>
    <row r="18" spans="1:33">
      <c r="A18" s="40" t="s">
        <v>1242</v>
      </c>
      <c r="B18" s="300">
        <f>'Adjusted Consumption'!B28*parameters!$B$87</f>
        <v>0.22495146454580961</v>
      </c>
      <c r="C18" s="300">
        <f>'Adjusted Consumption'!C28*parameters!$B$87</f>
        <v>0.22687906087075346</v>
      </c>
      <c r="D18" s="300">
        <f>'Adjusted Consumption'!D28*parameters!$B$87</f>
        <v>0.22807236434944708</v>
      </c>
      <c r="E18" s="300">
        <f>'Adjusted Consumption'!E28*parameters!$B$87</f>
        <v>0.22959672095269204</v>
      </c>
      <c r="F18" s="300">
        <f>'Adjusted Consumption'!F28*parameters!$B$87</f>
        <v>0.2306706563616219</v>
      </c>
      <c r="G18" s="300">
        <f>'Adjusted Consumption'!G28*parameters!$B$87</f>
        <v>0.23159084215664683</v>
      </c>
      <c r="H18" s="300">
        <f>'Adjusted Consumption'!H28*parameters!$B$87</f>
        <v>0.23280079759913316</v>
      </c>
      <c r="I18" s="300">
        <f>'Adjusted Consumption'!I28*parameters!$B$87</f>
        <v>0.23427857048423004</v>
      </c>
      <c r="J18" s="300">
        <f>'Adjusted Consumption'!J28*parameters!$B$87</f>
        <v>0.23590479688437921</v>
      </c>
      <c r="K18" s="300">
        <f>'Adjusted Consumption'!K28*parameters!$B$87</f>
        <v>0.23343231845648538</v>
      </c>
      <c r="L18" s="300">
        <f>'Adjusted Consumption'!L28*parameters!$B$87</f>
        <v>0.23537279836778002</v>
      </c>
      <c r="M18" s="300">
        <f>'Adjusted Consumption'!M28*parameters!$B$87</f>
        <v>0.23671762805215099</v>
      </c>
      <c r="N18" s="300">
        <f>'Adjusted Consumption'!N28*parameters!$B$87</f>
        <v>0.23821885559295566</v>
      </c>
      <c r="O18" s="300">
        <f>'Adjusted Consumption'!O28*parameters!$B$87</f>
        <v>0.23951016947274298</v>
      </c>
      <c r="P18" s="300">
        <f>'Adjusted Consumption'!P28*parameters!$B$87</f>
        <v>0.24109877780935707</v>
      </c>
      <c r="Q18" s="300">
        <f>'Adjusted Consumption'!Q28*parameters!$B$87</f>
        <v>0.24286528389133333</v>
      </c>
      <c r="R18" s="300">
        <f>'Adjusted Consumption'!R28*parameters!$B$87</f>
        <v>0.24462446731322535</v>
      </c>
      <c r="S18" s="300">
        <f>'Adjusted Consumption'!S28*parameters!$B$87</f>
        <v>0.24646979566712976</v>
      </c>
      <c r="T18" s="300">
        <f>'Adjusted Consumption'!T28*parameters!$B$87</f>
        <v>0.24836341909826964</v>
      </c>
      <c r="U18" s="300">
        <f>'Adjusted Consumption'!U28*parameters!$B$87</f>
        <v>0.25026689521570178</v>
      </c>
      <c r="V18" s="300">
        <f>'Adjusted Consumption'!V28*parameters!$B$87</f>
        <v>0.2526998152912075</v>
      </c>
      <c r="W18" s="300">
        <f>'Adjusted Consumption'!W28*parameters!$B$87</f>
        <v>0.2552293482028179</v>
      </c>
      <c r="X18" s="300">
        <f>'Adjusted Consumption'!X28*parameters!$B$87</f>
        <v>0.25751408304371026</v>
      </c>
      <c r="Y18" s="300">
        <f>'Adjusted Consumption'!Y28*parameters!$B$87</f>
        <v>0.25969296119434643</v>
      </c>
      <c r="Z18" s="300">
        <f>'Adjusted Consumption'!Z28*parameters!$B$87</f>
        <v>0.26179852279518745</v>
      </c>
      <c r="AA18" s="300">
        <f>'Adjusted Consumption'!AA28*parameters!$B$87</f>
        <v>0.26390275580519684</v>
      </c>
      <c r="AB18" s="300">
        <f>'Adjusted Consumption'!AB28*parameters!$B$87</f>
        <v>0.26600210928731804</v>
      </c>
      <c r="AC18" s="300">
        <f>'Adjusted Consumption'!AC28*parameters!$B$87</f>
        <v>0.26805142566794138</v>
      </c>
      <c r="AD18" s="300">
        <f>'Adjusted Consumption'!AD28*parameters!$B$87</f>
        <v>0.27005670564392792</v>
      </c>
      <c r="AE18" s="300">
        <f>'Adjusted Consumption'!AE28*parameters!$B$87</f>
        <v>0.27207157766457379</v>
      </c>
      <c r="AF18" s="300">
        <f>'Adjusted Consumption'!AF28*parameters!$B$87</f>
        <v>0.27410625237216513</v>
      </c>
      <c r="AG18" s="442">
        <f>((AF18-B18)/B18)/29</f>
        <v>7.5349261988123641E-3</v>
      </c>
    </row>
    <row r="19" spans="1:33">
      <c r="A19" s="40" t="s">
        <v>0</v>
      </c>
      <c r="B19" s="300">
        <f>'Adjusted Consumption'!B29*parameters!$B$71</f>
        <v>3.8674799969821476E-2</v>
      </c>
      <c r="C19" s="300">
        <f>'Adjusted Consumption'!C29*parameters!$B$71</f>
        <v>3.8577255524911307E-2</v>
      </c>
      <c r="D19" s="300">
        <f>'Adjusted Consumption'!D29*parameters!$B$71</f>
        <v>3.8444973818100643E-2</v>
      </c>
      <c r="E19" s="300">
        <f>'Adjusted Consumption'!E29*parameters!$B$71</f>
        <v>3.8280001302499131E-2</v>
      </c>
      <c r="F19" s="300">
        <f>'Adjusted Consumption'!F29*parameters!$B$71</f>
        <v>3.8138400970829892E-2</v>
      </c>
      <c r="G19" s="300">
        <f>'Adjusted Consumption'!G29*parameters!$B$71</f>
        <v>3.7920750110921234E-2</v>
      </c>
      <c r="H19" s="300">
        <f>'Adjusted Consumption'!H29*parameters!$B$71</f>
        <v>3.7672348873408805E-2</v>
      </c>
      <c r="I19" s="300">
        <f>'Adjusted Consumption'!I29*parameters!$B$71</f>
        <v>3.7395727364520515E-2</v>
      </c>
      <c r="J19" s="300">
        <f>'Adjusted Consumption'!J29*parameters!$B$71</f>
        <v>3.7095852838815079E-2</v>
      </c>
      <c r="K19" s="300">
        <f>'Adjusted Consumption'!K29*parameters!$B$71</f>
        <v>3.6790762390701004E-2</v>
      </c>
      <c r="L19" s="300">
        <f>'Adjusted Consumption'!L29*parameters!$B$71</f>
        <v>3.6641640507450515E-2</v>
      </c>
      <c r="M19" s="300">
        <f>'Adjusted Consumption'!M29*parameters!$B$71</f>
        <v>3.650893127454214E-2</v>
      </c>
      <c r="N19" s="300">
        <f>'Adjusted Consumption'!N29*parameters!$B$71</f>
        <v>3.6363114000158278E-2</v>
      </c>
      <c r="O19" s="300">
        <f>'Adjusted Consumption'!O29*parameters!$B$71</f>
        <v>3.6212584118934937E-2</v>
      </c>
      <c r="P19" s="300">
        <f>'Adjusted Consumption'!P29*parameters!$B$71</f>
        <v>3.6175130545448499E-2</v>
      </c>
      <c r="Q19" s="300">
        <f>'Adjusted Consumption'!Q29*parameters!$B$71</f>
        <v>3.618589539150098E-2</v>
      </c>
      <c r="R19" s="300">
        <f>'Adjusted Consumption'!R29*parameters!$B$71</f>
        <v>3.6188558405408154E-2</v>
      </c>
      <c r="S19" s="300">
        <f>'Adjusted Consumption'!S29*parameters!$B$71</f>
        <v>3.621878784044201E-2</v>
      </c>
      <c r="T19" s="300">
        <f>'Adjusted Consumption'!T29*parameters!$B$71</f>
        <v>3.6226637314148241E-2</v>
      </c>
      <c r="U19" s="300">
        <f>'Adjusted Consumption'!U29*parameters!$B$71</f>
        <v>3.62414333243892E-2</v>
      </c>
      <c r="V19" s="300">
        <f>'Adjusted Consumption'!V29*parameters!$B$71</f>
        <v>3.6258450687700804E-2</v>
      </c>
      <c r="W19" s="300">
        <f>'Adjusted Consumption'!W29*parameters!$B$71</f>
        <v>3.6271345534675543E-2</v>
      </c>
      <c r="X19" s="300">
        <f>'Adjusted Consumption'!X29*parameters!$B$71</f>
        <v>3.6280783507104633E-2</v>
      </c>
      <c r="Y19" s="300">
        <f>'Adjusted Consumption'!Y29*parameters!$B$71</f>
        <v>3.6286586140144114E-2</v>
      </c>
      <c r="Z19" s="300">
        <f>'Adjusted Consumption'!Z29*parameters!$B$71</f>
        <v>3.6292139142803347E-2</v>
      </c>
      <c r="AA19" s="300">
        <f>'Adjusted Consumption'!AA29*parameters!$B$71</f>
        <v>3.6300971773488809E-2</v>
      </c>
      <c r="AB19" s="300">
        <f>'Adjusted Consumption'!AB29*parameters!$B$71</f>
        <v>3.6294420358706642E-2</v>
      </c>
      <c r="AC19" s="300">
        <f>'Adjusted Consumption'!AC29*parameters!$B$71</f>
        <v>3.6303980625291409E-2</v>
      </c>
      <c r="AD19" s="300">
        <f>'Adjusted Consumption'!AD29*parameters!$B$71</f>
        <v>3.63170229074588E-2</v>
      </c>
      <c r="AE19" s="300">
        <f>'Adjusted Consumption'!AE29*parameters!$B$71</f>
        <v>3.6319974622753645E-2</v>
      </c>
      <c r="AF19" s="300">
        <f>'Adjusted Consumption'!AF29*parameters!$B$71</f>
        <v>3.6327204365855861E-2</v>
      </c>
      <c r="AG19" s="442">
        <f t="shared" ref="AG19:AG23" si="3">((AF19-B19)/B19)/29</f>
        <v>-2.0931348737086202E-3</v>
      </c>
    </row>
    <row r="20" spans="1:33">
      <c r="A20" s="40" t="s">
        <v>75</v>
      </c>
      <c r="B20" s="300">
        <f>'Adjusted Consumption'!B30*parameters!$B$91</f>
        <v>4.7333977020925285E-3</v>
      </c>
      <c r="C20" s="300">
        <f>'Adjusted Consumption'!C30*parameters!$B$91</f>
        <v>3.4955689658132802E-3</v>
      </c>
      <c r="D20" s="300">
        <f>'Adjusted Consumption'!D30*parameters!$B$91</f>
        <v>2.3608180405952795E-3</v>
      </c>
      <c r="E20" s="300">
        <f>'Adjusted Consumption'!E30*parameters!$B$91</f>
        <v>2.4439562047027063E-3</v>
      </c>
      <c r="F20" s="300">
        <f>'Adjusted Consumption'!F30*parameters!$B$91</f>
        <v>2.3442213073016378E-3</v>
      </c>
      <c r="G20" s="300">
        <f>'Adjusted Consumption'!G30*parameters!$B$91</f>
        <v>2.4608286205304876E-3</v>
      </c>
      <c r="H20" s="300">
        <f>'Adjusted Consumption'!H30*parameters!$B$91</f>
        <v>2.5764410253223801E-3</v>
      </c>
      <c r="I20" s="300">
        <f>'Adjusted Consumption'!I30*parameters!$B$91</f>
        <v>2.6633357764503742E-3</v>
      </c>
      <c r="J20" s="300">
        <f>'Adjusted Consumption'!J30*parameters!$B$91</f>
        <v>2.755565797525355E-3</v>
      </c>
      <c r="K20" s="300">
        <f>'Adjusted Consumption'!K30*parameters!$B$91</f>
        <v>2.7898168339711223E-3</v>
      </c>
      <c r="L20" s="300">
        <f>'Adjusted Consumption'!L30*parameters!$B$91</f>
        <v>2.8882088419611984E-3</v>
      </c>
      <c r="M20" s="300">
        <f>'Adjusted Consumption'!M30*parameters!$B$91</f>
        <v>2.9657136829419274E-3</v>
      </c>
      <c r="N20" s="300">
        <f>'Adjusted Consumption'!N30*parameters!$B$91</f>
        <v>3.0543051259933193E-3</v>
      </c>
      <c r="O20" s="300">
        <f>'Adjusted Consumption'!O30*parameters!$B$91</f>
        <v>3.1267159341033164E-3</v>
      </c>
      <c r="P20" s="300">
        <f>'Adjusted Consumption'!P30*parameters!$B$91</f>
        <v>3.2024201178240891E-3</v>
      </c>
      <c r="Q20" s="300">
        <f>'Adjusted Consumption'!Q30*parameters!$B$91</f>
        <v>3.2943543967564985E-3</v>
      </c>
      <c r="R20" s="300">
        <f>'Adjusted Consumption'!R30*parameters!$B$91</f>
        <v>3.3872517894797745E-3</v>
      </c>
      <c r="S20" s="300">
        <f>'Adjusted Consumption'!S30*parameters!$B$91</f>
        <v>3.4299952900859387E-3</v>
      </c>
      <c r="T20" s="300">
        <f>'Adjusted Consumption'!T30*parameters!$B$91</f>
        <v>3.5077772971360654E-3</v>
      </c>
      <c r="U20" s="300">
        <f>'Adjusted Consumption'!U30*parameters!$B$91</f>
        <v>3.5856291884525785E-3</v>
      </c>
      <c r="V20" s="300">
        <f>'Adjusted Consumption'!V30*parameters!$B$91</f>
        <v>3.6783943536690651E-3</v>
      </c>
      <c r="W20" s="300">
        <f>'Adjusted Consumption'!W30*parameters!$B$91</f>
        <v>3.7643360167264541E-3</v>
      </c>
      <c r="X20" s="300">
        <f>'Adjusted Consumption'!X30*parameters!$B$91</f>
        <v>3.8622281827715207E-3</v>
      </c>
      <c r="Y20" s="300">
        <f>'Adjusted Consumption'!Y30*parameters!$B$91</f>
        <v>3.9439052869853948E-3</v>
      </c>
      <c r="Z20" s="300">
        <f>'Adjusted Consumption'!Z30*parameters!$B$91</f>
        <v>4.0235267382501055E-3</v>
      </c>
      <c r="AA20" s="300">
        <f>'Adjusted Consumption'!AA30*parameters!$B$91</f>
        <v>4.1096468941684136E-3</v>
      </c>
      <c r="AB20" s="300">
        <f>'Adjusted Consumption'!AB30*parameters!$B$91</f>
        <v>4.2076737694042958E-3</v>
      </c>
      <c r="AC20" s="300">
        <f>'Adjusted Consumption'!AC30*parameters!$B$91</f>
        <v>4.2768558300956983E-3</v>
      </c>
      <c r="AD20" s="300">
        <f>'Adjusted Consumption'!AD30*parameters!$B$91</f>
        <v>4.3458256583857142E-3</v>
      </c>
      <c r="AE20" s="300">
        <f>'Adjusted Consumption'!AE30*parameters!$B$91</f>
        <v>4.3992533520095045E-3</v>
      </c>
      <c r="AF20" s="300">
        <f>'Adjusted Consumption'!AF30*parameters!$B$91</f>
        <v>4.4788055140438003E-3</v>
      </c>
      <c r="AG20" s="442">
        <f t="shared" si="3"/>
        <v>-1.8547017427495067E-3</v>
      </c>
    </row>
    <row r="21" spans="1:33">
      <c r="A21" s="40" t="s">
        <v>1243</v>
      </c>
      <c r="B21" s="300">
        <f>'Adjusted Consumption'!B31*parameters!$B$80</f>
        <v>0.5411994084949675</v>
      </c>
      <c r="C21" s="300">
        <f>'Adjusted Consumption'!C31*parameters!$B$80</f>
        <v>0.54402628029128108</v>
      </c>
      <c r="D21" s="300">
        <f>'Adjusted Consumption'!D31*parameters!$B$80</f>
        <v>0.5477921876707299</v>
      </c>
      <c r="E21" s="300">
        <f>'Adjusted Consumption'!E31*parameters!$B$80</f>
        <v>0.55124312670525288</v>
      </c>
      <c r="F21" s="300">
        <f>'Adjusted Consumption'!F31*parameters!$B$80</f>
        <v>0.56101421154905806</v>
      </c>
      <c r="G21" s="300">
        <f>'Adjusted Consumption'!G31*parameters!$B$80</f>
        <v>0.56520289919090017</v>
      </c>
      <c r="H21" s="300">
        <f>'Adjusted Consumption'!H31*parameters!$B$80</f>
        <v>0.5643488822257734</v>
      </c>
      <c r="I21" s="300">
        <f>'Adjusted Consumption'!I31*parameters!$B$80</f>
        <v>0.56035464333215323</v>
      </c>
      <c r="J21" s="300">
        <f>'Adjusted Consumption'!J31*parameters!$B$80</f>
        <v>0.55665526182341218</v>
      </c>
      <c r="K21" s="300">
        <f>'Adjusted Consumption'!K31*parameters!$B$80</f>
        <v>0.54922092074312789</v>
      </c>
      <c r="L21" s="300">
        <f>'Adjusted Consumption'!L31*parameters!$B$80</f>
        <v>0.54320816774264113</v>
      </c>
      <c r="M21" s="300">
        <f>'Adjusted Consumption'!M31*parameters!$B$80</f>
        <v>0.53897404208270872</v>
      </c>
      <c r="N21" s="300">
        <f>'Adjusted Consumption'!N31*parameters!$B$80</f>
        <v>0.53587192309391951</v>
      </c>
      <c r="O21" s="300">
        <f>'Adjusted Consumption'!O31*parameters!$B$80</f>
        <v>0.53268206903825777</v>
      </c>
      <c r="P21" s="300">
        <f>'Adjusted Consumption'!P31*parameters!$B$80</f>
        <v>0.53084991288856953</v>
      </c>
      <c r="Q21" s="300">
        <f>'Adjusted Consumption'!Q31*parameters!$B$80</f>
        <v>0.52940178452260156</v>
      </c>
      <c r="R21" s="300">
        <f>'Adjusted Consumption'!R31*parameters!$B$80</f>
        <v>0.52794899830327258</v>
      </c>
      <c r="S21" s="300">
        <f>'Adjusted Consumption'!S31*parameters!$B$80</f>
        <v>0.52643839902777478</v>
      </c>
      <c r="T21" s="300">
        <f>'Adjusted Consumption'!T31*parameters!$B$80</f>
        <v>0.52523631062165921</v>
      </c>
      <c r="U21" s="300">
        <f>'Adjusted Consumption'!U31*parameters!$B$80</f>
        <v>0.52405399706975531</v>
      </c>
      <c r="V21" s="300">
        <f>'Adjusted Consumption'!V31*parameters!$B$80</f>
        <v>0.52435786117234862</v>
      </c>
      <c r="W21" s="300">
        <f>'Adjusted Consumption'!W31*parameters!$B$80</f>
        <v>0.52484345325496784</v>
      </c>
      <c r="X21" s="300">
        <f>'Adjusted Consumption'!X31*parameters!$B$80</f>
        <v>0.52482410036151739</v>
      </c>
      <c r="Y21" s="300">
        <f>'Adjusted Consumption'!Y31*parameters!$B$80</f>
        <v>0.5247089452870024</v>
      </c>
      <c r="Z21" s="300">
        <f>'Adjusted Consumption'!Z31*parameters!$B$80</f>
        <v>0.52478722935145972</v>
      </c>
      <c r="AA21" s="300">
        <f>'Adjusted Consumption'!AA31*parameters!$B$80</f>
        <v>0.52485325552981277</v>
      </c>
      <c r="AB21" s="300">
        <f>'Adjusted Consumption'!AB31*parameters!$B$80</f>
        <v>0.52479676427506006</v>
      </c>
      <c r="AC21" s="300">
        <f>'Adjusted Consumption'!AC31*parameters!$B$80</f>
        <v>0.52473550386572976</v>
      </c>
      <c r="AD21" s="300">
        <f>'Adjusted Consumption'!AD31*parameters!$B$80</f>
        <v>0.52444487840771115</v>
      </c>
      <c r="AE21" s="300">
        <f>'Adjusted Consumption'!AE31*parameters!$B$80</f>
        <v>0.52399044316646359</v>
      </c>
      <c r="AF21" s="300">
        <f>'Adjusted Consumption'!AF31*parameters!$B$80</f>
        <v>0.52343201570101494</v>
      </c>
      <c r="AG21" s="442">
        <f t="shared" si="3"/>
        <v>-1.1320572554516088E-3</v>
      </c>
    </row>
    <row r="22" spans="1:33">
      <c r="A22" s="40" t="s">
        <v>254</v>
      </c>
      <c r="B22" s="300">
        <f>'Adjusted Consumption'!B32*parameters!$B$94</f>
        <v>0</v>
      </c>
      <c r="C22" s="300">
        <f>'Adjusted Consumption'!C32*parameters!$B$94</f>
        <v>0</v>
      </c>
      <c r="D22" s="300">
        <f>'Adjusted Consumption'!D32*parameters!$B$94</f>
        <v>0</v>
      </c>
      <c r="E22" s="300">
        <f>'Adjusted Consumption'!E32*parameters!$B$94</f>
        <v>0</v>
      </c>
      <c r="F22" s="300">
        <f>'Adjusted Consumption'!F32*parameters!$B$94</f>
        <v>0</v>
      </c>
      <c r="G22" s="300">
        <f>'Adjusted Consumption'!G32*parameters!$B$94</f>
        <v>0</v>
      </c>
      <c r="H22" s="300">
        <f>'Adjusted Consumption'!H32*parameters!$B$94</f>
        <v>0</v>
      </c>
      <c r="I22" s="300">
        <f>'Adjusted Consumption'!I32*parameters!$B$94</f>
        <v>0</v>
      </c>
      <c r="J22" s="300">
        <f>'Adjusted Consumption'!J32*parameters!$B$94</f>
        <v>0</v>
      </c>
      <c r="K22" s="300">
        <f>'Adjusted Consumption'!K32*parameters!$B$94</f>
        <v>0</v>
      </c>
      <c r="L22" s="300">
        <f>'Adjusted Consumption'!L32*parameters!$B$94</f>
        <v>0</v>
      </c>
      <c r="M22" s="300">
        <f>'Adjusted Consumption'!M32*parameters!$B$94</f>
        <v>0</v>
      </c>
      <c r="N22" s="300">
        <f>'Adjusted Consumption'!N32*parameters!$B$94</f>
        <v>0</v>
      </c>
      <c r="O22" s="300">
        <f>'Adjusted Consumption'!O32*parameters!$B$94</f>
        <v>0</v>
      </c>
      <c r="P22" s="300">
        <f>'Adjusted Consumption'!P32*parameters!$B$94</f>
        <v>0</v>
      </c>
      <c r="Q22" s="300">
        <f>'Adjusted Consumption'!Q32*parameters!$B$94</f>
        <v>0</v>
      </c>
      <c r="R22" s="300">
        <f>'Adjusted Consumption'!R32*parameters!$B$94</f>
        <v>0</v>
      </c>
      <c r="S22" s="300">
        <f>'Adjusted Consumption'!S32*parameters!$B$94</f>
        <v>0</v>
      </c>
      <c r="T22" s="300">
        <f>'Adjusted Consumption'!T32*parameters!$B$94</f>
        <v>0</v>
      </c>
      <c r="U22" s="300">
        <f>'Adjusted Consumption'!U32*parameters!$B$94</f>
        <v>0</v>
      </c>
      <c r="V22" s="300">
        <f>'Adjusted Consumption'!V32*parameters!$B$94</f>
        <v>0</v>
      </c>
      <c r="W22" s="300">
        <f>'Adjusted Consumption'!W32*parameters!$B$94</f>
        <v>0</v>
      </c>
      <c r="X22" s="300">
        <f>'Adjusted Consumption'!X32*parameters!$B$94</f>
        <v>0</v>
      </c>
      <c r="Y22" s="300">
        <f>'Adjusted Consumption'!Y32*parameters!$B$94</f>
        <v>0</v>
      </c>
      <c r="Z22" s="300">
        <f>'Adjusted Consumption'!Z32*parameters!$B$94</f>
        <v>0</v>
      </c>
      <c r="AA22" s="300">
        <f>'Adjusted Consumption'!AA32*parameters!$B$94</f>
        <v>0</v>
      </c>
      <c r="AB22" s="300">
        <f>'Adjusted Consumption'!AB32*parameters!$B$94</f>
        <v>0</v>
      </c>
      <c r="AC22" s="300">
        <f>'Adjusted Consumption'!AC32*parameters!$B$94</f>
        <v>0</v>
      </c>
      <c r="AD22" s="300">
        <f>'Adjusted Consumption'!AD32*parameters!$B$94</f>
        <v>0</v>
      </c>
      <c r="AE22" s="300">
        <f>'Adjusted Consumption'!AE32*parameters!$B$94</f>
        <v>0</v>
      </c>
      <c r="AF22" s="300">
        <f>'Adjusted Consumption'!AF32*parameters!$B$94</f>
        <v>0</v>
      </c>
      <c r="AG22" s="442"/>
    </row>
    <row r="23" spans="1:33">
      <c r="A23" s="40" t="s">
        <v>1</v>
      </c>
      <c r="B23" s="300">
        <f>'Adjusted Consumption'!B33*parameters!$B$76</f>
        <v>3.1915311524426531</v>
      </c>
      <c r="C23" s="300">
        <f>'Adjusted Consumption'!C33*parameters!$B$76</f>
        <v>3.1946727811688032</v>
      </c>
      <c r="D23" s="300">
        <f>'Adjusted Consumption'!D33*parameters!$B$76</f>
        <v>3.1870499940463675</v>
      </c>
      <c r="E23" s="300">
        <f>'Adjusted Consumption'!E33*parameters!$B$76</f>
        <v>3.1672411071151747</v>
      </c>
      <c r="F23" s="300">
        <f>'Adjusted Consumption'!F33*parameters!$B$76</f>
        <v>3.2175174157036364</v>
      </c>
      <c r="G23" s="300">
        <f>'Adjusted Consumption'!G33*parameters!$B$76</f>
        <v>3.2365410685387457</v>
      </c>
      <c r="H23" s="300">
        <f>'Adjusted Consumption'!H33*parameters!$B$76</f>
        <v>3.2332387143722969</v>
      </c>
      <c r="I23" s="300">
        <f>'Adjusted Consumption'!I33*parameters!$B$76</f>
        <v>3.2208896606404789</v>
      </c>
      <c r="J23" s="300">
        <f>'Adjusted Consumption'!J33*parameters!$B$76</f>
        <v>3.2101101313041416</v>
      </c>
      <c r="K23" s="300">
        <f>'Adjusted Consumption'!K33*parameters!$B$76</f>
        <v>3.1783864307317202</v>
      </c>
      <c r="L23" s="300">
        <f>'Adjusted Consumption'!L33*parameters!$B$76</f>
        <v>3.1313615912988588</v>
      </c>
      <c r="M23" s="300">
        <f>'Adjusted Consumption'!M33*parameters!$B$76</f>
        <v>3.1024497533100397</v>
      </c>
      <c r="N23" s="300">
        <f>'Adjusted Consumption'!N33*parameters!$B$76</f>
        <v>3.0837368600238273</v>
      </c>
      <c r="O23" s="300">
        <f>'Adjusted Consumption'!O33*parameters!$B$76</f>
        <v>3.0653739835296272</v>
      </c>
      <c r="P23" s="300">
        <f>'Adjusted Consumption'!P33*parameters!$B$76</f>
        <v>3.0623255996550718</v>
      </c>
      <c r="Q23" s="300">
        <f>'Adjusted Consumption'!Q33*parameters!$B$76</f>
        <v>3.0686829442643808</v>
      </c>
      <c r="R23" s="300">
        <f>'Adjusted Consumption'!R33*parameters!$B$76</f>
        <v>3.0803351955118035</v>
      </c>
      <c r="S23" s="300">
        <f>'Adjusted Consumption'!S33*parameters!$B$76</f>
        <v>3.0938152109001043</v>
      </c>
      <c r="T23" s="300">
        <f>'Adjusted Consumption'!T33*parameters!$B$76</f>
        <v>3.1062244662469518</v>
      </c>
      <c r="U23" s="300">
        <f>'Adjusted Consumption'!U33*parameters!$B$76</f>
        <v>3.118224718467228</v>
      </c>
      <c r="V23" s="300">
        <f>'Adjusted Consumption'!V33*parameters!$B$76</f>
        <v>3.1434706798324936</v>
      </c>
      <c r="W23" s="300">
        <f>'Adjusted Consumption'!W33*parameters!$B$76</f>
        <v>3.1767322523929908</v>
      </c>
      <c r="X23" s="300">
        <f>'Adjusted Consumption'!X33*parameters!$B$76</f>
        <v>3.2095582939225307</v>
      </c>
      <c r="Y23" s="300">
        <f>'Adjusted Consumption'!Y33*parameters!$B$76</f>
        <v>3.2414671995699815</v>
      </c>
      <c r="Z23" s="300">
        <f>'Adjusted Consumption'!Z33*parameters!$B$76</f>
        <v>3.2720563976983112</v>
      </c>
      <c r="AA23" s="300">
        <f>'Adjusted Consumption'!AA33*parameters!$B$76</f>
        <v>3.3030575708870522</v>
      </c>
      <c r="AB23" s="300">
        <f>'Adjusted Consumption'!AB33*parameters!$B$76</f>
        <v>3.3356292891452481</v>
      </c>
      <c r="AC23" s="300">
        <f>'Adjusted Consumption'!AC33*parameters!$B$76</f>
        <v>3.3656269870547697</v>
      </c>
      <c r="AD23" s="300">
        <f>'Adjusted Consumption'!AD33*parameters!$B$76</f>
        <v>3.392277053992284</v>
      </c>
      <c r="AE23" s="300">
        <f>'Adjusted Consumption'!AE33*parameters!$B$76</f>
        <v>3.4147669601101232</v>
      </c>
      <c r="AF23" s="300">
        <f>'Adjusted Consumption'!AF33*parameters!$B$76</f>
        <v>3.4327687474822071</v>
      </c>
      <c r="AG23" s="442">
        <f t="shared" si="3"/>
        <v>2.606441034930206E-3</v>
      </c>
    </row>
    <row r="24" spans="1:33">
      <c r="A24" s="40" t="s">
        <v>2</v>
      </c>
      <c r="B24" s="300">
        <f>'Adjusted Consumption'!B34*parameters!$B$79</f>
        <v>0</v>
      </c>
      <c r="C24" s="300">
        <f>'Adjusted Consumption'!C34*parameters!$B$79</f>
        <v>0</v>
      </c>
      <c r="D24" s="300">
        <f>'Adjusted Consumption'!D34*parameters!$B$79</f>
        <v>0</v>
      </c>
      <c r="E24" s="300">
        <f>'Adjusted Consumption'!E34*parameters!$B$79</f>
        <v>0</v>
      </c>
      <c r="F24" s="300">
        <f>'Adjusted Consumption'!F34*parameters!$B$79</f>
        <v>0</v>
      </c>
      <c r="G24" s="300">
        <f>'Adjusted Consumption'!G34*parameters!$B$79</f>
        <v>0</v>
      </c>
      <c r="H24" s="300">
        <f>'Adjusted Consumption'!H34*parameters!$B$79</f>
        <v>0</v>
      </c>
      <c r="I24" s="300">
        <f>'Adjusted Consumption'!I34*parameters!$B$79</f>
        <v>0</v>
      </c>
      <c r="J24" s="300">
        <f>'Adjusted Consumption'!J34*parameters!$B$79</f>
        <v>0</v>
      </c>
      <c r="K24" s="300">
        <f>'Adjusted Consumption'!K34*parameters!$B$79</f>
        <v>0</v>
      </c>
      <c r="L24" s="300">
        <f>'Adjusted Consumption'!L34*parameters!$B$79</f>
        <v>0</v>
      </c>
      <c r="M24" s="300">
        <f>'Adjusted Consumption'!M34*parameters!$B$79</f>
        <v>0</v>
      </c>
      <c r="N24" s="300">
        <f>'Adjusted Consumption'!N34*parameters!$B$79</f>
        <v>0</v>
      </c>
      <c r="O24" s="300">
        <f>'Adjusted Consumption'!O34*parameters!$B$79</f>
        <v>0</v>
      </c>
      <c r="P24" s="300">
        <f>'Adjusted Consumption'!P34*parameters!$B$79</f>
        <v>0</v>
      </c>
      <c r="Q24" s="300">
        <f>'Adjusted Consumption'!Q34*parameters!$B$79</f>
        <v>0</v>
      </c>
      <c r="R24" s="300">
        <f>'Adjusted Consumption'!R34*parameters!$B$79</f>
        <v>0</v>
      </c>
      <c r="S24" s="300">
        <f>'Adjusted Consumption'!S34*parameters!$B$79</f>
        <v>0</v>
      </c>
      <c r="T24" s="300">
        <f>'Adjusted Consumption'!T34*parameters!$B$79</f>
        <v>0</v>
      </c>
      <c r="U24" s="300">
        <f>'Adjusted Consumption'!U34*parameters!$B$79</f>
        <v>0</v>
      </c>
      <c r="V24" s="300">
        <f>'Adjusted Consumption'!V34*parameters!$B$79</f>
        <v>0</v>
      </c>
      <c r="W24" s="300">
        <f>'Adjusted Consumption'!W34*parameters!$B$79</f>
        <v>0</v>
      </c>
      <c r="X24" s="300">
        <f>'Adjusted Consumption'!X34*parameters!$B$79</f>
        <v>0</v>
      </c>
      <c r="Y24" s="300">
        <f>'Adjusted Consumption'!Y34*parameters!$B$79</f>
        <v>0</v>
      </c>
      <c r="Z24" s="300">
        <f>'Adjusted Consumption'!Z34*parameters!$B$79</f>
        <v>0</v>
      </c>
      <c r="AA24" s="300">
        <f>'Adjusted Consumption'!AA34*parameters!$B$79</f>
        <v>0</v>
      </c>
      <c r="AB24" s="300">
        <f>'Adjusted Consumption'!AB34*parameters!$B$79</f>
        <v>0</v>
      </c>
      <c r="AC24" s="300">
        <f>'Adjusted Consumption'!AC34*parameters!$B$79</f>
        <v>0</v>
      </c>
      <c r="AD24" s="300">
        <f>'Adjusted Consumption'!AD34*parameters!$B$79</f>
        <v>0</v>
      </c>
      <c r="AE24" s="300">
        <f>'Adjusted Consumption'!AE34*parameters!$B$79</f>
        <v>0</v>
      </c>
      <c r="AF24" s="300">
        <f>'Adjusted Consumption'!AF34*parameters!$B$79</f>
        <v>0</v>
      </c>
      <c r="AG24" s="442"/>
    </row>
    <row r="25" spans="1:33">
      <c r="A25" s="40" t="s">
        <v>1244</v>
      </c>
      <c r="B25" s="300">
        <f>'Adjusted Consumption'!B35*parameters!$B$98</f>
        <v>0</v>
      </c>
      <c r="C25" s="300">
        <f>'Adjusted Consumption'!C35*parameters!$B$98</f>
        <v>0</v>
      </c>
      <c r="D25" s="300">
        <f>'Adjusted Consumption'!D35*parameters!$B$98</f>
        <v>0</v>
      </c>
      <c r="E25" s="300">
        <f>'Adjusted Consumption'!E35*parameters!$B$98</f>
        <v>0</v>
      </c>
      <c r="F25" s="300">
        <f>'Adjusted Consumption'!F35*parameters!$B$98</f>
        <v>0</v>
      </c>
      <c r="G25" s="300">
        <f>'Adjusted Consumption'!G35*parameters!$B$98</f>
        <v>0</v>
      </c>
      <c r="H25" s="300">
        <f>'Adjusted Consumption'!H35*parameters!$B$98</f>
        <v>0</v>
      </c>
      <c r="I25" s="300">
        <f>'Adjusted Consumption'!I35*parameters!$B$98</f>
        <v>0</v>
      </c>
      <c r="J25" s="300">
        <f>'Adjusted Consumption'!J35*parameters!$B$98</f>
        <v>0</v>
      </c>
      <c r="K25" s="300">
        <f>'Adjusted Consumption'!K35*parameters!$B$98</f>
        <v>0</v>
      </c>
      <c r="L25" s="300">
        <f>'Adjusted Consumption'!L35*parameters!$B$98</f>
        <v>0</v>
      </c>
      <c r="M25" s="300">
        <f>'Adjusted Consumption'!M35*parameters!$B$98</f>
        <v>0</v>
      </c>
      <c r="N25" s="300">
        <f>'Adjusted Consumption'!N35*parameters!$B$98</f>
        <v>0</v>
      </c>
      <c r="O25" s="300">
        <f>'Adjusted Consumption'!O35*parameters!$B$98</f>
        <v>0</v>
      </c>
      <c r="P25" s="300">
        <f>'Adjusted Consumption'!P35*parameters!$B$98</f>
        <v>0</v>
      </c>
      <c r="Q25" s="300">
        <f>'Adjusted Consumption'!Q35*parameters!$B$98</f>
        <v>0</v>
      </c>
      <c r="R25" s="300">
        <f>'Adjusted Consumption'!R35*parameters!$B$98</f>
        <v>0</v>
      </c>
      <c r="S25" s="300">
        <f>'Adjusted Consumption'!S35*parameters!$B$98</f>
        <v>0</v>
      </c>
      <c r="T25" s="300">
        <f>'Adjusted Consumption'!T35*parameters!$B$98</f>
        <v>0</v>
      </c>
      <c r="U25" s="300">
        <f>'Adjusted Consumption'!U35*parameters!$B$98</f>
        <v>0</v>
      </c>
      <c r="V25" s="300">
        <f>'Adjusted Consumption'!V35*parameters!$B$98</f>
        <v>0</v>
      </c>
      <c r="W25" s="300">
        <f>'Adjusted Consumption'!W35*parameters!$B$98</f>
        <v>0</v>
      </c>
      <c r="X25" s="300">
        <f>'Adjusted Consumption'!X35*parameters!$B$98</f>
        <v>0</v>
      </c>
      <c r="Y25" s="300">
        <f>'Adjusted Consumption'!Y35*parameters!$B$98</f>
        <v>0</v>
      </c>
      <c r="Z25" s="300">
        <f>'Adjusted Consumption'!Z35*parameters!$B$98</f>
        <v>0</v>
      </c>
      <c r="AA25" s="300">
        <f>'Adjusted Consumption'!AA35*parameters!$B$98</f>
        <v>0</v>
      </c>
      <c r="AB25" s="300">
        <f>'Adjusted Consumption'!AB35*parameters!$B$98</f>
        <v>0</v>
      </c>
      <c r="AC25" s="300">
        <f>'Adjusted Consumption'!AC35*parameters!$B$98</f>
        <v>0</v>
      </c>
      <c r="AD25" s="300">
        <f>'Adjusted Consumption'!AD35*parameters!$B$98</f>
        <v>0</v>
      </c>
      <c r="AE25" s="300">
        <f>'Adjusted Consumption'!AE35*parameters!$B$98</f>
        <v>0</v>
      </c>
      <c r="AF25" s="300">
        <f>'Adjusted Consumption'!AF35*parameters!$B$98</f>
        <v>0</v>
      </c>
      <c r="AG25" s="442"/>
    </row>
    <row r="26" spans="1:33">
      <c r="A26" s="40" t="s">
        <v>8</v>
      </c>
      <c r="B26" s="300">
        <f>B83*'Adjusted Consumption'!B221</f>
        <v>4.3335278192666751</v>
      </c>
      <c r="C26" s="300">
        <f>C83*'Adjusted Consumption'!C221</f>
        <v>3.7528464614793871</v>
      </c>
      <c r="D26" s="300">
        <f>D83*'Adjusted Consumption'!D221</f>
        <v>3.2119799325027998</v>
      </c>
      <c r="E26" s="300">
        <f>E83*'Adjusted Consumption'!E221</f>
        <v>2.7357470904621906</v>
      </c>
      <c r="F26" s="300">
        <f>F83*'Adjusted Consumption'!F221</f>
        <v>2.1841728905401023</v>
      </c>
      <c r="G26" s="300">
        <f>G83*'Adjusted Consumption'!G221</f>
        <v>1.6167529519640236</v>
      </c>
      <c r="H26" s="300">
        <f>H83*'Adjusted Consumption'!H221</f>
        <v>1.1708408722368515</v>
      </c>
      <c r="I26" s="300">
        <f>I83*'Adjusted Consumption'!I221</f>
        <v>1.1369865111061461</v>
      </c>
      <c r="J26" s="300">
        <f>J83*'Adjusted Consumption'!J221</f>
        <v>1.1424375504188364</v>
      </c>
      <c r="K26" s="300">
        <f>K83*'Adjusted Consumption'!K221</f>
        <v>1.169206677745684</v>
      </c>
      <c r="L26" s="300">
        <f>L83*'Adjusted Consumption'!L221</f>
        <v>1.1621358637160744</v>
      </c>
      <c r="M26" s="300">
        <f>M83*'Adjusted Consumption'!M221</f>
        <v>1.1579872017401505</v>
      </c>
      <c r="N26" s="300">
        <f>N83*'Adjusted Consumption'!N221</f>
        <v>1.1257916416992226</v>
      </c>
      <c r="O26" s="300">
        <f>O83*'Adjusted Consumption'!O221</f>
        <v>1.0506092027947502</v>
      </c>
      <c r="P26" s="300">
        <f>P83*'Adjusted Consumption'!P221</f>
        <v>0.97357715497987751</v>
      </c>
      <c r="Q26" s="300">
        <f>Q83*'Adjusted Consumption'!Q221</f>
        <v>0.89603203735416326</v>
      </c>
      <c r="R26" s="300">
        <f>R83*'Adjusted Consumption'!R221</f>
        <v>0.81421589009795936</v>
      </c>
      <c r="S26" s="300">
        <f>S83*'Adjusted Consumption'!S221</f>
        <v>0.73134956925104178</v>
      </c>
      <c r="T26" s="300">
        <f>T83*'Adjusted Consumption'!T221</f>
        <v>0.6465472676215599</v>
      </c>
      <c r="U26" s="300">
        <f>U83*'Adjusted Consumption'!U221</f>
        <v>0.55981826388216305</v>
      </c>
      <c r="V26" s="300">
        <f>V83*'Adjusted Consumption'!V221</f>
        <v>0.47117161026935162</v>
      </c>
      <c r="W26" s="300">
        <f>W83*'Adjusted Consumption'!W221</f>
        <v>0.3806573251989499</v>
      </c>
      <c r="X26" s="300">
        <f>X83*'Adjusted Consumption'!X221</f>
        <v>0.28826058662583209</v>
      </c>
      <c r="Y26" s="300">
        <f>Y83*'Adjusted Consumption'!Y221</f>
        <v>0.1940038796643854</v>
      </c>
      <c r="Z26" s="300">
        <f>Z83*'Adjusted Consumption'!Z221</f>
        <v>9.7910963757159922E-2</v>
      </c>
      <c r="AA26" s="300">
        <f>AA83*'Adjusted Consumption'!AA221</f>
        <v>0</v>
      </c>
      <c r="AB26" s="300">
        <f>AB83*'Adjusted Consumption'!AB221</f>
        <v>0</v>
      </c>
      <c r="AC26" s="300">
        <f>AC83*'Adjusted Consumption'!AC221</f>
        <v>0</v>
      </c>
      <c r="AD26" s="300">
        <f>AD83*'Adjusted Consumption'!AD221</f>
        <v>0</v>
      </c>
      <c r="AE26" s="300">
        <f>AE83*'Adjusted Consumption'!AE221</f>
        <v>0</v>
      </c>
      <c r="AF26" s="300">
        <f>AF83*'Adjusted Consumption'!AF221</f>
        <v>0</v>
      </c>
      <c r="AG26" s="442">
        <f t="shared" ref="AG26:AG27" si="4">((AF26-B26)/B26)/29</f>
        <v>-3.4482758620689655E-2</v>
      </c>
    </row>
    <row r="27" spans="1:33">
      <c r="A27" s="40" t="s">
        <v>4</v>
      </c>
      <c r="B27" s="300">
        <f t="shared" ref="B27:Q27" si="5">SUM(B18:B26)</f>
        <v>8.3346180424220186</v>
      </c>
      <c r="C27" s="300">
        <f t="shared" si="5"/>
        <v>7.7604974083009495</v>
      </c>
      <c r="D27" s="300">
        <f t="shared" si="5"/>
        <v>7.21570027042804</v>
      </c>
      <c r="E27" s="300">
        <f t="shared" si="5"/>
        <v>6.7245520027425121</v>
      </c>
      <c r="F27" s="300">
        <f t="shared" si="5"/>
        <v>6.2338577964325506</v>
      </c>
      <c r="G27" s="300">
        <f t="shared" si="5"/>
        <v>5.6904693405817675</v>
      </c>
      <c r="H27" s="300">
        <f t="shared" si="5"/>
        <v>5.2414780563327863</v>
      </c>
      <c r="I27" s="300">
        <f t="shared" si="5"/>
        <v>5.1925684487039794</v>
      </c>
      <c r="J27" s="300">
        <f t="shared" si="5"/>
        <v>5.1849591590671107</v>
      </c>
      <c r="K27" s="300">
        <f t="shared" si="5"/>
        <v>5.1698269269016901</v>
      </c>
      <c r="L27" s="300">
        <f t="shared" si="5"/>
        <v>5.1116082704747665</v>
      </c>
      <c r="M27" s="300">
        <f t="shared" si="5"/>
        <v>5.0756032701425342</v>
      </c>
      <c r="N27" s="300">
        <f t="shared" si="5"/>
        <v>5.0230366995360765</v>
      </c>
      <c r="O27" s="300">
        <f t="shared" si="5"/>
        <v>4.9275147248884164</v>
      </c>
      <c r="P27" s="300">
        <f t="shared" si="5"/>
        <v>4.847228995996149</v>
      </c>
      <c r="Q27" s="300">
        <f t="shared" si="5"/>
        <v>4.7764622998207367</v>
      </c>
      <c r="R27" s="300">
        <f>SUM(R18:R26)</f>
        <v>4.7067003614211487</v>
      </c>
      <c r="S27" s="300">
        <f>SUM(S18:S26)</f>
        <v>4.6377217579765784</v>
      </c>
      <c r="T27" s="300">
        <f>SUM(T18:T26)</f>
        <v>4.5661058781997248</v>
      </c>
      <c r="U27" s="300">
        <f>SUM(U18:U26)</f>
        <v>4.49219093714769</v>
      </c>
      <c r="V27" s="300">
        <f>SUM(V18:V26)</f>
        <v>4.4316368116067713</v>
      </c>
      <c r="W27" s="300">
        <f t="shared" ref="W27:AF27" si="6">SUM(W18:W26)</f>
        <v>4.3774980606011287</v>
      </c>
      <c r="X27" s="300">
        <f t="shared" si="6"/>
        <v>4.3203000756434662</v>
      </c>
      <c r="Y27" s="300">
        <f t="shared" si="6"/>
        <v>4.2601034771428452</v>
      </c>
      <c r="Z27" s="300">
        <f t="shared" si="6"/>
        <v>4.1968687794831716</v>
      </c>
      <c r="AA27" s="300">
        <f t="shared" si="6"/>
        <v>4.132224200889719</v>
      </c>
      <c r="AB27" s="300">
        <f t="shared" si="6"/>
        <v>4.1669302568357374</v>
      </c>
      <c r="AC27" s="300">
        <f t="shared" si="6"/>
        <v>4.1989947530438281</v>
      </c>
      <c r="AD27" s="300">
        <f t="shared" si="6"/>
        <v>4.2274414866097674</v>
      </c>
      <c r="AE27" s="300">
        <f t="shared" si="6"/>
        <v>4.2515482089159242</v>
      </c>
      <c r="AF27" s="300">
        <f t="shared" si="6"/>
        <v>4.2711130254352865</v>
      </c>
      <c r="AG27" s="442">
        <f t="shared" si="4"/>
        <v>-1.6811911708673351E-2</v>
      </c>
    </row>
    <row r="28" spans="1:33">
      <c r="A28" s="40"/>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5"/>
    </row>
    <row r="29" spans="1:33" s="5" customFormat="1" ht="13">
      <c r="A29" s="250" t="s">
        <v>78</v>
      </c>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1"/>
      <c r="AG29" s="5" t="s">
        <v>1385</v>
      </c>
    </row>
    <row r="30" spans="1:33" s="377" customFormat="1" ht="12.9" customHeight="1">
      <c r="A30" s="253" t="s">
        <v>6</v>
      </c>
      <c r="B30" s="253">
        <v>2020</v>
      </c>
      <c r="C30" s="253">
        <v>2021</v>
      </c>
      <c r="D30" s="253">
        <v>2022</v>
      </c>
      <c r="E30" s="253">
        <v>2023</v>
      </c>
      <c r="F30" s="253">
        <v>2024</v>
      </c>
      <c r="G30" s="253">
        <v>2025</v>
      </c>
      <c r="H30" s="253">
        <v>2026</v>
      </c>
      <c r="I30" s="253">
        <v>2027</v>
      </c>
      <c r="J30" s="253">
        <v>2028</v>
      </c>
      <c r="K30" s="253">
        <v>2029</v>
      </c>
      <c r="L30" s="253">
        <v>2030</v>
      </c>
      <c r="M30" s="253">
        <v>2031</v>
      </c>
      <c r="N30" s="253">
        <v>2032</v>
      </c>
      <c r="O30" s="253">
        <v>2033</v>
      </c>
      <c r="P30" s="253">
        <v>2034</v>
      </c>
      <c r="Q30" s="253">
        <v>2035</v>
      </c>
      <c r="R30" s="253">
        <v>2036</v>
      </c>
      <c r="S30" s="253">
        <v>2037</v>
      </c>
      <c r="T30" s="253">
        <v>2038</v>
      </c>
      <c r="U30" s="253">
        <v>2039</v>
      </c>
      <c r="V30" s="253">
        <v>2040</v>
      </c>
      <c r="W30" s="253">
        <v>2041</v>
      </c>
      <c r="X30" s="253">
        <v>2042</v>
      </c>
      <c r="Y30" s="253">
        <v>2043</v>
      </c>
      <c r="Z30" s="253">
        <v>2044</v>
      </c>
      <c r="AA30" s="253">
        <v>2045</v>
      </c>
      <c r="AB30" s="253">
        <v>2046</v>
      </c>
      <c r="AC30" s="253">
        <v>2047</v>
      </c>
      <c r="AD30" s="253">
        <v>2048</v>
      </c>
      <c r="AE30" s="253">
        <v>2049</v>
      </c>
      <c r="AF30" s="253">
        <v>2050</v>
      </c>
      <c r="AG30" s="436" t="s">
        <v>290</v>
      </c>
    </row>
    <row r="31" spans="1:33" s="377" customFormat="1" ht="12.9" customHeight="1">
      <c r="A31" s="178" t="s">
        <v>1273</v>
      </c>
      <c r="AG31" s="436"/>
    </row>
    <row r="32" spans="1:33">
      <c r="A32" s="71" t="s">
        <v>1242</v>
      </c>
      <c r="B32" s="300">
        <f>'Adjusted Consumption'!B48*parameters!$B$87</f>
        <v>0.23236258555778266</v>
      </c>
      <c r="C32" s="300">
        <f>'Adjusted Consumption'!C48*parameters!$B$87</f>
        <v>0.2330504864671136</v>
      </c>
      <c r="D32" s="300">
        <f>'Adjusted Consumption'!D48*parameters!$B$87</f>
        <v>0.23392625682849363</v>
      </c>
      <c r="E32" s="300">
        <f>'Adjusted Consumption'!E48*parameters!$B$87</f>
        <v>0.23478149706769591</v>
      </c>
      <c r="F32" s="300">
        <f>'Adjusted Consumption'!F48*parameters!$B$87</f>
        <v>0.23488229830455828</v>
      </c>
      <c r="G32" s="300">
        <f>'Adjusted Consumption'!G48*parameters!$B$87</f>
        <v>0.23542670746136707</v>
      </c>
      <c r="H32" s="300">
        <f>'Adjusted Consumption'!H48*parameters!$B$87</f>
        <v>0.23539371609087897</v>
      </c>
      <c r="I32" s="300">
        <f>'Adjusted Consumption'!I48*parameters!$B$87</f>
        <v>0.23468129956275843</v>
      </c>
      <c r="J32" s="300">
        <f>'Adjusted Consumption'!J48*parameters!$B$87</f>
        <v>0.23496534403840624</v>
      </c>
      <c r="K32" s="300">
        <f>'Adjusted Consumption'!K48*parameters!$B$87</f>
        <v>0.23555135267897737</v>
      </c>
      <c r="L32" s="300">
        <f>'Adjusted Consumption'!L48*parameters!$B$87</f>
        <v>0.23498503617324748</v>
      </c>
      <c r="M32" s="300">
        <f>'Adjusted Consumption'!M48*parameters!$B$87</f>
        <v>0.2349858415380989</v>
      </c>
      <c r="N32" s="300">
        <f>'Adjusted Consumption'!N48*parameters!$B$87</f>
        <v>0.23444869745810756</v>
      </c>
      <c r="O32" s="300">
        <f>'Adjusted Consumption'!O48*parameters!$B$87</f>
        <v>0.2337960328617158</v>
      </c>
      <c r="P32" s="300">
        <f>'Adjusted Consumption'!P48*parameters!$B$87</f>
        <v>0.23424288135362289</v>
      </c>
      <c r="Q32" s="300">
        <f>'Adjusted Consumption'!Q48*parameters!$B$87</f>
        <v>0.23509069567193747</v>
      </c>
      <c r="R32" s="300">
        <f>'Adjusted Consumption'!R48*parameters!$B$87</f>
        <v>0.23562597064472696</v>
      </c>
      <c r="S32" s="300">
        <f>'Adjusted Consumption'!S48*parameters!$B$87</f>
        <v>0.2362588682399375</v>
      </c>
      <c r="T32" s="300">
        <f>'Adjusted Consumption'!T48*parameters!$B$87</f>
        <v>0.23692250995973882</v>
      </c>
      <c r="U32" s="300">
        <f>'Adjusted Consumption'!U48*parameters!$B$87</f>
        <v>0.23723561250053943</v>
      </c>
      <c r="V32" s="300">
        <f>'Adjusted Consumption'!V48*parameters!$B$87</f>
        <v>0.23929844301932288</v>
      </c>
      <c r="W32" s="300">
        <f>'Adjusted Consumption'!W48*parameters!$B$87</f>
        <v>0.24146001283400551</v>
      </c>
      <c r="X32" s="300">
        <f>'Adjusted Consumption'!X48*parameters!$B$87</f>
        <v>0.24296818914036511</v>
      </c>
      <c r="Y32" s="300">
        <f>'Adjusted Consumption'!Y48*parameters!$B$87</f>
        <v>0.24480121374380395</v>
      </c>
      <c r="Z32" s="300">
        <f>'Adjusted Consumption'!Z48*parameters!$B$87</f>
        <v>0.24705968070204168</v>
      </c>
      <c r="AA32" s="300">
        <f>'Adjusted Consumption'!AA48*parameters!$B$87</f>
        <v>0.24925797559419552</v>
      </c>
      <c r="AB32" s="300">
        <f>'Adjusted Consumption'!AB48*parameters!$B$87</f>
        <v>0.25159721089189074</v>
      </c>
      <c r="AC32" s="300">
        <f>'Adjusted Consumption'!AC48*parameters!$B$87</f>
        <v>0.25389043411965745</v>
      </c>
      <c r="AD32" s="300">
        <f>'Adjusted Consumption'!AD48*parameters!$B$87</f>
        <v>0.2562062770557319</v>
      </c>
      <c r="AE32" s="300">
        <f>'Adjusted Consumption'!AE48*parameters!$B$87</f>
        <v>0.2581732309604306</v>
      </c>
      <c r="AF32" s="300">
        <f>'Adjusted Consumption'!AF48*parameters!$B$87</f>
        <v>0.26008579477448945</v>
      </c>
      <c r="AG32" s="442">
        <f t="shared" ref="AG32:AG38" si="7">((AF32-B32)/B32)/29</f>
        <v>4.1141422545104746E-3</v>
      </c>
    </row>
    <row r="33" spans="1:34">
      <c r="A33" s="71" t="s">
        <v>0</v>
      </c>
      <c r="B33" s="300">
        <f>'Adjusted Consumption'!B49*parameters!$B$71</f>
        <v>0.37840484052742429</v>
      </c>
      <c r="C33" s="300">
        <f>'Adjusted Consumption'!C49*parameters!$B$71</f>
        <v>0.38595672221380822</v>
      </c>
      <c r="D33" s="300">
        <f>'Adjusted Consumption'!D49*parameters!$B$71</f>
        <v>0.39172862135257602</v>
      </c>
      <c r="E33" s="300">
        <f>'Adjusted Consumption'!E49*parameters!$B$71</f>
        <v>0.3968717940652759</v>
      </c>
      <c r="F33" s="300">
        <f>'Adjusted Consumption'!F49*parameters!$B$71</f>
        <v>0.40125152132317221</v>
      </c>
      <c r="G33" s="300">
        <f>'Adjusted Consumption'!G49*parameters!$B$71</f>
        <v>0.4039386366803992</v>
      </c>
      <c r="H33" s="300">
        <f>'Adjusted Consumption'!H49*parameters!$B$71</f>
        <v>0.40529282341325279</v>
      </c>
      <c r="I33" s="300">
        <f>'Adjusted Consumption'!I49*parameters!$B$71</f>
        <v>0.40507804254212892</v>
      </c>
      <c r="J33" s="300">
        <f>'Adjusted Consumption'!J49*parameters!$B$71</f>
        <v>0.40528795659273997</v>
      </c>
      <c r="K33" s="300">
        <f>'Adjusted Consumption'!K49*parameters!$B$71</f>
        <v>0.40457481070748569</v>
      </c>
      <c r="L33" s="300">
        <f>'Adjusted Consumption'!L49*parameters!$B$71</f>
        <v>0.4044531907417126</v>
      </c>
      <c r="M33" s="300">
        <f>'Adjusted Consumption'!M49*parameters!$B$71</f>
        <v>0.40563878651278651</v>
      </c>
      <c r="N33" s="300">
        <f>'Adjusted Consumption'!N49*parameters!$B$71</f>
        <v>0.40638022036118865</v>
      </c>
      <c r="O33" s="300">
        <f>'Adjusted Consumption'!O49*parameters!$B$71</f>
        <v>0.40725255097068436</v>
      </c>
      <c r="P33" s="300">
        <f>'Adjusted Consumption'!P49*parameters!$B$71</f>
        <v>0.40946372252590019</v>
      </c>
      <c r="Q33" s="300">
        <f>'Adjusted Consumption'!Q49*parameters!$B$71</f>
        <v>0.41223679978423</v>
      </c>
      <c r="R33" s="300">
        <f>'Adjusted Consumption'!R49*parameters!$B$71</f>
        <v>0.41508937365881016</v>
      </c>
      <c r="S33" s="300">
        <f>'Adjusted Consumption'!S49*parameters!$B$71</f>
        <v>0.41833437521713629</v>
      </c>
      <c r="T33" s="300">
        <f>'Adjusted Consumption'!T49*parameters!$B$71</f>
        <v>0.42137941301545484</v>
      </c>
      <c r="U33" s="300">
        <f>'Adjusted Consumption'!U49*parameters!$B$71</f>
        <v>0.42421766942350481</v>
      </c>
      <c r="V33" s="300">
        <f>'Adjusted Consumption'!V49*parameters!$B$71</f>
        <v>0.42738602838894818</v>
      </c>
      <c r="W33" s="300">
        <f>'Adjusted Consumption'!W49*parameters!$B$71</f>
        <v>0.43060302255283706</v>
      </c>
      <c r="X33" s="300">
        <f>'Adjusted Consumption'!X49*parameters!$B$71</f>
        <v>0.43339527169557751</v>
      </c>
      <c r="Y33" s="300">
        <f>'Adjusted Consumption'!Y49*parameters!$B$71</f>
        <v>0.43605748294477187</v>
      </c>
      <c r="Z33" s="300">
        <f>'Adjusted Consumption'!Z49*parameters!$B$71</f>
        <v>0.43889232373118692</v>
      </c>
      <c r="AA33" s="300">
        <f>'Adjusted Consumption'!AA49*parameters!$B$71</f>
        <v>0.4418086322274295</v>
      </c>
      <c r="AB33" s="300">
        <f>'Adjusted Consumption'!AB49*parameters!$B$71</f>
        <v>0.44457216895569701</v>
      </c>
      <c r="AC33" s="300">
        <f>'Adjusted Consumption'!AC49*parameters!$B$71</f>
        <v>0.44746190402573827</v>
      </c>
      <c r="AD33" s="300">
        <f>'Adjusted Consumption'!AD49*parameters!$B$71</f>
        <v>0.45047974558141307</v>
      </c>
      <c r="AE33" s="300">
        <f>'Adjusted Consumption'!AE49*parameters!$B$71</f>
        <v>0.45307069815604573</v>
      </c>
      <c r="AF33" s="300">
        <f>'Adjusted Consumption'!AF49*parameters!$B$71</f>
        <v>0.45550599843426898</v>
      </c>
      <c r="AG33" s="442">
        <f t="shared" si="7"/>
        <v>7.0259688374274924E-3</v>
      </c>
    </row>
    <row r="34" spans="1:34">
      <c r="A34" s="71" t="s">
        <v>1243</v>
      </c>
      <c r="B34" s="300">
        <f>'Adjusted Consumption'!B50*parameters!$B$80</f>
        <v>1.2955992526368114</v>
      </c>
      <c r="C34" s="300">
        <f>'Adjusted Consumption'!C50*parameters!$B$80</f>
        <v>1.3104514439438029</v>
      </c>
      <c r="D34" s="300">
        <f>'Adjusted Consumption'!D50*parameters!$B$80</f>
        <v>1.3285799346981229</v>
      </c>
      <c r="E34" s="300">
        <f>'Adjusted Consumption'!E50*parameters!$B$80</f>
        <v>1.3395573275065817</v>
      </c>
      <c r="F34" s="300">
        <f>'Adjusted Consumption'!F50*parameters!$B$80</f>
        <v>1.3495669051266459</v>
      </c>
      <c r="G34" s="300">
        <f>'Adjusted Consumption'!G50*parameters!$B$80</f>
        <v>1.3562144299781316</v>
      </c>
      <c r="H34" s="300">
        <f>'Adjusted Consumption'!H50*parameters!$B$80</f>
        <v>1.3609939324794087</v>
      </c>
      <c r="I34" s="300">
        <f>'Adjusted Consumption'!I50*parameters!$B$80</f>
        <v>1.3664839631624024</v>
      </c>
      <c r="J34" s="300">
        <f>'Adjusted Consumption'!J50*parameters!$B$80</f>
        <v>1.3719841477820067</v>
      </c>
      <c r="K34" s="300">
        <f>'Adjusted Consumption'!K50*parameters!$B$80</f>
        <v>1.3782969134881631</v>
      </c>
      <c r="L34" s="300">
        <f>'Adjusted Consumption'!L50*parameters!$B$80</f>
        <v>1.3802481120498802</v>
      </c>
      <c r="M34" s="300">
        <f>'Adjusted Consumption'!M50*parameters!$B$80</f>
        <v>1.3862930005921263</v>
      </c>
      <c r="N34" s="300">
        <f>'Adjusted Consumption'!N50*parameters!$B$80</f>
        <v>1.3910593507404927</v>
      </c>
      <c r="O34" s="300">
        <f>'Adjusted Consumption'!O50*parameters!$B$80</f>
        <v>1.3952515607655622</v>
      </c>
      <c r="P34" s="300">
        <f>'Adjusted Consumption'!P50*parameters!$B$80</f>
        <v>1.4006963788817761</v>
      </c>
      <c r="Q34" s="300">
        <f>'Adjusted Consumption'!Q50*parameters!$B$80</f>
        <v>1.4125046014249789</v>
      </c>
      <c r="R34" s="300">
        <f>'Adjusted Consumption'!R50*parameters!$B$80</f>
        <v>1.4261514492256864</v>
      </c>
      <c r="S34" s="300">
        <f>'Adjusted Consumption'!S50*parameters!$B$80</f>
        <v>1.4335266427428528</v>
      </c>
      <c r="T34" s="300">
        <f>'Adjusted Consumption'!T50*parameters!$B$80</f>
        <v>1.4485115361228875</v>
      </c>
      <c r="U34" s="300">
        <f>'Adjusted Consumption'!U50*parameters!$B$80</f>
        <v>1.4599646493239344</v>
      </c>
      <c r="V34" s="300">
        <f>'Adjusted Consumption'!V50*parameters!$B$80</f>
        <v>1.4790914546629377</v>
      </c>
      <c r="W34" s="300">
        <f>'Adjusted Consumption'!W50*parameters!$B$80</f>
        <v>1.5014496724193174</v>
      </c>
      <c r="X34" s="300">
        <f>'Adjusted Consumption'!X50*parameters!$B$80</f>
        <v>1.5221749872052297</v>
      </c>
      <c r="Y34" s="300">
        <f>'Adjusted Consumption'!Y50*parameters!$B$80</f>
        <v>1.5371840812987552</v>
      </c>
      <c r="Z34" s="300">
        <f>'Adjusted Consumption'!Z50*parameters!$B$80</f>
        <v>1.55667065504752</v>
      </c>
      <c r="AA34" s="300">
        <f>'Adjusted Consumption'!AA50*parameters!$B$80</f>
        <v>1.5751185206942762</v>
      </c>
      <c r="AB34" s="300">
        <f>'Adjusted Consumption'!AB50*parameters!$B$80</f>
        <v>1.5947892571429261</v>
      </c>
      <c r="AC34" s="300">
        <f>'Adjusted Consumption'!AC50*parameters!$B$80</f>
        <v>1.613820753203874</v>
      </c>
      <c r="AD34" s="300">
        <f>'Adjusted Consumption'!AD50*parameters!$B$80</f>
        <v>1.6364181432461757</v>
      </c>
      <c r="AE34" s="300">
        <f>'Adjusted Consumption'!AE50*parameters!$B$80</f>
        <v>1.651200743364597</v>
      </c>
      <c r="AF34" s="300">
        <f>'Adjusted Consumption'!AF50*parameters!$B$80</f>
        <v>1.6692309481172547</v>
      </c>
      <c r="AG34" s="442">
        <f t="shared" si="7"/>
        <v>9.9443184627266926E-3</v>
      </c>
    </row>
    <row r="35" spans="1:34">
      <c r="A35" s="71" t="s">
        <v>254</v>
      </c>
      <c r="B35" s="300">
        <f>'Adjusted Consumption'!B51*parameters!$B$94</f>
        <v>2.7645358303895477E-2</v>
      </c>
      <c r="C35" s="300">
        <f>'Adjusted Consumption'!C51*parameters!$B$94</f>
        <v>2.8893129763023506E-2</v>
      </c>
      <c r="D35" s="300">
        <f>'Adjusted Consumption'!D51*parameters!$B$94</f>
        <v>2.973630230164755E-2</v>
      </c>
      <c r="E35" s="300">
        <f>'Adjusted Consumption'!E51*parameters!$B$94</f>
        <v>3.0466733092810686E-2</v>
      </c>
      <c r="F35" s="300">
        <f>'Adjusted Consumption'!F51*parameters!$B$94</f>
        <v>3.1163318949306976E-2</v>
      </c>
      <c r="G35" s="300">
        <f>'Adjusted Consumption'!G51*parameters!$B$94</f>
        <v>3.185906860038875E-2</v>
      </c>
      <c r="H35" s="300">
        <f>'Adjusted Consumption'!H51*parameters!$B$94</f>
        <v>3.2487451713357443E-2</v>
      </c>
      <c r="I35" s="300">
        <f>'Adjusted Consumption'!I51*parameters!$B$94</f>
        <v>3.2829650005670029E-2</v>
      </c>
      <c r="J35" s="300">
        <f>'Adjusted Consumption'!J51*parameters!$B$94</f>
        <v>3.3079983495135155E-2</v>
      </c>
      <c r="K35" s="300">
        <f>'Adjusted Consumption'!K51*parameters!$B$94</f>
        <v>3.3290494048306828E-2</v>
      </c>
      <c r="L35" s="300">
        <f>'Adjusted Consumption'!L51*parameters!$B$94</f>
        <v>3.3295959082697495E-2</v>
      </c>
      <c r="M35" s="300">
        <f>'Adjusted Consumption'!M51*parameters!$B$94</f>
        <v>3.3428026501240431E-2</v>
      </c>
      <c r="N35" s="300">
        <f>'Adjusted Consumption'!N51*parameters!$B$94</f>
        <v>3.3478026530192488E-2</v>
      </c>
      <c r="O35" s="300">
        <f>'Adjusted Consumption'!O51*parameters!$B$94</f>
        <v>3.3529525132413834E-2</v>
      </c>
      <c r="P35" s="300">
        <f>'Adjusted Consumption'!P51*parameters!$B$94</f>
        <v>3.3599687151229234E-2</v>
      </c>
      <c r="Q35" s="300">
        <f>'Adjusted Consumption'!Q51*parameters!$B$94</f>
        <v>3.3635165214590333E-2</v>
      </c>
      <c r="R35" s="300">
        <f>'Adjusted Consumption'!R51*parameters!$B$94</f>
        <v>3.3689031950760354E-2</v>
      </c>
      <c r="S35" s="300">
        <f>'Adjusted Consumption'!S51*parameters!$B$94</f>
        <v>3.3763363238211178E-2</v>
      </c>
      <c r="T35" s="300">
        <f>'Adjusted Consumption'!T51*parameters!$B$94</f>
        <v>3.3847478042674399E-2</v>
      </c>
      <c r="U35" s="300">
        <f>'Adjusted Consumption'!U51*parameters!$B$94</f>
        <v>3.3877145737739034E-2</v>
      </c>
      <c r="V35" s="300">
        <f>'Adjusted Consumption'!V51*parameters!$B$94</f>
        <v>3.3919985899024445E-2</v>
      </c>
      <c r="W35" s="300">
        <f>'Adjusted Consumption'!W51*parameters!$B$94</f>
        <v>3.3906389139086203E-2</v>
      </c>
      <c r="X35" s="300">
        <f>'Adjusted Consumption'!X51*parameters!$B$94</f>
        <v>3.3866515928583217E-2</v>
      </c>
      <c r="Y35" s="300">
        <f>'Adjusted Consumption'!Y51*parameters!$B$94</f>
        <v>3.3734624576513071E-2</v>
      </c>
      <c r="Z35" s="300">
        <f>'Adjusted Consumption'!Z51*parameters!$B$94</f>
        <v>3.3661368482232792E-2</v>
      </c>
      <c r="AA35" s="300">
        <f>'Adjusted Consumption'!AA51*parameters!$B$94</f>
        <v>3.3544222660718069E-2</v>
      </c>
      <c r="AB35" s="300">
        <f>'Adjusted Consumption'!AB51*parameters!$B$94</f>
        <v>3.3453589406279197E-2</v>
      </c>
      <c r="AC35" s="300">
        <f>'Adjusted Consumption'!AC51*parameters!$B$94</f>
        <v>3.3308768213351471E-2</v>
      </c>
      <c r="AD35" s="300">
        <f>'Adjusted Consumption'!AD51*parameters!$B$94</f>
        <v>3.3179680440114781E-2</v>
      </c>
      <c r="AE35" s="300">
        <f>'Adjusted Consumption'!AE51*parameters!$B$94</f>
        <v>3.3008496125851633E-2</v>
      </c>
      <c r="AF35" s="300">
        <f>'Adjusted Consumption'!AF51*parameters!$B$94</f>
        <v>3.2921600654287002E-2</v>
      </c>
      <c r="AG35" s="442">
        <f t="shared" si="7"/>
        <v>6.5811912941339716E-3</v>
      </c>
    </row>
    <row r="36" spans="1:34">
      <c r="A36" s="71" t="s">
        <v>1246</v>
      </c>
      <c r="B36" s="300">
        <f>'Adjusted Consumption'!B52*parameters!$B$98</f>
        <v>0</v>
      </c>
      <c r="C36" s="300">
        <f>'Adjusted Consumption'!C52*parameters!$B$98</f>
        <v>0</v>
      </c>
      <c r="D36" s="300">
        <f>'Adjusted Consumption'!D52*parameters!$B$98</f>
        <v>0</v>
      </c>
      <c r="E36" s="300">
        <f>'Adjusted Consumption'!E52*parameters!$B$98</f>
        <v>0</v>
      </c>
      <c r="F36" s="300">
        <f>'Adjusted Consumption'!F52*parameters!$B$98</f>
        <v>0</v>
      </c>
      <c r="G36" s="300">
        <f>'Adjusted Consumption'!G52*parameters!$B$98</f>
        <v>0</v>
      </c>
      <c r="H36" s="300">
        <f>'Adjusted Consumption'!H52*parameters!$B$98</f>
        <v>0</v>
      </c>
      <c r="I36" s="300">
        <f>'Adjusted Consumption'!I52*parameters!$B$98</f>
        <v>0</v>
      </c>
      <c r="J36" s="300">
        <f>'Adjusted Consumption'!J52*parameters!$B$98</f>
        <v>0</v>
      </c>
      <c r="K36" s="300">
        <f>'Adjusted Consumption'!K52*parameters!$B$98</f>
        <v>0</v>
      </c>
      <c r="L36" s="300">
        <f>'Adjusted Consumption'!L52*parameters!$B$98</f>
        <v>0</v>
      </c>
      <c r="M36" s="300">
        <f>'Adjusted Consumption'!M52*parameters!$B$98</f>
        <v>0</v>
      </c>
      <c r="N36" s="300">
        <f>'Adjusted Consumption'!N52*parameters!$B$98</f>
        <v>0</v>
      </c>
      <c r="O36" s="300">
        <f>'Adjusted Consumption'!O52*parameters!$B$98</f>
        <v>0</v>
      </c>
      <c r="P36" s="300">
        <f>'Adjusted Consumption'!P52*parameters!$B$98</f>
        <v>0</v>
      </c>
      <c r="Q36" s="300">
        <f>'Adjusted Consumption'!Q52*parameters!$B$98</f>
        <v>0</v>
      </c>
      <c r="R36" s="300">
        <f>'Adjusted Consumption'!R52*parameters!$B$98</f>
        <v>0</v>
      </c>
      <c r="S36" s="300">
        <f>'Adjusted Consumption'!S52*parameters!$B$98</f>
        <v>0</v>
      </c>
      <c r="T36" s="300">
        <f>'Adjusted Consumption'!T52*parameters!$B$98</f>
        <v>0</v>
      </c>
      <c r="U36" s="300">
        <f>'Adjusted Consumption'!U52*parameters!$B$98</f>
        <v>0</v>
      </c>
      <c r="V36" s="300">
        <f>'Adjusted Consumption'!V52*parameters!$B$98</f>
        <v>0</v>
      </c>
      <c r="W36" s="300">
        <f>'Adjusted Consumption'!W52*parameters!$B$98</f>
        <v>0</v>
      </c>
      <c r="X36" s="300">
        <f>'Adjusted Consumption'!X52*parameters!$B$98</f>
        <v>0</v>
      </c>
      <c r="Y36" s="300">
        <f>'Adjusted Consumption'!Y52*parameters!$B$98</f>
        <v>0</v>
      </c>
      <c r="Z36" s="300">
        <f>'Adjusted Consumption'!Z52*parameters!$B$98</f>
        <v>0</v>
      </c>
      <c r="AA36" s="300">
        <f>'Adjusted Consumption'!AA52*parameters!$B$98</f>
        <v>0</v>
      </c>
      <c r="AB36" s="300">
        <f>'Adjusted Consumption'!AB52*parameters!$B$98</f>
        <v>0</v>
      </c>
      <c r="AC36" s="300">
        <f>'Adjusted Consumption'!AC52*parameters!$B$98</f>
        <v>0</v>
      </c>
      <c r="AD36" s="300">
        <f>'Adjusted Consumption'!AD52*parameters!$B$98</f>
        <v>0</v>
      </c>
      <c r="AE36" s="300">
        <f>'Adjusted Consumption'!AE52*parameters!$B$98</f>
        <v>0</v>
      </c>
      <c r="AF36" s="300">
        <f>'Adjusted Consumption'!AF52*parameters!$B$98</f>
        <v>0</v>
      </c>
      <c r="AG36" s="442"/>
    </row>
    <row r="37" spans="1:34">
      <c r="A37" s="71" t="s">
        <v>1247</v>
      </c>
      <c r="B37" s="300">
        <f>'Adjusted Consumption'!B53*parameters!$B$78</f>
        <v>4.2717393002538344</v>
      </c>
      <c r="C37" s="300">
        <f>'Adjusted Consumption'!C53*parameters!$B$78</f>
        <v>4.0875348186146043</v>
      </c>
      <c r="D37" s="300">
        <f>'Adjusted Consumption'!D53*parameters!$B$78</f>
        <v>3.8737556280862493</v>
      </c>
      <c r="E37" s="300">
        <f>'Adjusted Consumption'!E53*parameters!$B$78</f>
        <v>3.6823685895667717</v>
      </c>
      <c r="F37" s="300">
        <f>'Adjusted Consumption'!F53*parameters!$B$78</f>
        <v>3.579676819749865</v>
      </c>
      <c r="G37" s="300">
        <f>'Adjusted Consumption'!G53*parameters!$B$78</f>
        <v>3.5189854727261154</v>
      </c>
      <c r="H37" s="300">
        <f>'Adjusted Consumption'!H53*parameters!$B$78</f>
        <v>3.3035767385278723</v>
      </c>
      <c r="I37" s="300">
        <f>'Adjusted Consumption'!I53*parameters!$B$78</f>
        <v>3.0684788673545147</v>
      </c>
      <c r="J37" s="300">
        <f>'Adjusted Consumption'!J53*parameters!$B$78</f>
        <v>2.9641292440107714</v>
      </c>
      <c r="K37" s="300">
        <f>'Adjusted Consumption'!K53*parameters!$B$78</f>
        <v>2.7872877355094992</v>
      </c>
      <c r="L37" s="300">
        <f>'Adjusted Consumption'!L53*parameters!$B$78</f>
        <v>2.712842737205841</v>
      </c>
      <c r="M37" s="300">
        <f>'Adjusted Consumption'!M53*parameters!$B$78</f>
        <v>2.6464668582188122</v>
      </c>
      <c r="N37" s="300">
        <f>'Adjusted Consumption'!N53*parameters!$B$78</f>
        <v>2.629592143739091</v>
      </c>
      <c r="O37" s="300">
        <f>'Adjusted Consumption'!O53*parameters!$B$78</f>
        <v>2.6318029514913683</v>
      </c>
      <c r="P37" s="300">
        <f>'Adjusted Consumption'!P53*parameters!$B$78</f>
        <v>2.7054813442490593</v>
      </c>
      <c r="Q37" s="300">
        <f>'Adjusted Consumption'!Q53*parameters!$B$78</f>
        <v>2.7313902321578052</v>
      </c>
      <c r="R37" s="300">
        <f>'Adjusted Consumption'!R53*parameters!$B$78</f>
        <v>2.7061074070345126</v>
      </c>
      <c r="S37" s="300">
        <f>'Adjusted Consumption'!S53*parameters!$B$78</f>
        <v>2.7162386258265063</v>
      </c>
      <c r="T37" s="300">
        <f>'Adjusted Consumption'!T53*parameters!$B$78</f>
        <v>2.734245498083657</v>
      </c>
      <c r="U37" s="300">
        <f>'Adjusted Consumption'!U53*parameters!$B$78</f>
        <v>2.8299180673807771</v>
      </c>
      <c r="V37" s="300">
        <f>'Adjusted Consumption'!V53*parameters!$B$78</f>
        <v>2.8373975818404928</v>
      </c>
      <c r="W37" s="300">
        <f>'Adjusted Consumption'!W53*parameters!$B$78</f>
        <v>2.8740968319031439</v>
      </c>
      <c r="X37" s="300">
        <f>'Adjusted Consumption'!X53*parameters!$B$78</f>
        <v>2.9018383355973603</v>
      </c>
      <c r="Y37" s="300">
        <f>'Adjusted Consumption'!Y53*parameters!$B$78</f>
        <v>2.9663577276849615</v>
      </c>
      <c r="Z37" s="300">
        <f>'Adjusted Consumption'!Z53*parameters!$B$78</f>
        <v>2.9800336884406557</v>
      </c>
      <c r="AA37" s="300">
        <f>'Adjusted Consumption'!AA53*parameters!$B$78</f>
        <v>3.0825851879518629</v>
      </c>
      <c r="AB37" s="300">
        <f>'Adjusted Consumption'!AB53*parameters!$B$78</f>
        <v>3.1245921631854117</v>
      </c>
      <c r="AC37" s="300">
        <f>'Adjusted Consumption'!AC53*parameters!$B$78</f>
        <v>3.1674231392530641</v>
      </c>
      <c r="AD37" s="300">
        <f>'Adjusted Consumption'!AD53*parameters!$B$78</f>
        <v>3.2236780666931488</v>
      </c>
      <c r="AE37" s="300">
        <f>'Adjusted Consumption'!AE53*parameters!$B$78</f>
        <v>3.2755907413199856</v>
      </c>
      <c r="AF37" s="300">
        <f>'Adjusted Consumption'!AF53*parameters!$B$78</f>
        <v>3.3750461976273645</v>
      </c>
      <c r="AG37" s="442">
        <f t="shared" si="7"/>
        <v>-7.2383752006749368E-3</v>
      </c>
      <c r="AH37" s="444" t="s">
        <v>1390</v>
      </c>
    </row>
    <row r="38" spans="1:34">
      <c r="A38" s="71" t="s">
        <v>1</v>
      </c>
      <c r="B38" s="300">
        <f>'Adjusted Consumption'!B54*parameters!$B$76</f>
        <v>4.1739870749556882</v>
      </c>
      <c r="C38" s="300">
        <f>'Adjusted Consumption'!C54*parameters!$B$76</f>
        <v>4.1514616842018315</v>
      </c>
      <c r="D38" s="300">
        <f>'Adjusted Consumption'!D54*parameters!$B$76</f>
        <v>4.1685589866942783</v>
      </c>
      <c r="E38" s="300">
        <f>'Adjusted Consumption'!E54*parameters!$B$76</f>
        <v>4.1288137473240578</v>
      </c>
      <c r="F38" s="300">
        <f>'Adjusted Consumption'!F54*parameters!$B$76</f>
        <v>4.4098201780370507</v>
      </c>
      <c r="G38" s="300">
        <f>'Adjusted Consumption'!G54*parameters!$B$76</f>
        <v>4.3199491624343827</v>
      </c>
      <c r="H38" s="300">
        <f>'Adjusted Consumption'!H54*parameters!$B$76</f>
        <v>4.3485099931923061</v>
      </c>
      <c r="I38" s="300">
        <f>'Adjusted Consumption'!I54*parameters!$B$76</f>
        <v>4.1211928182431494</v>
      </c>
      <c r="J38" s="300">
        <f>'Adjusted Consumption'!J54*parameters!$B$76</f>
        <v>3.9954391660355726</v>
      </c>
      <c r="K38" s="300">
        <f>'Adjusted Consumption'!K54*parameters!$B$76</f>
        <v>3.5969335765033765</v>
      </c>
      <c r="L38" s="300">
        <f>'Adjusted Consumption'!L54*parameters!$B$76</f>
        <v>3.5468471595967301</v>
      </c>
      <c r="M38" s="300">
        <f>'Adjusted Consumption'!M54*parameters!$B$76</f>
        <v>3.4310654200991646</v>
      </c>
      <c r="N38" s="300">
        <f>'Adjusted Consumption'!N54*parameters!$B$76</f>
        <v>3.349024127385305</v>
      </c>
      <c r="O38" s="300">
        <f>'Adjusted Consumption'!O54*parameters!$B$76</f>
        <v>3.2661415781460832</v>
      </c>
      <c r="P38" s="300">
        <f>'Adjusted Consumption'!P54*parameters!$B$76</f>
        <v>3.2787497113288264</v>
      </c>
      <c r="Q38" s="300">
        <f>'Adjusted Consumption'!Q54*parameters!$B$76</f>
        <v>3.2890533592477835</v>
      </c>
      <c r="R38" s="300">
        <f>'Adjusted Consumption'!R54*parameters!$B$76</f>
        <v>3.332993915467759</v>
      </c>
      <c r="S38" s="300">
        <f>'Adjusted Consumption'!S54*parameters!$B$76</f>
        <v>3.3578288916402781</v>
      </c>
      <c r="T38" s="300">
        <f>'Adjusted Consumption'!T54*parameters!$B$76</f>
        <v>3.4030739231528639</v>
      </c>
      <c r="U38" s="300">
        <f>'Adjusted Consumption'!U54*parameters!$B$76</f>
        <v>3.4303578979456208</v>
      </c>
      <c r="V38" s="300">
        <f>'Adjusted Consumption'!V54*parameters!$B$76</f>
        <v>3.4734068187586491</v>
      </c>
      <c r="W38" s="300">
        <f>'Adjusted Consumption'!W54*parameters!$B$76</f>
        <v>3.5165074766290205</v>
      </c>
      <c r="X38" s="300">
        <f>'Adjusted Consumption'!X54*parameters!$B$76</f>
        <v>3.5353495058951965</v>
      </c>
      <c r="Y38" s="300">
        <f>'Adjusted Consumption'!Y54*parameters!$B$76</f>
        <v>3.5940854998529987</v>
      </c>
      <c r="Z38" s="300">
        <f>'Adjusted Consumption'!Z54*parameters!$B$76</f>
        <v>3.6825356320087925</v>
      </c>
      <c r="AA38" s="300">
        <f>'Adjusted Consumption'!AA54*parameters!$B$76</f>
        <v>3.8084071109720306</v>
      </c>
      <c r="AB38" s="300">
        <f>'Adjusted Consumption'!AB54*parameters!$B$76</f>
        <v>3.8462133981098874</v>
      </c>
      <c r="AC38" s="300">
        <f>'Adjusted Consumption'!AC54*parameters!$B$76</f>
        <v>3.9178086060973372</v>
      </c>
      <c r="AD38" s="300">
        <f>'Adjusted Consumption'!AD54*parameters!$B$76</f>
        <v>4.0069313253416166</v>
      </c>
      <c r="AE38" s="300">
        <f>'Adjusted Consumption'!AE54*parameters!$B$76</f>
        <v>4.0736507838926306</v>
      </c>
      <c r="AF38" s="300">
        <f>'Adjusted Consumption'!AF54*parameters!$B$76</f>
        <v>4.1296778298421462</v>
      </c>
      <c r="AG38" s="442">
        <f t="shared" si="7"/>
        <v>-3.6605408126029335E-4</v>
      </c>
    </row>
    <row r="39" spans="1:34">
      <c r="A39" s="71" t="s">
        <v>1248</v>
      </c>
      <c r="B39" s="300">
        <f>'Adjusted Consumption'!B55*parameters!$B$76</f>
        <v>0</v>
      </c>
      <c r="C39" s="300">
        <f>'Adjusted Consumption'!C55*parameters!$B$76</f>
        <v>0</v>
      </c>
      <c r="D39" s="300">
        <f>'Adjusted Consumption'!D55*parameters!$B$76</f>
        <v>0</v>
      </c>
      <c r="E39" s="300">
        <f>'Adjusted Consumption'!E55*parameters!$B$76</f>
        <v>0</v>
      </c>
      <c r="F39" s="300">
        <f>'Adjusted Consumption'!F55*parameters!$B$76</f>
        <v>0</v>
      </c>
      <c r="G39" s="300">
        <f>'Adjusted Consumption'!G55*parameters!$B$76</f>
        <v>0</v>
      </c>
      <c r="H39" s="300">
        <f>'Adjusted Consumption'!H55*parameters!$B$76</f>
        <v>0</v>
      </c>
      <c r="I39" s="300">
        <f>'Adjusted Consumption'!I55*parameters!$B$76</f>
        <v>0</v>
      </c>
      <c r="J39" s="300">
        <f>'Adjusted Consumption'!J55*parameters!$B$76</f>
        <v>0</v>
      </c>
      <c r="K39" s="300">
        <f>'Adjusted Consumption'!K55*parameters!$B$76</f>
        <v>0</v>
      </c>
      <c r="L39" s="300">
        <f>'Adjusted Consumption'!L55*parameters!$B$76</f>
        <v>0</v>
      </c>
      <c r="M39" s="300">
        <f>'Adjusted Consumption'!M55*parameters!$B$76</f>
        <v>0</v>
      </c>
      <c r="N39" s="300">
        <f>'Adjusted Consumption'!N55*parameters!$B$76</f>
        <v>0</v>
      </c>
      <c r="O39" s="300">
        <f>'Adjusted Consumption'!O55*parameters!$B$76</f>
        <v>0</v>
      </c>
      <c r="P39" s="300">
        <f>'Adjusted Consumption'!P55*parameters!$B$76</f>
        <v>0</v>
      </c>
      <c r="Q39" s="300">
        <f>'Adjusted Consumption'!Q55*parameters!$B$76</f>
        <v>0</v>
      </c>
      <c r="R39" s="300">
        <f>'Adjusted Consumption'!R55*parameters!$B$76</f>
        <v>0</v>
      </c>
      <c r="S39" s="300">
        <f>'Adjusted Consumption'!S55*parameters!$B$76</f>
        <v>0</v>
      </c>
      <c r="T39" s="300">
        <f>'Adjusted Consumption'!T55*parameters!$B$76</f>
        <v>0</v>
      </c>
      <c r="U39" s="300">
        <f>'Adjusted Consumption'!U55*parameters!$B$76</f>
        <v>0</v>
      </c>
      <c r="V39" s="300">
        <f>'Adjusted Consumption'!V55*parameters!$B$76</f>
        <v>0</v>
      </c>
      <c r="W39" s="300">
        <f>'Adjusted Consumption'!W55*parameters!$B$76</f>
        <v>0</v>
      </c>
      <c r="X39" s="300">
        <f>'Adjusted Consumption'!X55*parameters!$B$76</f>
        <v>0</v>
      </c>
      <c r="Y39" s="300">
        <f>'Adjusted Consumption'!Y55*parameters!$B$76</f>
        <v>0</v>
      </c>
      <c r="Z39" s="300">
        <f>'Adjusted Consumption'!Z55*parameters!$B$76</f>
        <v>0</v>
      </c>
      <c r="AA39" s="300">
        <f>'Adjusted Consumption'!AA55*parameters!$B$76</f>
        <v>0</v>
      </c>
      <c r="AB39" s="300">
        <f>'Adjusted Consumption'!AB55*parameters!$B$76</f>
        <v>0</v>
      </c>
      <c r="AC39" s="300">
        <f>'Adjusted Consumption'!AC55*parameters!$B$76</f>
        <v>0</v>
      </c>
      <c r="AD39" s="300">
        <f>'Adjusted Consumption'!AD55*parameters!$B$76</f>
        <v>0</v>
      </c>
      <c r="AE39" s="300">
        <f>'Adjusted Consumption'!AE55*parameters!$B$76</f>
        <v>0</v>
      </c>
      <c r="AF39" s="300">
        <f>'Adjusted Consumption'!AF55*parameters!$B$76</f>
        <v>0</v>
      </c>
      <c r="AG39" s="442"/>
    </row>
    <row r="40" spans="1:34">
      <c r="A40" s="71" t="s">
        <v>1249</v>
      </c>
      <c r="B40" s="300">
        <f>'Adjusted Consumption'!B56*parameters!$B$76</f>
        <v>0</v>
      </c>
      <c r="C40" s="300">
        <f>'Adjusted Consumption'!C56*parameters!$B$76</f>
        <v>0</v>
      </c>
      <c r="D40" s="300">
        <f>'Adjusted Consumption'!D56*parameters!$B$76</f>
        <v>0</v>
      </c>
      <c r="E40" s="300">
        <f>'Adjusted Consumption'!E56*parameters!$B$76</f>
        <v>0</v>
      </c>
      <c r="F40" s="300">
        <f>'Adjusted Consumption'!F56*parameters!$B$76</f>
        <v>0</v>
      </c>
      <c r="G40" s="300">
        <f>'Adjusted Consumption'!G56*parameters!$B$76</f>
        <v>0</v>
      </c>
      <c r="H40" s="300">
        <f>'Adjusted Consumption'!H56*parameters!$B$76</f>
        <v>0</v>
      </c>
      <c r="I40" s="300">
        <f>'Adjusted Consumption'!I56*parameters!$B$76</f>
        <v>0</v>
      </c>
      <c r="J40" s="300">
        <f>'Adjusted Consumption'!J56*parameters!$B$76</f>
        <v>0</v>
      </c>
      <c r="K40" s="300">
        <f>'Adjusted Consumption'!K56*parameters!$B$76</f>
        <v>0</v>
      </c>
      <c r="L40" s="300">
        <f>'Adjusted Consumption'!L56*parameters!$B$76</f>
        <v>0</v>
      </c>
      <c r="M40" s="300">
        <f>'Adjusted Consumption'!M56*parameters!$B$76</f>
        <v>0</v>
      </c>
      <c r="N40" s="300">
        <f>'Adjusted Consumption'!N56*parameters!$B$76</f>
        <v>0</v>
      </c>
      <c r="O40" s="300">
        <f>'Adjusted Consumption'!O56*parameters!$B$76</f>
        <v>0</v>
      </c>
      <c r="P40" s="300">
        <f>'Adjusted Consumption'!P56*parameters!$B$76</f>
        <v>0</v>
      </c>
      <c r="Q40" s="300">
        <f>'Adjusted Consumption'!Q56*parameters!$B$76</f>
        <v>0</v>
      </c>
      <c r="R40" s="300">
        <f>'Adjusted Consumption'!R56*parameters!$B$76</f>
        <v>0</v>
      </c>
      <c r="S40" s="300">
        <f>'Adjusted Consumption'!S56*parameters!$B$76</f>
        <v>0</v>
      </c>
      <c r="T40" s="300">
        <f>'Adjusted Consumption'!T56*parameters!$B$76</f>
        <v>0</v>
      </c>
      <c r="U40" s="300">
        <f>'Adjusted Consumption'!U56*parameters!$B$76</f>
        <v>0</v>
      </c>
      <c r="V40" s="300">
        <f>'Adjusted Consumption'!V56*parameters!$B$76</f>
        <v>0</v>
      </c>
      <c r="W40" s="300">
        <f>'Adjusted Consumption'!W56*parameters!$B$76</f>
        <v>0</v>
      </c>
      <c r="X40" s="300">
        <f>'Adjusted Consumption'!X56*parameters!$B$76</f>
        <v>0</v>
      </c>
      <c r="Y40" s="300">
        <f>'Adjusted Consumption'!Y56*parameters!$B$76</f>
        <v>0</v>
      </c>
      <c r="Z40" s="300">
        <f>'Adjusted Consumption'!Z56*parameters!$B$76</f>
        <v>0</v>
      </c>
      <c r="AA40" s="300">
        <f>'Adjusted Consumption'!AA56*parameters!$B$76</f>
        <v>0</v>
      </c>
      <c r="AB40" s="300">
        <f>'Adjusted Consumption'!AB56*parameters!$B$76</f>
        <v>0</v>
      </c>
      <c r="AC40" s="300">
        <f>'Adjusted Consumption'!AC56*parameters!$B$76</f>
        <v>0</v>
      </c>
      <c r="AD40" s="300">
        <f>'Adjusted Consumption'!AD56*parameters!$B$76</f>
        <v>0</v>
      </c>
      <c r="AE40" s="300">
        <f>'Adjusted Consumption'!AE56*parameters!$B$76</f>
        <v>0</v>
      </c>
      <c r="AF40" s="300">
        <f>'Adjusted Consumption'!AF56*parameters!$B$76</f>
        <v>0</v>
      </c>
      <c r="AG40" s="442"/>
    </row>
    <row r="41" spans="1:34">
      <c r="A41" s="71" t="s">
        <v>1250</v>
      </c>
      <c r="B41" s="300">
        <f>'Adjusted Consumption'!B57*parameters!$B$76</f>
        <v>4.1739870749556882</v>
      </c>
      <c r="C41" s="300">
        <f>'Adjusted Consumption'!C57*parameters!$B$76</f>
        <v>4.1514616842018315</v>
      </c>
      <c r="D41" s="300">
        <f>'Adjusted Consumption'!D57*parameters!$B$76</f>
        <v>4.1685589866942783</v>
      </c>
      <c r="E41" s="300">
        <f>'Adjusted Consumption'!E57*parameters!$B$76</f>
        <v>4.1288137473240578</v>
      </c>
      <c r="F41" s="300">
        <f>'Adjusted Consumption'!F57*parameters!$B$76</f>
        <v>4.4098201780370507</v>
      </c>
      <c r="G41" s="300">
        <f>'Adjusted Consumption'!G57*parameters!$B$76</f>
        <v>4.3199491624343827</v>
      </c>
      <c r="H41" s="300">
        <f>'Adjusted Consumption'!H57*parameters!$B$76</f>
        <v>4.3485099931923061</v>
      </c>
      <c r="I41" s="300">
        <f>'Adjusted Consumption'!I57*parameters!$B$76</f>
        <v>4.1211928182431494</v>
      </c>
      <c r="J41" s="300">
        <f>'Adjusted Consumption'!J57*parameters!$B$76</f>
        <v>3.9954391660355726</v>
      </c>
      <c r="K41" s="300">
        <f>'Adjusted Consumption'!K57*parameters!$B$76</f>
        <v>3.5969335765033765</v>
      </c>
      <c r="L41" s="300">
        <f>'Adjusted Consumption'!L57*parameters!$B$76</f>
        <v>3.5468471595967301</v>
      </c>
      <c r="M41" s="300">
        <f>'Adjusted Consumption'!M57*parameters!$B$76</f>
        <v>3.4310654200991646</v>
      </c>
      <c r="N41" s="300">
        <f>'Adjusted Consumption'!N57*parameters!$B$76</f>
        <v>3.349024127385305</v>
      </c>
      <c r="O41" s="300">
        <f>'Adjusted Consumption'!O57*parameters!$B$76</f>
        <v>3.2661415781460832</v>
      </c>
      <c r="P41" s="300">
        <f>'Adjusted Consumption'!P57*parameters!$B$76</f>
        <v>3.2787497113288264</v>
      </c>
      <c r="Q41" s="300">
        <f>'Adjusted Consumption'!Q57*parameters!$B$76</f>
        <v>3.2890533592477835</v>
      </c>
      <c r="R41" s="300">
        <f>'Adjusted Consumption'!R57*parameters!$B$76</f>
        <v>3.332993915467759</v>
      </c>
      <c r="S41" s="300">
        <f>'Adjusted Consumption'!S57*parameters!$B$76</f>
        <v>3.3578288916402781</v>
      </c>
      <c r="T41" s="300">
        <f>'Adjusted Consumption'!T57*parameters!$B$76</f>
        <v>3.4030739231528639</v>
      </c>
      <c r="U41" s="300">
        <f>'Adjusted Consumption'!U57*parameters!$B$76</f>
        <v>3.4303578979456208</v>
      </c>
      <c r="V41" s="300">
        <f>'Adjusted Consumption'!V57*parameters!$B$76</f>
        <v>3.4734068187586491</v>
      </c>
      <c r="W41" s="300">
        <f>'Adjusted Consumption'!W57*parameters!$B$76</f>
        <v>3.5165074766290205</v>
      </c>
      <c r="X41" s="300">
        <f>'Adjusted Consumption'!X57*parameters!$B$76</f>
        <v>3.5353495058951965</v>
      </c>
      <c r="Y41" s="300">
        <f>'Adjusted Consumption'!Y57*parameters!$B$76</f>
        <v>3.5940854998529987</v>
      </c>
      <c r="Z41" s="300">
        <f>'Adjusted Consumption'!Z57*parameters!$B$76</f>
        <v>3.6825356320087925</v>
      </c>
      <c r="AA41" s="300">
        <f>'Adjusted Consumption'!AA57*parameters!$B$76</f>
        <v>3.8084071109720306</v>
      </c>
      <c r="AB41" s="300">
        <f>'Adjusted Consumption'!AB57*parameters!$B$76</f>
        <v>3.8462133981098874</v>
      </c>
      <c r="AC41" s="300">
        <f>'Adjusted Consumption'!AC57*parameters!$B$76</f>
        <v>3.9178086060973372</v>
      </c>
      <c r="AD41" s="300">
        <f>'Adjusted Consumption'!AD57*parameters!$B$76</f>
        <v>4.0069313253416166</v>
      </c>
      <c r="AE41" s="300">
        <f>'Adjusted Consumption'!AE57*parameters!$B$76</f>
        <v>4.0736507838926306</v>
      </c>
      <c r="AF41" s="300">
        <f>'Adjusted Consumption'!AF57*parameters!$B$76</f>
        <v>4.1296778298421462</v>
      </c>
      <c r="AG41" s="442">
        <f t="shared" ref="AG41" si="8">((AF41-B41)/B41)/29</f>
        <v>-3.6605408126029335E-4</v>
      </c>
    </row>
    <row r="42" spans="1:34">
      <c r="A42" s="71" t="s">
        <v>1251</v>
      </c>
      <c r="B42" s="300">
        <f>'Adjusted Consumption'!B58*parameters!$B$79</f>
        <v>0</v>
      </c>
      <c r="C42" s="300">
        <f>'Adjusted Consumption'!C58*parameters!$B$79</f>
        <v>0</v>
      </c>
      <c r="D42" s="300">
        <f>'Adjusted Consumption'!D58*parameters!$B$79</f>
        <v>0</v>
      </c>
      <c r="E42" s="300">
        <f>'Adjusted Consumption'!E58*parameters!$B$79</f>
        <v>0</v>
      </c>
      <c r="F42" s="300">
        <f>'Adjusted Consumption'!F58*parameters!$B$79</f>
        <v>0</v>
      </c>
      <c r="G42" s="300">
        <f>'Adjusted Consumption'!G58*parameters!$B$79</f>
        <v>0</v>
      </c>
      <c r="H42" s="300">
        <f>'Adjusted Consumption'!H58*parameters!$B$79</f>
        <v>0</v>
      </c>
      <c r="I42" s="300">
        <f>'Adjusted Consumption'!I58*parameters!$B$79</f>
        <v>0</v>
      </c>
      <c r="J42" s="300">
        <f>'Adjusted Consumption'!J58*parameters!$B$79</f>
        <v>0</v>
      </c>
      <c r="K42" s="300">
        <f>'Adjusted Consumption'!K58*parameters!$B$79</f>
        <v>0</v>
      </c>
      <c r="L42" s="300">
        <f>'Adjusted Consumption'!L58*parameters!$B$79</f>
        <v>0</v>
      </c>
      <c r="M42" s="300">
        <f>'Adjusted Consumption'!M58*parameters!$B$79</f>
        <v>0</v>
      </c>
      <c r="N42" s="300">
        <f>'Adjusted Consumption'!N58*parameters!$B$79</f>
        <v>0</v>
      </c>
      <c r="O42" s="300">
        <f>'Adjusted Consumption'!O58*parameters!$B$79</f>
        <v>0</v>
      </c>
      <c r="P42" s="300">
        <f>'Adjusted Consumption'!P58*parameters!$B$79</f>
        <v>0</v>
      </c>
      <c r="Q42" s="300">
        <f>'Adjusted Consumption'!Q58*parameters!$B$79</f>
        <v>0</v>
      </c>
      <c r="R42" s="300">
        <f>'Adjusted Consumption'!R58*parameters!$B$79</f>
        <v>0</v>
      </c>
      <c r="S42" s="300">
        <f>'Adjusted Consumption'!S58*parameters!$B$79</f>
        <v>0</v>
      </c>
      <c r="T42" s="300">
        <f>'Adjusted Consumption'!T58*parameters!$B$79</f>
        <v>0</v>
      </c>
      <c r="U42" s="300">
        <f>'Adjusted Consumption'!U58*parameters!$B$79</f>
        <v>0</v>
      </c>
      <c r="V42" s="300">
        <f>'Adjusted Consumption'!V58*parameters!$B$79</f>
        <v>0</v>
      </c>
      <c r="W42" s="300">
        <f>'Adjusted Consumption'!W58*parameters!$B$79</f>
        <v>0</v>
      </c>
      <c r="X42" s="300">
        <f>'Adjusted Consumption'!X58*parameters!$B$79</f>
        <v>0</v>
      </c>
      <c r="Y42" s="300">
        <f>'Adjusted Consumption'!Y58*parameters!$B$79</f>
        <v>0</v>
      </c>
      <c r="Z42" s="300">
        <f>'Adjusted Consumption'!Z58*parameters!$B$79</f>
        <v>0</v>
      </c>
      <c r="AA42" s="300">
        <f>'Adjusted Consumption'!AA58*parameters!$B$79</f>
        <v>0</v>
      </c>
      <c r="AB42" s="300">
        <f>'Adjusted Consumption'!AB58*parameters!$B$79</f>
        <v>0</v>
      </c>
      <c r="AC42" s="300">
        <f>'Adjusted Consumption'!AC58*parameters!$B$79</f>
        <v>0</v>
      </c>
      <c r="AD42" s="300">
        <f>'Adjusted Consumption'!AD58*parameters!$B$79</f>
        <v>0</v>
      </c>
      <c r="AE42" s="300">
        <f>'Adjusted Consumption'!AE58*parameters!$B$79</f>
        <v>0</v>
      </c>
      <c r="AF42" s="300">
        <f>'Adjusted Consumption'!AF58*parameters!$B$79</f>
        <v>0</v>
      </c>
      <c r="AG42" s="442"/>
    </row>
    <row r="43" spans="1:34">
      <c r="A43" s="71" t="s">
        <v>1252</v>
      </c>
      <c r="B43" s="300">
        <f>'Adjusted Consumption'!B59*parameters!$B$79</f>
        <v>0.15948466638229397</v>
      </c>
      <c r="C43" s="300">
        <f>'Adjusted Consumption'!C59*parameters!$B$79</f>
        <v>0.16175611501714751</v>
      </c>
      <c r="D43" s="300">
        <f>'Adjusted Consumption'!D59*parameters!$B$79</f>
        <v>0.16105966076339889</v>
      </c>
      <c r="E43" s="300">
        <f>'Adjusted Consumption'!E59*parameters!$B$79</f>
        <v>0.15965800001739786</v>
      </c>
      <c r="F43" s="300">
        <f>'Adjusted Consumption'!F59*parameters!$B$79</f>
        <v>0.15753124578859512</v>
      </c>
      <c r="G43" s="300">
        <f>'Adjusted Consumption'!G59*parameters!$B$79</f>
        <v>0.15475436788160135</v>
      </c>
      <c r="H43" s="300">
        <f>'Adjusted Consumption'!H59*parameters!$B$79</f>
        <v>0.15017682029418944</v>
      </c>
      <c r="I43" s="300">
        <f>'Adjusted Consumption'!I59*parameters!$B$79</f>
        <v>0.14428500427634439</v>
      </c>
      <c r="J43" s="300">
        <f>'Adjusted Consumption'!J59*parameters!$B$79</f>
        <v>0.13801999942216725</v>
      </c>
      <c r="K43" s="300">
        <f>'Adjusted Consumption'!K59*parameters!$B$79</f>
        <v>0.13098377837177461</v>
      </c>
      <c r="L43" s="300">
        <f>'Adjusted Consumption'!L59*parameters!$B$79</f>
        <v>0.12256765859498411</v>
      </c>
      <c r="M43" s="300">
        <f>'Adjusted Consumption'!M59*parameters!$B$79</f>
        <v>0.11387019363078921</v>
      </c>
      <c r="N43" s="300">
        <f>'Adjusted Consumption'!N59*parameters!$B$79</f>
        <v>0.10434175457119511</v>
      </c>
      <c r="O43" s="300">
        <f>'Adjusted Consumption'!O59*parameters!$B$79</f>
        <v>9.4617749569047935E-2</v>
      </c>
      <c r="P43" s="300">
        <f>'Adjusted Consumption'!P59*parameters!$B$79</f>
        <v>8.7708549767323438E-2</v>
      </c>
      <c r="Q43" s="300">
        <f>'Adjusted Consumption'!Q59*parameters!$B$79</f>
        <v>8.1925392575690745E-2</v>
      </c>
      <c r="R43" s="300">
        <f>'Adjusted Consumption'!R59*parameters!$B$79</f>
        <v>7.7114850080377162E-2</v>
      </c>
      <c r="S43" s="300">
        <f>'Adjusted Consumption'!S59*parameters!$B$79</f>
        <v>7.2241239819889891E-2</v>
      </c>
      <c r="T43" s="300">
        <f>'Adjusted Consumption'!T59*parameters!$B$79</f>
        <v>6.7507812936469916E-2</v>
      </c>
      <c r="U43" s="300">
        <f>'Adjusted Consumption'!U59*parameters!$B$79</f>
        <v>6.2680348006892747E-2</v>
      </c>
      <c r="V43" s="300">
        <f>'Adjusted Consumption'!V59*parameters!$B$79</f>
        <v>6.2769341947147062E-2</v>
      </c>
      <c r="W43" s="300">
        <f>'Adjusted Consumption'!W59*parameters!$B$79</f>
        <v>6.2937781224265452E-2</v>
      </c>
      <c r="X43" s="300">
        <f>'Adjusted Consumption'!X59*parameters!$B$79</f>
        <v>6.3027129651287872E-2</v>
      </c>
      <c r="Y43" s="300">
        <f>'Adjusted Consumption'!Y59*parameters!$B$79</f>
        <v>6.3187485438846655E-2</v>
      </c>
      <c r="Z43" s="300">
        <f>'Adjusted Consumption'!Z59*parameters!$B$79</f>
        <v>6.3410289016849503E-2</v>
      </c>
      <c r="AA43" s="300">
        <f>'Adjusted Consumption'!AA59*parameters!$B$79</f>
        <v>6.3809134079235719E-2</v>
      </c>
      <c r="AB43" s="300">
        <f>'Adjusted Consumption'!AB59*parameters!$B$79</f>
        <v>6.4226534036783064E-2</v>
      </c>
      <c r="AC43" s="300">
        <f>'Adjusted Consumption'!AC59*parameters!$B$79</f>
        <v>6.4533135119266102E-2</v>
      </c>
      <c r="AD43" s="300">
        <f>'Adjusted Consumption'!AD59*parameters!$B$79</f>
        <v>6.4978415758902869E-2</v>
      </c>
      <c r="AE43" s="300">
        <f>'Adjusted Consumption'!AE59*parameters!$B$79</f>
        <v>6.5486289850126847E-2</v>
      </c>
      <c r="AF43" s="300">
        <f>'Adjusted Consumption'!AF59*parameters!$B$79</f>
        <v>6.5905200324489557E-2</v>
      </c>
      <c r="AG43" s="442">
        <f t="shared" ref="AG43" si="9">((AF43-B43)/B43)/29</f>
        <v>-2.0233156033880251E-2</v>
      </c>
    </row>
    <row r="44" spans="1:34">
      <c r="A44" s="71" t="s">
        <v>1253</v>
      </c>
      <c r="B44" s="300">
        <f>'Adjusted Consumption'!B60*parameters!$B$79</f>
        <v>0</v>
      </c>
      <c r="C44" s="300">
        <f>'Adjusted Consumption'!C60*parameters!$B$79</f>
        <v>0</v>
      </c>
      <c r="D44" s="300">
        <f>'Adjusted Consumption'!D60*parameters!$B$79</f>
        <v>0</v>
      </c>
      <c r="E44" s="300">
        <f>'Adjusted Consumption'!E60*parameters!$B$79</f>
        <v>0</v>
      </c>
      <c r="F44" s="300">
        <f>'Adjusted Consumption'!F60*parameters!$B$79</f>
        <v>0</v>
      </c>
      <c r="G44" s="300">
        <f>'Adjusted Consumption'!G60*parameters!$B$79</f>
        <v>0</v>
      </c>
      <c r="H44" s="300">
        <f>'Adjusted Consumption'!H60*parameters!$B$79</f>
        <v>0</v>
      </c>
      <c r="I44" s="300">
        <f>'Adjusted Consumption'!I60*parameters!$B$79</f>
        <v>0</v>
      </c>
      <c r="J44" s="300">
        <f>'Adjusted Consumption'!J60*parameters!$B$79</f>
        <v>0</v>
      </c>
      <c r="K44" s="300">
        <f>'Adjusted Consumption'!K60*parameters!$B$79</f>
        <v>0</v>
      </c>
      <c r="L44" s="300">
        <f>'Adjusted Consumption'!L60*parameters!$B$79</f>
        <v>0</v>
      </c>
      <c r="M44" s="300">
        <f>'Adjusted Consumption'!M60*parameters!$B$79</f>
        <v>0</v>
      </c>
      <c r="N44" s="300">
        <f>'Adjusted Consumption'!N60*parameters!$B$79</f>
        <v>0</v>
      </c>
      <c r="O44" s="300">
        <f>'Adjusted Consumption'!O60*parameters!$B$79</f>
        <v>0</v>
      </c>
      <c r="P44" s="300">
        <f>'Adjusted Consumption'!P60*parameters!$B$79</f>
        <v>0</v>
      </c>
      <c r="Q44" s="300">
        <f>'Adjusted Consumption'!Q60*parameters!$B$79</f>
        <v>0</v>
      </c>
      <c r="R44" s="300">
        <f>'Adjusted Consumption'!R60*parameters!$B$79</f>
        <v>0</v>
      </c>
      <c r="S44" s="300">
        <f>'Adjusted Consumption'!S60*parameters!$B$79</f>
        <v>0</v>
      </c>
      <c r="T44" s="300">
        <f>'Adjusted Consumption'!T60*parameters!$B$79</f>
        <v>0</v>
      </c>
      <c r="U44" s="300">
        <f>'Adjusted Consumption'!U60*parameters!$B$79</f>
        <v>0</v>
      </c>
      <c r="V44" s="300">
        <f>'Adjusted Consumption'!V60*parameters!$B$79</f>
        <v>0</v>
      </c>
      <c r="W44" s="300">
        <f>'Adjusted Consumption'!W60*parameters!$B$79</f>
        <v>0</v>
      </c>
      <c r="X44" s="300">
        <f>'Adjusted Consumption'!X60*parameters!$B$79</f>
        <v>0</v>
      </c>
      <c r="Y44" s="300">
        <f>'Adjusted Consumption'!Y60*parameters!$B$79</f>
        <v>0</v>
      </c>
      <c r="Z44" s="300">
        <f>'Adjusted Consumption'!Z60*parameters!$B$79</f>
        <v>0</v>
      </c>
      <c r="AA44" s="300">
        <f>'Adjusted Consumption'!AA60*parameters!$B$79</f>
        <v>0</v>
      </c>
      <c r="AB44" s="300">
        <f>'Adjusted Consumption'!AB60*parameters!$B$79</f>
        <v>0</v>
      </c>
      <c r="AC44" s="300">
        <f>'Adjusted Consumption'!AC60*parameters!$B$79</f>
        <v>0</v>
      </c>
      <c r="AD44" s="300">
        <f>'Adjusted Consumption'!AD60*parameters!$B$79</f>
        <v>0</v>
      </c>
      <c r="AE44" s="300">
        <f>'Adjusted Consumption'!AE60*parameters!$B$79</f>
        <v>0</v>
      </c>
      <c r="AF44" s="300">
        <f>'Adjusted Consumption'!AF60*parameters!$B$79</f>
        <v>0</v>
      </c>
      <c r="AG44" s="442"/>
    </row>
    <row r="45" spans="1:34">
      <c r="A45" s="71" t="s">
        <v>1254</v>
      </c>
      <c r="B45" s="300">
        <f>'Adjusted Consumption'!B61*parameters!$B$79</f>
        <v>0</v>
      </c>
      <c r="C45" s="300">
        <f>'Adjusted Consumption'!C61*parameters!$B$79</f>
        <v>0</v>
      </c>
      <c r="D45" s="300">
        <f>'Adjusted Consumption'!D61*parameters!$B$79</f>
        <v>0</v>
      </c>
      <c r="E45" s="300">
        <f>'Adjusted Consumption'!E61*parameters!$B$79</f>
        <v>0</v>
      </c>
      <c r="F45" s="300">
        <f>'Adjusted Consumption'!F61*parameters!$B$79</f>
        <v>0</v>
      </c>
      <c r="G45" s="300">
        <f>'Adjusted Consumption'!G61*parameters!$B$79</f>
        <v>0</v>
      </c>
      <c r="H45" s="300">
        <f>'Adjusted Consumption'!H61*parameters!$B$79</f>
        <v>0</v>
      </c>
      <c r="I45" s="300">
        <f>'Adjusted Consumption'!I61*parameters!$B$79</f>
        <v>0</v>
      </c>
      <c r="J45" s="300">
        <f>'Adjusted Consumption'!J61*parameters!$B$79</f>
        <v>0</v>
      </c>
      <c r="K45" s="300">
        <f>'Adjusted Consumption'!K61*parameters!$B$79</f>
        <v>0</v>
      </c>
      <c r="L45" s="300">
        <f>'Adjusted Consumption'!L61*parameters!$B$79</f>
        <v>0</v>
      </c>
      <c r="M45" s="300">
        <f>'Adjusted Consumption'!M61*parameters!$B$79</f>
        <v>0</v>
      </c>
      <c r="N45" s="300">
        <f>'Adjusted Consumption'!N61*parameters!$B$79</f>
        <v>0</v>
      </c>
      <c r="O45" s="300">
        <f>'Adjusted Consumption'!O61*parameters!$B$79</f>
        <v>0</v>
      </c>
      <c r="P45" s="300">
        <f>'Adjusted Consumption'!P61*parameters!$B$79</f>
        <v>0</v>
      </c>
      <c r="Q45" s="300">
        <f>'Adjusted Consumption'!Q61*parameters!$B$79</f>
        <v>0</v>
      </c>
      <c r="R45" s="300">
        <f>'Adjusted Consumption'!R61*parameters!$B$79</f>
        <v>0</v>
      </c>
      <c r="S45" s="300">
        <f>'Adjusted Consumption'!S61*parameters!$B$79</f>
        <v>0</v>
      </c>
      <c r="T45" s="300">
        <f>'Adjusted Consumption'!T61*parameters!$B$79</f>
        <v>0</v>
      </c>
      <c r="U45" s="300">
        <f>'Adjusted Consumption'!U61*parameters!$B$79</f>
        <v>0</v>
      </c>
      <c r="V45" s="300">
        <f>'Adjusted Consumption'!V61*parameters!$B$79</f>
        <v>0</v>
      </c>
      <c r="W45" s="300">
        <f>'Adjusted Consumption'!W61*parameters!$B$79</f>
        <v>0</v>
      </c>
      <c r="X45" s="300">
        <f>'Adjusted Consumption'!X61*parameters!$B$79</f>
        <v>0</v>
      </c>
      <c r="Y45" s="300">
        <f>'Adjusted Consumption'!Y61*parameters!$B$79</f>
        <v>0</v>
      </c>
      <c r="Z45" s="300">
        <f>'Adjusted Consumption'!Z61*parameters!$B$79</f>
        <v>0</v>
      </c>
      <c r="AA45" s="300">
        <f>'Adjusted Consumption'!AA61*parameters!$B$79</f>
        <v>0</v>
      </c>
      <c r="AB45" s="300">
        <f>'Adjusted Consumption'!AB61*parameters!$B$79</f>
        <v>0</v>
      </c>
      <c r="AC45" s="300">
        <f>'Adjusted Consumption'!AC61*parameters!$B$79</f>
        <v>0</v>
      </c>
      <c r="AD45" s="300">
        <f>'Adjusted Consumption'!AD61*parameters!$B$79</f>
        <v>0</v>
      </c>
      <c r="AE45" s="300">
        <f>'Adjusted Consumption'!AE61*parameters!$B$79</f>
        <v>0</v>
      </c>
      <c r="AF45" s="300">
        <f>'Adjusted Consumption'!AF61*parameters!$B$79</f>
        <v>0</v>
      </c>
      <c r="AG45" s="442"/>
    </row>
    <row r="46" spans="1:34">
      <c r="A46" s="71" t="s">
        <v>1255</v>
      </c>
      <c r="B46" s="300">
        <f t="shared" ref="B46:V46" si="10">B43+B44</f>
        <v>0.15948466638229397</v>
      </c>
      <c r="C46" s="300">
        <f t="shared" si="10"/>
        <v>0.16175611501714751</v>
      </c>
      <c r="D46" s="300">
        <f t="shared" si="10"/>
        <v>0.16105966076339889</v>
      </c>
      <c r="E46" s="300">
        <f t="shared" si="10"/>
        <v>0.15965800001739786</v>
      </c>
      <c r="F46" s="300">
        <f t="shared" si="10"/>
        <v>0.15753124578859512</v>
      </c>
      <c r="G46" s="300">
        <f t="shared" si="10"/>
        <v>0.15475436788160135</v>
      </c>
      <c r="H46" s="300">
        <f t="shared" si="10"/>
        <v>0.15017682029418944</v>
      </c>
      <c r="I46" s="300">
        <f t="shared" si="10"/>
        <v>0.14428500427634439</v>
      </c>
      <c r="J46" s="300">
        <f t="shared" si="10"/>
        <v>0.13801999942216725</v>
      </c>
      <c r="K46" s="300">
        <f t="shared" si="10"/>
        <v>0.13098377837177461</v>
      </c>
      <c r="L46" s="300">
        <f t="shared" si="10"/>
        <v>0.12256765859498411</v>
      </c>
      <c r="M46" s="300">
        <f t="shared" si="10"/>
        <v>0.11387019363078921</v>
      </c>
      <c r="N46" s="300">
        <f t="shared" si="10"/>
        <v>0.10434175457119511</v>
      </c>
      <c r="O46" s="300">
        <f t="shared" si="10"/>
        <v>9.4617749569047935E-2</v>
      </c>
      <c r="P46" s="300">
        <f t="shared" si="10"/>
        <v>8.7708549767323438E-2</v>
      </c>
      <c r="Q46" s="300">
        <f t="shared" si="10"/>
        <v>8.1925392575690745E-2</v>
      </c>
      <c r="R46" s="300">
        <f t="shared" si="10"/>
        <v>7.7114850080377162E-2</v>
      </c>
      <c r="S46" s="300">
        <f t="shared" si="10"/>
        <v>7.2241239819889891E-2</v>
      </c>
      <c r="T46" s="300">
        <f t="shared" si="10"/>
        <v>6.7507812936469916E-2</v>
      </c>
      <c r="U46" s="300">
        <f t="shared" si="10"/>
        <v>6.2680348006892747E-2</v>
      </c>
      <c r="V46" s="300">
        <f t="shared" si="10"/>
        <v>6.2769341947147062E-2</v>
      </c>
      <c r="W46" s="300">
        <f t="shared" ref="W46:AF46" si="11">W43+W44</f>
        <v>6.2937781224265452E-2</v>
      </c>
      <c r="X46" s="300">
        <f t="shared" si="11"/>
        <v>6.3027129651287872E-2</v>
      </c>
      <c r="Y46" s="300">
        <f t="shared" si="11"/>
        <v>6.3187485438846655E-2</v>
      </c>
      <c r="Z46" s="300">
        <f t="shared" si="11"/>
        <v>6.3410289016849503E-2</v>
      </c>
      <c r="AA46" s="300">
        <f t="shared" si="11"/>
        <v>6.3809134079235719E-2</v>
      </c>
      <c r="AB46" s="300">
        <f t="shared" si="11"/>
        <v>6.4226534036783064E-2</v>
      </c>
      <c r="AC46" s="300">
        <f t="shared" si="11"/>
        <v>6.4533135119266102E-2</v>
      </c>
      <c r="AD46" s="300">
        <f t="shared" si="11"/>
        <v>6.4978415758902869E-2</v>
      </c>
      <c r="AE46" s="300">
        <f t="shared" si="11"/>
        <v>6.5486289850126847E-2</v>
      </c>
      <c r="AF46" s="300">
        <f t="shared" si="11"/>
        <v>6.5905200324489557E-2</v>
      </c>
      <c r="AG46" s="442">
        <f t="shared" ref="AG46" si="12">((AF46-B46)/B46)/29</f>
        <v>-2.0233156033880251E-2</v>
      </c>
    </row>
    <row r="47" spans="1:34">
      <c r="A47" s="71" t="s">
        <v>1256</v>
      </c>
      <c r="B47" s="300">
        <f>'Adjusted Consumption'!B63*parameters!$B$98</f>
        <v>0</v>
      </c>
      <c r="C47" s="300">
        <f>'Adjusted Consumption'!C63*parameters!$B$98</f>
        <v>0</v>
      </c>
      <c r="D47" s="300">
        <f>'Adjusted Consumption'!D63*parameters!$B$98</f>
        <v>0</v>
      </c>
      <c r="E47" s="300">
        <f>'Adjusted Consumption'!E63*parameters!$B$98</f>
        <v>0</v>
      </c>
      <c r="F47" s="300">
        <f>'Adjusted Consumption'!F63*parameters!$B$98</f>
        <v>0</v>
      </c>
      <c r="G47" s="300">
        <f>'Adjusted Consumption'!G63*parameters!$B$98</f>
        <v>0</v>
      </c>
      <c r="H47" s="300">
        <f>'Adjusted Consumption'!H63*parameters!$B$98</f>
        <v>0</v>
      </c>
      <c r="I47" s="300">
        <f>'Adjusted Consumption'!I63*parameters!$B$98</f>
        <v>0</v>
      </c>
      <c r="J47" s="300">
        <f>'Adjusted Consumption'!J63*parameters!$B$98</f>
        <v>0</v>
      </c>
      <c r="K47" s="300">
        <f>'Adjusted Consumption'!K63*parameters!$B$98</f>
        <v>0</v>
      </c>
      <c r="L47" s="300">
        <f>'Adjusted Consumption'!L63*parameters!$B$98</f>
        <v>0</v>
      </c>
      <c r="M47" s="300">
        <f>'Adjusted Consumption'!M63*parameters!$B$98</f>
        <v>0</v>
      </c>
      <c r="N47" s="300">
        <f>'Adjusted Consumption'!N63*parameters!$B$98</f>
        <v>0</v>
      </c>
      <c r="O47" s="300">
        <f>'Adjusted Consumption'!O63*parameters!$B$98</f>
        <v>0</v>
      </c>
      <c r="P47" s="300">
        <f>'Adjusted Consumption'!P63*parameters!$B$98</f>
        <v>0</v>
      </c>
      <c r="Q47" s="300">
        <f>'Adjusted Consumption'!Q63*parameters!$B$98</f>
        <v>0</v>
      </c>
      <c r="R47" s="300">
        <f>'Adjusted Consumption'!R63*parameters!$B$98</f>
        <v>0</v>
      </c>
      <c r="S47" s="300">
        <f>'Adjusted Consumption'!S63*parameters!$B$98</f>
        <v>0</v>
      </c>
      <c r="T47" s="300">
        <f>'Adjusted Consumption'!T63*parameters!$B$98</f>
        <v>0</v>
      </c>
      <c r="U47" s="300">
        <f>'Adjusted Consumption'!U63*parameters!$B$98</f>
        <v>0</v>
      </c>
      <c r="V47" s="300">
        <f>'Adjusted Consumption'!V63*parameters!$B$98</f>
        <v>0</v>
      </c>
      <c r="W47" s="300">
        <f>'Adjusted Consumption'!W63*parameters!$B$98</f>
        <v>0</v>
      </c>
      <c r="X47" s="300">
        <f>'Adjusted Consumption'!X63*parameters!$B$98</f>
        <v>0</v>
      </c>
      <c r="Y47" s="300">
        <f>'Adjusted Consumption'!Y63*parameters!$B$98</f>
        <v>0</v>
      </c>
      <c r="Z47" s="300">
        <f>'Adjusted Consumption'!Z63*parameters!$B$98</f>
        <v>0</v>
      </c>
      <c r="AA47" s="300">
        <f>'Adjusted Consumption'!AA63*parameters!$B$98</f>
        <v>0</v>
      </c>
      <c r="AB47" s="300">
        <f>'Adjusted Consumption'!AB63*parameters!$B$98</f>
        <v>0</v>
      </c>
      <c r="AC47" s="300">
        <f>'Adjusted Consumption'!AC63*parameters!$B$98</f>
        <v>0</v>
      </c>
      <c r="AD47" s="300">
        <f>'Adjusted Consumption'!AD63*parameters!$B$98</f>
        <v>0</v>
      </c>
      <c r="AE47" s="300">
        <f>'Adjusted Consumption'!AE63*parameters!$B$98</f>
        <v>0</v>
      </c>
      <c r="AF47" s="300">
        <f>'Adjusted Consumption'!AF63*parameters!$B$98</f>
        <v>0</v>
      </c>
      <c r="AG47" s="442"/>
    </row>
    <row r="48" spans="1:34">
      <c r="A48" s="71" t="s">
        <v>1244</v>
      </c>
      <c r="B48" s="300">
        <f>'Adjusted Consumption'!B64*parameters!$B$98</f>
        <v>0</v>
      </c>
      <c r="C48" s="300">
        <f>'Adjusted Consumption'!C64*parameters!$B$98</f>
        <v>0</v>
      </c>
      <c r="D48" s="300">
        <f>'Adjusted Consumption'!D64*parameters!$B$98</f>
        <v>0</v>
      </c>
      <c r="E48" s="300">
        <f>'Adjusted Consumption'!E64*parameters!$B$98</f>
        <v>0</v>
      </c>
      <c r="F48" s="300">
        <f>'Adjusted Consumption'!F64*parameters!$B$98</f>
        <v>0</v>
      </c>
      <c r="G48" s="300">
        <f>'Adjusted Consumption'!G64*parameters!$B$98</f>
        <v>0</v>
      </c>
      <c r="H48" s="300">
        <f>'Adjusted Consumption'!H64*parameters!$B$98</f>
        <v>0</v>
      </c>
      <c r="I48" s="300">
        <f>'Adjusted Consumption'!I64*parameters!$B$98</f>
        <v>0</v>
      </c>
      <c r="J48" s="300">
        <f>'Adjusted Consumption'!J64*parameters!$B$98</f>
        <v>0</v>
      </c>
      <c r="K48" s="300">
        <f>'Adjusted Consumption'!K64*parameters!$B$98</f>
        <v>0</v>
      </c>
      <c r="L48" s="300">
        <f>'Adjusted Consumption'!L64*parameters!$B$98</f>
        <v>0</v>
      </c>
      <c r="M48" s="300">
        <f>'Adjusted Consumption'!M64*parameters!$B$98</f>
        <v>0</v>
      </c>
      <c r="N48" s="300">
        <f>'Adjusted Consumption'!N64*parameters!$B$98</f>
        <v>0</v>
      </c>
      <c r="O48" s="300">
        <f>'Adjusted Consumption'!O64*parameters!$B$98</f>
        <v>0</v>
      </c>
      <c r="P48" s="300">
        <f>'Adjusted Consumption'!P64*parameters!$B$98</f>
        <v>0</v>
      </c>
      <c r="Q48" s="300">
        <f>'Adjusted Consumption'!Q64*parameters!$B$98</f>
        <v>0</v>
      </c>
      <c r="R48" s="300">
        <f>'Adjusted Consumption'!R64*parameters!$B$98</f>
        <v>0</v>
      </c>
      <c r="S48" s="300">
        <f>'Adjusted Consumption'!S64*parameters!$B$98</f>
        <v>0</v>
      </c>
      <c r="T48" s="300">
        <f>'Adjusted Consumption'!T64*parameters!$B$98</f>
        <v>0</v>
      </c>
      <c r="U48" s="300">
        <f>'Adjusted Consumption'!U64*parameters!$B$98</f>
        <v>0</v>
      </c>
      <c r="V48" s="300">
        <f>'Adjusted Consumption'!V64*parameters!$B$98</f>
        <v>0</v>
      </c>
      <c r="W48" s="300">
        <f>'Adjusted Consumption'!W64*parameters!$B$98</f>
        <v>0</v>
      </c>
      <c r="X48" s="300">
        <f>'Adjusted Consumption'!X64*parameters!$B$98</f>
        <v>0</v>
      </c>
      <c r="Y48" s="300">
        <f>'Adjusted Consumption'!Y64*parameters!$B$98</f>
        <v>0</v>
      </c>
      <c r="Z48" s="300">
        <f>'Adjusted Consumption'!Z64*parameters!$B$98</f>
        <v>0</v>
      </c>
      <c r="AA48" s="300">
        <f>'Adjusted Consumption'!AA64*parameters!$B$98</f>
        <v>0</v>
      </c>
      <c r="AB48" s="300">
        <f>'Adjusted Consumption'!AB64*parameters!$B$98</f>
        <v>0</v>
      </c>
      <c r="AC48" s="300">
        <f>'Adjusted Consumption'!AC64*parameters!$B$98</f>
        <v>0</v>
      </c>
      <c r="AD48" s="300">
        <f>'Adjusted Consumption'!AD64*parameters!$B$98</f>
        <v>0</v>
      </c>
      <c r="AE48" s="300">
        <f>'Adjusted Consumption'!AE64*parameters!$B$98</f>
        <v>0</v>
      </c>
      <c r="AF48" s="300">
        <f>'Adjusted Consumption'!AF64*parameters!$B$98</f>
        <v>0</v>
      </c>
      <c r="AG48" s="442"/>
    </row>
    <row r="49" spans="1:33">
      <c r="A49" s="71" t="s">
        <v>8</v>
      </c>
      <c r="B49" s="300">
        <f>B83*'Adjusted Consumption'!B222</f>
        <v>3.2053588971894849</v>
      </c>
      <c r="C49" s="300">
        <f>C83*'Adjusted Consumption'!C222</f>
        <v>2.8421395682421955</v>
      </c>
      <c r="D49" s="300">
        <f>D83*'Adjusted Consumption'!D222</f>
        <v>2.4924020538420173</v>
      </c>
      <c r="E49" s="300">
        <f>E83*'Adjusted Consumption'!E222</f>
        <v>2.1770706839896201</v>
      </c>
      <c r="F49" s="300">
        <f>F83*'Adjusted Consumption'!F222</f>
        <v>1.7847808678314345</v>
      </c>
      <c r="G49" s="300">
        <f>G83*'Adjusted Consumption'!G222</f>
        <v>1.3563131027551143</v>
      </c>
      <c r="H49" s="300">
        <f>H83*'Adjusted Consumption'!H222</f>
        <v>1.0073980630677217</v>
      </c>
      <c r="I49" s="300">
        <f>I83*'Adjusted Consumption'!I222</f>
        <v>0.99836738981770645</v>
      </c>
      <c r="J49" s="300">
        <f>J83*'Adjusted Consumption'!J222</f>
        <v>1.0171635809567323</v>
      </c>
      <c r="K49" s="300">
        <f>K83*'Adjusted Consumption'!K222</f>
        <v>1.052766216375284</v>
      </c>
      <c r="L49" s="300">
        <f>L83*'Adjusted Consumption'!L222</f>
        <v>1.052902492454421</v>
      </c>
      <c r="M49" s="300">
        <f>M83*'Adjusted Consumption'!M222</f>
        <v>1.0410266595669504</v>
      </c>
      <c r="N49" s="300">
        <f>N83*'Adjusted Consumption'!N222</f>
        <v>1.0155868261817109</v>
      </c>
      <c r="O49" s="300">
        <f>O83*'Adjusted Consumption'!O222</f>
        <v>0.95055884397521395</v>
      </c>
      <c r="P49" s="300">
        <f>P83*'Adjusted Consumption'!P222</f>
        <v>0.88405816920014657</v>
      </c>
      <c r="Q49" s="300">
        <f>Q83*'Adjusted Consumption'!Q222</f>
        <v>0.81629129344467433</v>
      </c>
      <c r="R49" s="300">
        <f>R83*'Adjusted Consumption'!R222</f>
        <v>0.7422933253264492</v>
      </c>
      <c r="S49" s="300">
        <f>S83*'Adjusted Consumption'!S222</f>
        <v>0.66835204573295548</v>
      </c>
      <c r="T49" s="300">
        <f>T83*'Adjusted Consumption'!T222</f>
        <v>0.59231225620178829</v>
      </c>
      <c r="U49" s="300">
        <f>U83*'Adjusted Consumption'!U222</f>
        <v>0.51416517668849449</v>
      </c>
      <c r="V49" s="300">
        <f>V83*'Adjusted Consumption'!V222</f>
        <v>0.43396022818592089</v>
      </c>
      <c r="W49" s="300">
        <f>W83*'Adjusted Consumption'!W222</f>
        <v>0.35157319952419369</v>
      </c>
      <c r="X49" s="300">
        <f>X83*'Adjusted Consumption'!X222</f>
        <v>0.26698545650117017</v>
      </c>
      <c r="Y49" s="300">
        <f>Y83*'Adjusted Consumption'!Y222</f>
        <v>0.18019683596926878</v>
      </c>
      <c r="Z49" s="300">
        <f>Z83*'Adjusted Consumption'!Z222</f>
        <v>9.1203552508150237E-2</v>
      </c>
      <c r="AA49" s="300">
        <f>AA83*'Adjusted Consumption'!AA222</f>
        <v>0</v>
      </c>
      <c r="AB49" s="300">
        <f>AB83*'Adjusted Consumption'!AB222</f>
        <v>0</v>
      </c>
      <c r="AC49" s="300">
        <f>AC83*'Adjusted Consumption'!AC222</f>
        <v>0</v>
      </c>
      <c r="AD49" s="300">
        <f>AD83*'Adjusted Consumption'!AD222</f>
        <v>0</v>
      </c>
      <c r="AE49" s="300">
        <f>AE83*'Adjusted Consumption'!AE222</f>
        <v>0</v>
      </c>
      <c r="AF49" s="300">
        <f>AF83*'Adjusted Consumption'!AF222</f>
        <v>0</v>
      </c>
      <c r="AG49" s="442">
        <f t="shared" ref="AG49:AG50" si="13">((AF49-B49)/B49)/29</f>
        <v>-3.4482758620689655E-2</v>
      </c>
    </row>
    <row r="50" spans="1:33">
      <c r="A50" s="71" t="s">
        <v>4</v>
      </c>
      <c r="B50" s="300">
        <f t="shared" ref="B50:V50" si="14">SUM(B32:B35,B37,B41,B46:B49)</f>
        <v>13.744581975807215</v>
      </c>
      <c r="C50" s="300">
        <f t="shared" si="14"/>
        <v>13.20124396846353</v>
      </c>
      <c r="D50" s="300">
        <f t="shared" si="14"/>
        <v>12.679747444566784</v>
      </c>
      <c r="E50" s="300">
        <f t="shared" si="14"/>
        <v>12.149588372630213</v>
      </c>
      <c r="F50" s="300">
        <f t="shared" si="14"/>
        <v>11.94867315511063</v>
      </c>
      <c r="G50" s="300">
        <f t="shared" si="14"/>
        <v>11.377440948517501</v>
      </c>
      <c r="H50" s="300">
        <f t="shared" si="14"/>
        <v>10.843829538778989</v>
      </c>
      <c r="I50" s="300">
        <f t="shared" si="14"/>
        <v>10.371397034964675</v>
      </c>
      <c r="J50" s="300">
        <f t="shared" si="14"/>
        <v>10.160069422333532</v>
      </c>
      <c r="K50" s="300">
        <f t="shared" si="14"/>
        <v>9.6196848776828663</v>
      </c>
      <c r="L50" s="300">
        <f t="shared" si="14"/>
        <v>9.4881423458995151</v>
      </c>
      <c r="M50" s="300">
        <f t="shared" si="14"/>
        <v>9.2927747866599688</v>
      </c>
      <c r="N50" s="300">
        <f t="shared" si="14"/>
        <v>9.1639111469672834</v>
      </c>
      <c r="O50" s="300">
        <f t="shared" si="14"/>
        <v>9.0129507929120898</v>
      </c>
      <c r="P50" s="300">
        <f t="shared" si="14"/>
        <v>9.0340004444578863</v>
      </c>
      <c r="Q50" s="300">
        <f t="shared" si="14"/>
        <v>9.0121275395216909</v>
      </c>
      <c r="R50" s="300">
        <f t="shared" si="14"/>
        <v>8.9690653233890814</v>
      </c>
      <c r="S50" s="300">
        <f t="shared" si="14"/>
        <v>8.9365440524577675</v>
      </c>
      <c r="T50" s="300">
        <f t="shared" si="14"/>
        <v>8.9378004275155334</v>
      </c>
      <c r="U50" s="300">
        <f t="shared" si="14"/>
        <v>8.9924165670075045</v>
      </c>
      <c r="V50" s="300">
        <f t="shared" si="14"/>
        <v>8.9872298827024419</v>
      </c>
      <c r="W50" s="300">
        <f t="shared" ref="W50:AF50" si="15">SUM(W32:W35,W37,W41,W46:W49)</f>
        <v>9.0125343862258678</v>
      </c>
      <c r="X50" s="300">
        <f t="shared" si="15"/>
        <v>8.9996053916147698</v>
      </c>
      <c r="Y50" s="300">
        <f t="shared" si="15"/>
        <v>9.0556049515099222</v>
      </c>
      <c r="Z50" s="300">
        <f t="shared" si="15"/>
        <v>9.093467189937428</v>
      </c>
      <c r="AA50" s="300">
        <f t="shared" si="15"/>
        <v>9.2545307841797477</v>
      </c>
      <c r="AB50" s="300">
        <f t="shared" si="15"/>
        <v>9.3594443217288745</v>
      </c>
      <c r="AC50" s="300">
        <f t="shared" si="15"/>
        <v>9.4982467400322879</v>
      </c>
      <c r="AD50" s="300">
        <f t="shared" si="15"/>
        <v>9.671871654117103</v>
      </c>
      <c r="AE50" s="300">
        <f t="shared" si="15"/>
        <v>9.8101809836696674</v>
      </c>
      <c r="AF50" s="300">
        <f t="shared" si="15"/>
        <v>9.9883735697743017</v>
      </c>
      <c r="AG50" s="442">
        <f t="shared" si="13"/>
        <v>-9.4236716709335533E-3</v>
      </c>
    </row>
    <row r="51" spans="1:33" s="478" customFormat="1">
      <c r="A51" s="71"/>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442"/>
    </row>
    <row r="52" spans="1:33" s="377" customFormat="1" ht="13">
      <c r="A52" s="482" t="s">
        <v>1398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4"/>
      <c r="AF52" s="304"/>
      <c r="AG52" s="442"/>
    </row>
    <row r="53" spans="1:33" s="5" customFormat="1">
      <c r="A53" s="71" t="s">
        <v>449</v>
      </c>
      <c r="B53" s="306">
        <f>'Baseline Emissions'!Q53*ramps!C89</f>
        <v>0.31819413445983319</v>
      </c>
      <c r="C53" s="306">
        <f>'Baseline Emissions'!R53*ramps!D89</f>
        <v>0.32239429703470301</v>
      </c>
      <c r="D53" s="306">
        <f>'Baseline Emissions'!S53*ramps!E89</f>
        <v>0.32664990175556113</v>
      </c>
      <c r="E53" s="306">
        <f>'Baseline Emissions'!T53*ramps!F89</f>
        <v>0.33096168045873459</v>
      </c>
      <c r="F53" s="306">
        <f>'Baseline Emissions'!U53*ramps!G89</f>
        <v>0.33533037464078991</v>
      </c>
      <c r="G53" s="306">
        <f>'Baseline Emissions'!V53*ramps!H89</f>
        <v>0.33975673558604835</v>
      </c>
      <c r="H53" s="306">
        <f>'Baseline Emissions'!W53*ramps!I89</f>
        <v>0.34424152449578421</v>
      </c>
      <c r="I53" s="306">
        <f>'Baseline Emissions'!X53*ramps!J89</f>
        <v>0.3487855126191286</v>
      </c>
      <c r="J53" s="306">
        <f>'Baseline Emissions'!Y53*ramps!K89</f>
        <v>0.35338948138570114</v>
      </c>
      <c r="K53" s="306">
        <f>'Baseline Emissions'!Z53*ramps!L89</f>
        <v>0.35805422253999242</v>
      </c>
      <c r="L53" s="306">
        <f>'Baseline Emissions'!AA53*ramps!M89</f>
        <v>0.36278053827752033</v>
      </c>
      <c r="M53" s="306">
        <f>'Baseline Emissions'!AB53*ramps!N89</f>
        <v>0.36756924138278363</v>
      </c>
      <c r="N53" s="306">
        <f>'Baseline Emissions'!AC53*ramps!O89</f>
        <v>0.37242115536903642</v>
      </c>
      <c r="O53" s="306">
        <f>'Baseline Emissions'!AD53*ramps!P89</f>
        <v>0.37733711461990771</v>
      </c>
      <c r="P53" s="306">
        <f>'Baseline Emissions'!AE53*ramps!Q89</f>
        <v>0.38231796453289052</v>
      </c>
      <c r="Q53" s="306">
        <f>'Baseline Emissions'!AF53*ramps!R89</f>
        <v>0.38736456166472472</v>
      </c>
      <c r="R53" s="306">
        <f>'Baseline Emissions'!AG53*ramps!S89</f>
        <v>0.39247777387869914</v>
      </c>
      <c r="S53" s="306">
        <f>'Baseline Emissions'!AH53*ramps!T89</f>
        <v>0.39765848049389801</v>
      </c>
      <c r="T53" s="306">
        <f>'Baseline Emissions'!AI53*ramps!U89</f>
        <v>0.4029075724364175</v>
      </c>
      <c r="U53" s="306">
        <f>'Baseline Emissions'!AJ53*ramps!V89</f>
        <v>0.40822595239257825</v>
      </c>
      <c r="V53" s="306">
        <f>'Baseline Emissions'!AK53*ramps!W89</f>
        <v>0.41361453496416034</v>
      </c>
      <c r="W53" s="306">
        <f>'Baseline Emissions'!AL53*ramps!X89</f>
        <v>0.41907424682568728</v>
      </c>
      <c r="X53" s="306">
        <f>'Baseline Emissions'!AM53*ramps!Y89</f>
        <v>0.4246060268837864</v>
      </c>
      <c r="Y53" s="306">
        <f>'Baseline Emissions'!AN53*ramps!Z89</f>
        <v>0.43021082643865244</v>
      </c>
      <c r="Z53" s="306">
        <f>'Baseline Emissions'!AO53*ramps!AA89</f>
        <v>0.4358896093476427</v>
      </c>
      <c r="AA53" s="306">
        <f>'Baseline Emissions'!AP53*ramps!AB89</f>
        <v>0.44164335219103162</v>
      </c>
      <c r="AB53" s="306">
        <f>'Baseline Emissions'!AQ53*ramps!AC89</f>
        <v>0.44747304443995328</v>
      </c>
      <c r="AC53" s="306">
        <f>'Baseline Emissions'!AR53*ramps!AD89</f>
        <v>0.4533796886265607</v>
      </c>
      <c r="AD53" s="306">
        <f>'Baseline Emissions'!AS53*ramps!AE89</f>
        <v>0.45936430051643135</v>
      </c>
      <c r="AE53" s="306">
        <f>'Baseline Emissions'!AT53*ramps!AF89</f>
        <v>0.46542790928324829</v>
      </c>
      <c r="AF53" s="306">
        <f>'Baseline Emissions'!AU53*ramps!AG89</f>
        <v>0.47157155768578723</v>
      </c>
      <c r="AG53" s="442">
        <f>((AF53-B53)/B53)/29</f>
        <v>1.6621540406275361E-2</v>
      </c>
    </row>
    <row r="54" spans="1:33" s="5" customFormat="1">
      <c r="A54" s="71" t="s">
        <v>450</v>
      </c>
      <c r="B54" s="306">
        <f>'Baseline Emissions'!Q54*ramps!C90</f>
        <v>0.83285713046533527</v>
      </c>
      <c r="C54" s="306">
        <f>'Baseline Emissions'!R54*ramps!D90</f>
        <v>0.81009681080397866</v>
      </c>
      <c r="D54" s="306">
        <f>'Baseline Emissions'!S54*ramps!E90</f>
        <v>0.78659050167714994</v>
      </c>
      <c r="E54" s="306">
        <f>'Baseline Emissions'!T54*ramps!F90</f>
        <v>0.76232247472105852</v>
      </c>
      <c r="F54" s="306">
        <f>'Baseline Emissions'!U54*ramps!G90</f>
        <v>0.73727671632431391</v>
      </c>
      <c r="G54" s="306">
        <f>'Baseline Emissions'!V54*ramps!H90</f>
        <v>0.71143692283790005</v>
      </c>
      <c r="H54" s="306">
        <f>'Baseline Emissions'!W54*ramps!I90</f>
        <v>0.72082789021936033</v>
      </c>
      <c r="I54" s="306">
        <f>'Baseline Emissions'!X54*ramps!J90</f>
        <v>0.73034281837025594</v>
      </c>
      <c r="J54" s="306">
        <f>'Baseline Emissions'!Y54*ramps!K90</f>
        <v>0.73998334357274342</v>
      </c>
      <c r="K54" s="306">
        <f>'Baseline Emissions'!Z54*ramps!L90</f>
        <v>0.74975112370790375</v>
      </c>
      <c r="L54" s="306">
        <f>'Baseline Emissions'!AA54*ramps!M90</f>
        <v>0.75964783854084805</v>
      </c>
      <c r="M54" s="306">
        <f>'Baseline Emissions'!AB54*ramps!N90</f>
        <v>0.7696751900095874</v>
      </c>
      <c r="N54" s="306">
        <f>'Baseline Emissions'!AC54*ramps!O90</f>
        <v>0.77983490251771403</v>
      </c>
      <c r="O54" s="306">
        <f>'Baseline Emissions'!AD54*ramps!P90</f>
        <v>0.79012872323094785</v>
      </c>
      <c r="P54" s="306">
        <f>'Baseline Emissions'!AE54*ramps!Q90</f>
        <v>0.80055842237759645</v>
      </c>
      <c r="Q54" s="306">
        <f>'Baseline Emissions'!AF54*ramps!R90</f>
        <v>0.81112579355298076</v>
      </c>
      <c r="R54" s="306">
        <f>'Baseline Emissions'!AG54*ramps!S90</f>
        <v>0.82183265402788008</v>
      </c>
      <c r="S54" s="306">
        <f>'Baseline Emissions'!AH54*ramps!T90</f>
        <v>0.83268084506104822</v>
      </c>
      <c r="T54" s="306">
        <f>'Baseline Emissions'!AI54*ramps!U90</f>
        <v>0.84367223221585419</v>
      </c>
      <c r="U54" s="306">
        <f>'Baseline Emissions'!AJ54*ramps!V90</f>
        <v>0.85480870568110356</v>
      </c>
      <c r="V54" s="306">
        <f>'Baseline Emissions'!AK54*ramps!W90</f>
        <v>0.86609218059609416</v>
      </c>
      <c r="W54" s="306">
        <f>'Baseline Emissions'!AL54*ramps!X90</f>
        <v>0.87752459737996258</v>
      </c>
      <c r="X54" s="306">
        <f>'Baseline Emissions'!AM54*ramps!Y90</f>
        <v>0.88910792206537814</v>
      </c>
      <c r="Y54" s="306">
        <f>'Baseline Emissions'!AN54*ramps!Z90</f>
        <v>0.90084414663664125</v>
      </c>
      <c r="Z54" s="306">
        <f>'Baseline Emissions'!AO54*ramps!AA90</f>
        <v>0.91273528937224491</v>
      </c>
      <c r="AA54" s="306">
        <f>'Baseline Emissions'!AP54*ramps!AB90</f>
        <v>0.92478339519195873</v>
      </c>
      <c r="AB54" s="306">
        <f>'Baseline Emissions'!AQ54*ramps!AC90</f>
        <v>0.93699053600849269</v>
      </c>
      <c r="AC54" s="306">
        <f>'Baseline Emissions'!AR54*ramps!AD90</f>
        <v>0.94935881108380493</v>
      </c>
      <c r="AD54" s="306">
        <f>'Baseline Emissions'!AS54*ramps!AE90</f>
        <v>0.96189034739011126</v>
      </c>
      <c r="AE54" s="306">
        <f>'Baseline Emissions'!AT54*ramps!AF90</f>
        <v>0.97458729997566074</v>
      </c>
      <c r="AF54" s="306">
        <f>'Baseline Emissions'!AU54*ramps!AG90</f>
        <v>0.9874518523353395</v>
      </c>
      <c r="AG54" s="442">
        <f t="shared" ref="AG54:AG60" si="16">((AF54-B54)/B54)/29</f>
        <v>6.4006806008823454E-3</v>
      </c>
    </row>
    <row r="55" spans="1:33" s="5" customFormat="1">
      <c r="A55" s="71" t="s">
        <v>451</v>
      </c>
      <c r="B55" s="306">
        <f>'Baseline Emissions'!Q55*ramps!C91</f>
        <v>1.1745421070664988E-2</v>
      </c>
      <c r="C55" s="306">
        <f>'Baseline Emissions'!R55*ramps!D91</f>
        <v>1.1900460628797767E-2</v>
      </c>
      <c r="D55" s="306">
        <f>'Baseline Emissions'!S55*ramps!E91</f>
        <v>1.2057546709097899E-2</v>
      </c>
      <c r="E55" s="306">
        <f>'Baseline Emissions'!T55*ramps!F91</f>
        <v>1.2216706325657993E-2</v>
      </c>
      <c r="F55" s="306">
        <f>'Baseline Emissions'!U55*ramps!G91</f>
        <v>1.237796684915668E-2</v>
      </c>
      <c r="G55" s="306">
        <f>'Baseline Emissions'!V55*ramps!H91</f>
        <v>1.2541356011565549E-2</v>
      </c>
      <c r="H55" s="306">
        <f>'Baseline Emissions'!W55*ramps!I91</f>
        <v>1.2706901910918215E-2</v>
      </c>
      <c r="I55" s="306">
        <f>'Baseline Emissions'!X55*ramps!J91</f>
        <v>1.2874633016142337E-2</v>
      </c>
      <c r="J55" s="306">
        <f>'Baseline Emissions'!Y55*ramps!K91</f>
        <v>1.3044578171955418E-2</v>
      </c>
      <c r="K55" s="306">
        <f>'Baseline Emissions'!Z55*ramps!L91</f>
        <v>1.3216766603825231E-2</v>
      </c>
      <c r="L55" s="306">
        <f>'Baseline Emissions'!AA55*ramps!M91</f>
        <v>1.3391227922995725E-2</v>
      </c>
      <c r="M55" s="306">
        <f>'Baseline Emissions'!AB55*ramps!N91</f>
        <v>1.3567992131579271E-2</v>
      </c>
      <c r="N55" s="306">
        <f>'Baseline Emissions'!AC55*ramps!O91</f>
        <v>1.3747089627716119E-2</v>
      </c>
      <c r="O55" s="306">
        <f>'Baseline Emissions'!AD55*ramps!P91</f>
        <v>1.3928551210801974E-2</v>
      </c>
      <c r="P55" s="306">
        <f>'Baseline Emissions'!AE55*ramps!Q91</f>
        <v>1.4112408086784562E-2</v>
      </c>
      <c r="Q55" s="306">
        <f>'Baseline Emissions'!AF55*ramps!R91</f>
        <v>1.429869187353012E-2</v>
      </c>
      <c r="R55" s="306">
        <f>'Baseline Emissions'!AG55*ramps!S91</f>
        <v>1.4487434606260719E-2</v>
      </c>
      <c r="S55" s="306">
        <f>'Baseline Emissions'!AH55*ramps!T91</f>
        <v>1.4678668743063361E-2</v>
      </c>
      <c r="T55" s="306">
        <f>'Baseline Emissions'!AI55*ramps!U91</f>
        <v>1.4872427170471799E-2</v>
      </c>
      <c r="U55" s="306">
        <f>'Baseline Emissions'!AJ55*ramps!V91</f>
        <v>1.5068743209122028E-2</v>
      </c>
      <c r="V55" s="306">
        <f>'Baseline Emissions'!AK55*ramps!W91</f>
        <v>1.526765061948244E-2</v>
      </c>
      <c r="W55" s="306">
        <f>'Baseline Emissions'!AL55*ramps!X91</f>
        <v>1.5469183607659609E-2</v>
      </c>
      <c r="X55" s="306">
        <f>'Baseline Emissions'!AM55*ramps!Y91</f>
        <v>1.5673376831280717E-2</v>
      </c>
      <c r="Y55" s="306">
        <f>'Baseline Emissions'!AN55*ramps!Z91</f>
        <v>1.5880265405453623E-2</v>
      </c>
      <c r="Z55" s="306">
        <f>'Baseline Emissions'!AO55*ramps!AA91</f>
        <v>1.6089884908805613E-2</v>
      </c>
      <c r="AA55" s="306">
        <f>'Baseline Emissions'!AP55*ramps!AB91</f>
        <v>1.6302271389601847E-2</v>
      </c>
      <c r="AB55" s="306">
        <f>'Baseline Emissions'!AQ55*ramps!AC91</f>
        <v>1.6517461371944594E-2</v>
      </c>
      <c r="AC55" s="306">
        <f>'Baseline Emissions'!AR55*ramps!AD91</f>
        <v>1.6735491862054263E-2</v>
      </c>
      <c r="AD55" s="306">
        <f>'Baseline Emissions'!AS55*ramps!AE91</f>
        <v>1.6956400354633382E-2</v>
      </c>
      <c r="AE55" s="306">
        <f>'Baseline Emissions'!AT55*ramps!AF91</f>
        <v>1.7180224839314542E-2</v>
      </c>
      <c r="AF55" s="306">
        <f>'Baseline Emissions'!AU55*ramps!AG91</f>
        <v>1.7407003807193497E-2</v>
      </c>
      <c r="AG55" s="442">
        <f t="shared" si="16"/>
        <v>1.6621540406275365E-2</v>
      </c>
    </row>
    <row r="56" spans="1:33" s="5" customFormat="1">
      <c r="A56" s="71" t="s">
        <v>452</v>
      </c>
      <c r="B56" s="306">
        <f>'Baseline Emissions'!Q56*ramps!C92</f>
        <v>8.5421244150290787E-2</v>
      </c>
      <c r="C56" s="306">
        <f>'Baseline Emissions'!R56*ramps!D92</f>
        <v>8.6548804573074636E-2</v>
      </c>
      <c r="D56" s="306">
        <f>'Baseline Emissions'!S56*ramps!E92</f>
        <v>8.769124879343923E-2</v>
      </c>
      <c r="E56" s="306">
        <f>'Baseline Emissions'!T56*ramps!F92</f>
        <v>8.8848773277512644E-2</v>
      </c>
      <c r="F56" s="306">
        <f>'Baseline Emissions'!U56*ramps!G92</f>
        <v>9.0021577084775817E-2</v>
      </c>
      <c r="G56" s="306">
        <f>'Baseline Emissions'!V56*ramps!H92</f>
        <v>9.1209861902294867E-2</v>
      </c>
      <c r="H56" s="306">
        <f>'Baseline Emissions'!W56*ramps!I92</f>
        <v>9.2413832079405164E-2</v>
      </c>
      <c r="I56" s="306">
        <f>'Baseline Emissions'!X56*ramps!J92</f>
        <v>9.3633694662853317E-2</v>
      </c>
      <c r="J56" s="306">
        <f>'Baseline Emissions'!Y56*ramps!K92</f>
        <v>9.4869659432402997E-2</v>
      </c>
      <c r="K56" s="306">
        <f>'Baseline Emissions'!Z56*ramps!L92</f>
        <v>9.612193893691072E-2</v>
      </c>
      <c r="L56" s="306">
        <f>'Baseline Emissions'!AA56*ramps!M92</f>
        <v>9.7390748530877952E-2</v>
      </c>
      <c r="M56" s="306">
        <f>'Baseline Emissions'!AB56*ramps!N92</f>
        <v>9.8676306411485545E-2</v>
      </c>
      <c r="N56" s="306">
        <f>'Baseline Emissions'!AC56*ramps!O92</f>
        <v>9.9978833656117164E-2</v>
      </c>
      <c r="O56" s="306">
        <f>'Baseline Emissions'!AD56*ramps!P92</f>
        <v>0.10129855426037793</v>
      </c>
      <c r="P56" s="306">
        <f>'Baseline Emissions'!AE56*ramps!Q92</f>
        <v>0.10263569517661493</v>
      </c>
      <c r="Q56" s="306">
        <f>'Baseline Emissions'!AF56*ramps!R92</f>
        <v>0.10399048635294626</v>
      </c>
      <c r="R56" s="306">
        <f>'Baseline Emissions'!AG56*ramps!S92</f>
        <v>0.10536316077280516</v>
      </c>
      <c r="S56" s="306">
        <f>'Baseline Emissions'!AH56*ramps!T92</f>
        <v>0.1067539544950062</v>
      </c>
      <c r="T56" s="306">
        <f>'Baseline Emissions'!AI56*ramps!U92</f>
        <v>0.10816310669434029</v>
      </c>
      <c r="U56" s="306">
        <f>'Baseline Emissions'!AJ56*ramps!V92</f>
        <v>0.10959085970270559</v>
      </c>
      <c r="V56" s="306">
        <f>'Baseline Emissions'!AK56*ramps!W92</f>
        <v>0.11103745905078131</v>
      </c>
      <c r="W56" s="306">
        <f>'Baseline Emissions'!AL56*ramps!X92</f>
        <v>0.11250315351025164</v>
      </c>
      <c r="X56" s="306">
        <f>'Baseline Emissions'!AM56*ramps!Y92</f>
        <v>0.11398819513658698</v>
      </c>
      <c r="Y56" s="306">
        <f>'Baseline Emissions'!AN56*ramps!Z92</f>
        <v>0.11549283931238993</v>
      </c>
      <c r="Z56" s="306">
        <f>'Baseline Emissions'!AO56*ramps!AA92</f>
        <v>0.1170173447913135</v>
      </c>
      <c r="AA56" s="306">
        <f>'Baseline Emissions'!AP56*ramps!AB92</f>
        <v>0.11856197374255885</v>
      </c>
      <c r="AB56" s="306">
        <f>'Baseline Emissions'!AQ56*ramps!AC92</f>
        <v>0.12012699179596063</v>
      </c>
      <c r="AC56" s="306">
        <f>'Baseline Emissions'!AR56*ramps!AD92</f>
        <v>0.12171266808766733</v>
      </c>
      <c r="AD56" s="306">
        <f>'Baseline Emissions'!AS56*ramps!AE92</f>
        <v>0.12331927530642454</v>
      </c>
      <c r="AE56" s="306">
        <f>'Baseline Emissions'!AT56*ramps!AF92</f>
        <v>0.12494708974046936</v>
      </c>
      <c r="AF56" s="306">
        <f>'Baseline Emissions'!AU56*ramps!AG92</f>
        <v>0.12659639132504358</v>
      </c>
      <c r="AG56" s="442">
        <f t="shared" si="16"/>
        <v>1.6621540406275372E-2</v>
      </c>
    </row>
    <row r="57" spans="1:33" s="5" customFormat="1">
      <c r="A57" s="71" t="s">
        <v>453</v>
      </c>
      <c r="B57" s="306">
        <f>'Baseline Emissions'!Q57*ramps!C93</f>
        <v>3.2290558730408714</v>
      </c>
      <c r="C57" s="306">
        <f>'Baseline Emissions'!R57*ramps!D93</f>
        <v>3.2785568055543965</v>
      </c>
      <c r="D57" s="306">
        <f>'Baseline Emissions'!S57*ramps!E93</f>
        <v>3.3283527308600309</v>
      </c>
      <c r="E57" s="306">
        <f>'Baseline Emissions'!T57*ramps!F93</f>
        <v>3.378422830907998</v>
      </c>
      <c r="F57" s="306">
        <f>'Baseline Emissions'!U57*ramps!G93</f>
        <v>3.4287449302505926</v>
      </c>
      <c r="G57" s="306">
        <f>'Baseline Emissions'!V57*ramps!H93</f>
        <v>3.4792954374197707</v>
      </c>
      <c r="H57" s="306">
        <f>'Baseline Emissions'!W57*ramps!I93</f>
        <v>3.530049284114956</v>
      </c>
      <c r="I57" s="306">
        <f>'Baseline Emissions'!X57*ramps!J93</f>
        <v>3.5809798621251714</v>
      </c>
      <c r="J57" s="306">
        <f>'Baseline Emissions'!Y57*ramps!K93</f>
        <v>3.6320589579070983</v>
      </c>
      <c r="K57" s="306">
        <f>'Baseline Emissions'!Z57*ramps!L93</f>
        <v>3.6832566847380677</v>
      </c>
      <c r="L57" s="306">
        <f>'Baseline Emissions'!AA57*ramps!M93</f>
        <v>3.73454141236031</v>
      </c>
      <c r="M57" s="306">
        <f>'Baseline Emissions'!AB57*ramps!N93</f>
        <v>3.7858796940300419</v>
      </c>
      <c r="N57" s="306">
        <f>'Baseline Emissions'!AC57*ramps!O93</f>
        <v>3.8372361908820958</v>
      </c>
      <c r="O57" s="306">
        <f>'Baseline Emissions'!AD57*ramps!P93</f>
        <v>3.8885735935178807</v>
      </c>
      <c r="P57" s="306">
        <f>'Baseline Emissions'!AE57*ramps!Q93</f>
        <v>3.9398525407214096</v>
      </c>
      <c r="Q57" s="306">
        <f>'Baseline Emissions'!AF57*ramps!R93</f>
        <v>3.9910315352050074</v>
      </c>
      <c r="R57" s="306">
        <f>'Baseline Emissions'!AG57*ramps!S93</f>
        <v>4.0420668562830793</v>
      </c>
      <c r="S57" s="306">
        <f>'Baseline Emissions'!AH57*ramps!T93</f>
        <v>4.0929124693689687</v>
      </c>
      <c r="T57" s="306">
        <f>'Baseline Emissions'!AI57*ramps!U93</f>
        <v>4.1435199321865275</v>
      </c>
      <c r="U57" s="306">
        <f>'Baseline Emissions'!AJ57*ramps!V93</f>
        <v>4.1938382975844277</v>
      </c>
      <c r="V57" s="306">
        <f>'Baseline Emissions'!AK57*ramps!W93</f>
        <v>4.2438140128376078</v>
      </c>
      <c r="W57" s="306">
        <f>'Baseline Emissions'!AL57*ramps!X93</f>
        <v>4.2933908153164566</v>
      </c>
      <c r="X57" s="306">
        <f>'Baseline Emissions'!AM57*ramps!Y93</f>
        <v>4.3425096244004324</v>
      </c>
      <c r="Y57" s="306">
        <f>'Baseline Emissions'!AN57*ramps!Z93</f>
        <v>4.3911084295087974</v>
      </c>
      <c r="Z57" s="306">
        <f>'Baseline Emissions'!AO57*ramps!AA93</f>
        <v>4.4391221741169877</v>
      </c>
      <c r="AA57" s="306">
        <f>'Baseline Emissions'!AP57*ramps!AB93</f>
        <v>4.4864826356228473</v>
      </c>
      <c r="AB57" s="306">
        <f>'Baseline Emissions'!AQ57*ramps!AC93</f>
        <v>4.533118300922558</v>
      </c>
      <c r="AC57" s="306">
        <f>'Baseline Emissions'!AR57*ramps!AD93</f>
        <v>4.5789542375514962</v>
      </c>
      <c r="AD57" s="306">
        <f>'Baseline Emissions'!AS57*ramps!AE93</f>
        <v>4.6239119602405783</v>
      </c>
      <c r="AE57" s="306">
        <f>'Baseline Emissions'!AT57*ramps!AF93</f>
        <v>4.6679092927337882</v>
      </c>
      <c r="AF57" s="306">
        <f>'Baseline Emissions'!AU57*ramps!AG93</f>
        <v>4.7108602247075497</v>
      </c>
      <c r="AG57" s="442">
        <f t="shared" si="16"/>
        <v>1.5824037672501075E-2</v>
      </c>
    </row>
    <row r="58" spans="1:33" s="5" customFormat="1">
      <c r="A58" s="71" t="s">
        <v>454</v>
      </c>
      <c r="B58" s="306">
        <f>'Baseline Emissions'!Q58*ramps!C94</f>
        <v>9.1827837461562617E-2</v>
      </c>
      <c r="C58" s="306">
        <f>'Baseline Emissions'!R58*ramps!D94</f>
        <v>9.3039964916055248E-2</v>
      </c>
      <c r="D58" s="306">
        <f>'Baseline Emissions'!S58*ramps!E94</f>
        <v>9.4268092452947191E-2</v>
      </c>
      <c r="E58" s="306">
        <f>'Baseline Emissions'!T58*ramps!F94</f>
        <v>9.5512431273326107E-2</v>
      </c>
      <c r="F58" s="306">
        <f>'Baseline Emissions'!U58*ramps!G94</f>
        <v>9.6773195366134018E-2</v>
      </c>
      <c r="G58" s="306">
        <f>'Baseline Emissions'!V58*ramps!H94</f>
        <v>9.8050601544967003E-2</v>
      </c>
      <c r="H58" s="306">
        <f>'Baseline Emissions'!W58*ramps!I94</f>
        <v>9.9344869485360573E-2</v>
      </c>
      <c r="I58" s="306">
        <f>'Baseline Emissions'!X58*ramps!J94</f>
        <v>0.10065622176256735</v>
      </c>
      <c r="J58" s="306">
        <f>'Baseline Emissions'!Y58*ramps!K94</f>
        <v>0.10198488388983325</v>
      </c>
      <c r="K58" s="306">
        <f>'Baseline Emissions'!Z58*ramps!L94</f>
        <v>0.10333108435717905</v>
      </c>
      <c r="L58" s="306">
        <f>'Baseline Emissions'!AA58*ramps!M94</f>
        <v>0.10469505467069383</v>
      </c>
      <c r="M58" s="306">
        <f>'Baseline Emissions'!AB58*ramps!N94</f>
        <v>0.10607702939234701</v>
      </c>
      <c r="N58" s="306">
        <f>'Baseline Emissions'!AC58*ramps!O94</f>
        <v>0.107477246180326</v>
      </c>
      <c r="O58" s="306">
        <f>'Baseline Emissions'!AD58*ramps!P94</f>
        <v>0.10889594582990632</v>
      </c>
      <c r="P58" s="306">
        <f>'Baseline Emissions'!AE58*ramps!Q94</f>
        <v>0.11033337231486109</v>
      </c>
      <c r="Q58" s="306">
        <f>'Baseline Emissions'!AF58*ramps!R94</f>
        <v>0.11178977282941727</v>
      </c>
      <c r="R58" s="306">
        <f>'Baseline Emissions'!AG58*ramps!S94</f>
        <v>0.11326539783076559</v>
      </c>
      <c r="S58" s="306">
        <f>'Baseline Emissions'!AH58*ramps!T94</f>
        <v>0.11476050108213171</v>
      </c>
      <c r="T58" s="306">
        <f>'Baseline Emissions'!AI58*ramps!U94</f>
        <v>0.11627533969641586</v>
      </c>
      <c r="U58" s="306">
        <f>'Baseline Emissions'!AJ58*ramps!V94</f>
        <v>0.11781017418040857</v>
      </c>
      <c r="V58" s="306">
        <f>'Baseline Emissions'!AK58*ramps!W94</f>
        <v>0.11936526847958998</v>
      </c>
      <c r="W58" s="306">
        <f>'Baseline Emissions'!AL58*ramps!X94</f>
        <v>0.12094089002352057</v>
      </c>
      <c r="X58" s="306">
        <f>'Baseline Emissions'!AM58*ramps!Y94</f>
        <v>0.12253730977183105</v>
      </c>
      <c r="Y58" s="306">
        <f>'Baseline Emissions'!AN58*ramps!Z94</f>
        <v>0.12415480226081924</v>
      </c>
      <c r="Z58" s="306">
        <f>'Baseline Emissions'!AO58*ramps!AA94</f>
        <v>0.12579364565066206</v>
      </c>
      <c r="AA58" s="306">
        <f>'Baseline Emissions'!AP58*ramps!AB94</f>
        <v>0.1274541217732508</v>
      </c>
      <c r="AB58" s="306">
        <f>'Baseline Emissions'!AQ58*ramps!AC94</f>
        <v>0.12913651618065772</v>
      </c>
      <c r="AC58" s="306">
        <f>'Baseline Emissions'!AR58*ramps!AD94</f>
        <v>0.13084111819424241</v>
      </c>
      <c r="AD58" s="306">
        <f>'Baseline Emissions'!AS58*ramps!AE94</f>
        <v>0.13256822095440643</v>
      </c>
      <c r="AE58" s="306">
        <f>'Baseline Emissions'!AT58*ramps!AF94</f>
        <v>0.13431812147100461</v>
      </c>
      <c r="AF58" s="306">
        <f>'Baseline Emissions'!AU58*ramps!AG94</f>
        <v>0.13609112067442189</v>
      </c>
      <c r="AG58" s="442">
        <f t="shared" si="16"/>
        <v>1.6621540406275379E-2</v>
      </c>
    </row>
    <row r="59" spans="1:33" s="5" customFormat="1">
      <c r="A59" s="71" t="s">
        <v>455</v>
      </c>
      <c r="B59" s="306">
        <f>'Baseline Emissions'!Q59*ramps!C95</f>
        <v>0.13880952174422256</v>
      </c>
      <c r="C59" s="306">
        <f>'Baseline Emissions'!R59*ramps!D95</f>
        <v>0.14064180743124632</v>
      </c>
      <c r="D59" s="306">
        <f>'Baseline Emissions'!S59*ramps!E95</f>
        <v>0.14249827928933878</v>
      </c>
      <c r="E59" s="306">
        <f>'Baseline Emissions'!T59*ramps!F95</f>
        <v>0.14437925657595807</v>
      </c>
      <c r="F59" s="306">
        <f>'Baseline Emissions'!U59*ramps!G95</f>
        <v>0.14628506276276074</v>
      </c>
      <c r="G59" s="306">
        <f>'Baseline Emissions'!V59*ramps!H95</f>
        <v>0.14821602559122921</v>
      </c>
      <c r="H59" s="306">
        <f>'Baseline Emissions'!W59*ramps!I95</f>
        <v>0.15017247712903345</v>
      </c>
      <c r="I59" s="306">
        <f>'Baseline Emissions'!X59*ramps!J95</f>
        <v>0.1521547538271367</v>
      </c>
      <c r="J59" s="306">
        <f>'Baseline Emissions'!Y59*ramps!K95</f>
        <v>0.15416319657765493</v>
      </c>
      <c r="K59" s="306">
        <f>'Baseline Emissions'!Z59*ramps!L95</f>
        <v>0.15619815077247998</v>
      </c>
      <c r="L59" s="306">
        <f>'Baseline Emissions'!AA59*ramps!M95</f>
        <v>0.15825996636267672</v>
      </c>
      <c r="M59" s="306">
        <f>'Baseline Emissions'!AB59*ramps!N95</f>
        <v>0.16034899791866408</v>
      </c>
      <c r="N59" s="306">
        <f>'Baseline Emissions'!AC59*ramps!O95</f>
        <v>0.16246560469119045</v>
      </c>
      <c r="O59" s="306">
        <f>'Baseline Emissions'!AD59*ramps!P95</f>
        <v>0.16461015067311419</v>
      </c>
      <c r="P59" s="306">
        <f>'Baseline Emissions'!AE59*ramps!Q95</f>
        <v>0.1667830046619993</v>
      </c>
      <c r="Q59" s="306">
        <f>'Baseline Emissions'!AF59*ramps!R95</f>
        <v>0.16898454032353771</v>
      </c>
      <c r="R59" s="306">
        <f>'Baseline Emissions'!AG59*ramps!S95</f>
        <v>0.17121513625580842</v>
      </c>
      <c r="S59" s="306">
        <f>'Baseline Emissions'!AH59*ramps!T95</f>
        <v>0.17347517605438512</v>
      </c>
      <c r="T59" s="306">
        <f>'Baseline Emissions'!AI59*ramps!U95</f>
        <v>0.17576504837830301</v>
      </c>
      <c r="U59" s="306">
        <f>'Baseline Emissions'!AJ59*ramps!V95</f>
        <v>0.17808514701689662</v>
      </c>
      <c r="V59" s="306">
        <f>'Baseline Emissions'!AK59*ramps!W95</f>
        <v>0.18043587095751967</v>
      </c>
      <c r="W59" s="306">
        <f>'Baseline Emissions'!AL59*ramps!X95</f>
        <v>0.18281762445415894</v>
      </c>
      <c r="X59" s="306">
        <f>'Baseline Emissions'!AM59*ramps!Y95</f>
        <v>0.18523081709695385</v>
      </c>
      <c r="Y59" s="306">
        <f>'Baseline Emissions'!AN59*ramps!Z95</f>
        <v>0.18767586388263366</v>
      </c>
      <c r="Z59" s="306">
        <f>'Baseline Emissions'!AO59*ramps!AA95</f>
        <v>0.19015318528588443</v>
      </c>
      <c r="AA59" s="306">
        <f>'Baseline Emissions'!AP59*ramps!AB95</f>
        <v>0.19266320733165812</v>
      </c>
      <c r="AB59" s="306">
        <f>'Baseline Emissions'!AQ59*ramps!AC95</f>
        <v>0.19520636166843602</v>
      </c>
      <c r="AC59" s="306">
        <f>'Baseline Emissions'!AR59*ramps!AD95</f>
        <v>0.19778308564245939</v>
      </c>
      <c r="AD59" s="306">
        <f>'Baseline Emissions'!AS59*ramps!AE95</f>
        <v>0.20039382237293987</v>
      </c>
      <c r="AE59" s="306">
        <f>'Baseline Emissions'!AT59*ramps!AF95</f>
        <v>0.2030390208282627</v>
      </c>
      <c r="AF59" s="306">
        <f>'Baseline Emissions'!AU59*ramps!AG95</f>
        <v>0.20571913590319579</v>
      </c>
      <c r="AG59" s="442">
        <f t="shared" si="16"/>
        <v>1.6621540406275354E-2</v>
      </c>
    </row>
    <row r="60" spans="1:33">
      <c r="A60" s="71" t="s">
        <v>476</v>
      </c>
      <c r="B60" s="300">
        <f t="shared" ref="B60:V60" si="17">SUM(B53:B59)</f>
        <v>4.7079111623927803</v>
      </c>
      <c r="C60" s="300">
        <f t="shared" si="17"/>
        <v>4.7431789509422533</v>
      </c>
      <c r="D60" s="300">
        <f t="shared" si="17"/>
        <v>4.7781083015375652</v>
      </c>
      <c r="E60" s="300">
        <f t="shared" si="17"/>
        <v>4.8126641535402452</v>
      </c>
      <c r="F60" s="300">
        <f t="shared" si="17"/>
        <v>4.8468098232785239</v>
      </c>
      <c r="G60" s="300">
        <f t="shared" si="17"/>
        <v>4.8805069408937758</v>
      </c>
      <c r="H60" s="300">
        <f t="shared" si="17"/>
        <v>4.9497567794348178</v>
      </c>
      <c r="I60" s="300">
        <f t="shared" si="17"/>
        <v>5.0194274963832557</v>
      </c>
      <c r="J60" s="300">
        <f t="shared" si="17"/>
        <v>5.0894941009373902</v>
      </c>
      <c r="K60" s="300">
        <f t="shared" si="17"/>
        <v>5.159929971656358</v>
      </c>
      <c r="L60" s="300">
        <f t="shared" si="17"/>
        <v>5.2307067866659231</v>
      </c>
      <c r="M60" s="300">
        <f t="shared" si="17"/>
        <v>5.3017944512764892</v>
      </c>
      <c r="N60" s="300">
        <f t="shared" si="17"/>
        <v>5.3731610229241964</v>
      </c>
      <c r="O60" s="300">
        <f t="shared" si="17"/>
        <v>5.4447726333429367</v>
      </c>
      <c r="P60" s="300">
        <f t="shared" si="17"/>
        <v>5.5165934078721568</v>
      </c>
      <c r="Q60" s="300">
        <f t="shared" si="17"/>
        <v>5.5885853818021447</v>
      </c>
      <c r="R60" s="300">
        <f t="shared" si="17"/>
        <v>5.660708413655299</v>
      </c>
      <c r="S60" s="300">
        <f t="shared" si="17"/>
        <v>5.7329200952985016</v>
      </c>
      <c r="T60" s="300">
        <f t="shared" si="17"/>
        <v>5.8051756587783299</v>
      </c>
      <c r="U60" s="300">
        <f t="shared" si="17"/>
        <v>5.8774278797672421</v>
      </c>
      <c r="V60" s="300">
        <f t="shared" si="17"/>
        <v>5.9496269775052353</v>
      </c>
      <c r="W60" s="300">
        <f t="shared" ref="W60:AF60" si="18">SUM(W53:W59)</f>
        <v>6.0217205111176968</v>
      </c>
      <c r="X60" s="300">
        <f t="shared" si="18"/>
        <v>6.0936532721862493</v>
      </c>
      <c r="Y60" s="300">
        <f t="shared" si="18"/>
        <v>6.1653671734453876</v>
      </c>
      <c r="Z60" s="300">
        <f t="shared" si="18"/>
        <v>6.2368011334735414</v>
      </c>
      <c r="AA60" s="300">
        <f t="shared" si="18"/>
        <v>6.3078909572429076</v>
      </c>
      <c r="AB60" s="300">
        <f t="shared" si="18"/>
        <v>6.3785692123880038</v>
      </c>
      <c r="AC60" s="300">
        <f t="shared" si="18"/>
        <v>6.4487651010482852</v>
      </c>
      <c r="AD60" s="300">
        <f t="shared" si="18"/>
        <v>6.5184043271355252</v>
      </c>
      <c r="AE60" s="300">
        <f t="shared" si="18"/>
        <v>6.587408958871749</v>
      </c>
      <c r="AF60" s="300">
        <f t="shared" si="18"/>
        <v>6.6556972864385306</v>
      </c>
      <c r="AG60" s="442">
        <f t="shared" si="16"/>
        <v>1.4266420168825334E-2</v>
      </c>
    </row>
    <row r="61" spans="1:33">
      <c r="A61" s="40"/>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5"/>
    </row>
    <row r="62" spans="1:33" s="5" customFormat="1" ht="13">
      <c r="A62" s="250" t="s">
        <v>79</v>
      </c>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1"/>
      <c r="AG62" s="5" t="s">
        <v>1385</v>
      </c>
    </row>
    <row r="63" spans="1:33" s="377" customFormat="1" ht="12.9" customHeight="1">
      <c r="A63" s="253" t="s">
        <v>6</v>
      </c>
      <c r="B63" s="253">
        <v>2020</v>
      </c>
      <c r="C63" s="253">
        <v>2021</v>
      </c>
      <c r="D63" s="253">
        <v>2022</v>
      </c>
      <c r="E63" s="253">
        <v>2023</v>
      </c>
      <c r="F63" s="253">
        <v>2024</v>
      </c>
      <c r="G63" s="253">
        <v>2025</v>
      </c>
      <c r="H63" s="253">
        <v>2026</v>
      </c>
      <c r="I63" s="253">
        <v>2027</v>
      </c>
      <c r="J63" s="253">
        <v>2028</v>
      </c>
      <c r="K63" s="253">
        <v>2029</v>
      </c>
      <c r="L63" s="253">
        <v>2030</v>
      </c>
      <c r="M63" s="253">
        <v>2031</v>
      </c>
      <c r="N63" s="253">
        <v>2032</v>
      </c>
      <c r="O63" s="253">
        <v>2033</v>
      </c>
      <c r="P63" s="253">
        <v>2034</v>
      </c>
      <c r="Q63" s="253">
        <v>2035</v>
      </c>
      <c r="R63" s="253">
        <v>2036</v>
      </c>
      <c r="S63" s="253">
        <v>2037</v>
      </c>
      <c r="T63" s="253">
        <v>2038</v>
      </c>
      <c r="U63" s="253">
        <v>2039</v>
      </c>
      <c r="V63" s="253">
        <v>2040</v>
      </c>
      <c r="W63" s="253">
        <v>2041</v>
      </c>
      <c r="X63" s="253">
        <v>2042</v>
      </c>
      <c r="Y63" s="253">
        <v>2043</v>
      </c>
      <c r="Z63" s="253">
        <v>2044</v>
      </c>
      <c r="AA63" s="253">
        <v>2045</v>
      </c>
      <c r="AB63" s="253">
        <v>2046</v>
      </c>
      <c r="AC63" s="253">
        <v>2047</v>
      </c>
      <c r="AD63" s="253">
        <v>2048</v>
      </c>
      <c r="AE63" s="253">
        <v>2049</v>
      </c>
      <c r="AF63" s="253">
        <v>2050</v>
      </c>
      <c r="AG63" s="436" t="s">
        <v>290</v>
      </c>
    </row>
    <row r="64" spans="1:33">
      <c r="A64" s="40" t="s">
        <v>1242</v>
      </c>
      <c r="B64" s="300">
        <f>'Adjusted Consumption'!B70*parameters!$B$87</f>
        <v>1.3303228173719447E-2</v>
      </c>
      <c r="C64" s="300">
        <f>'Adjusted Consumption'!C70*parameters!$B$87</f>
        <v>1.3161279474626588E-2</v>
      </c>
      <c r="D64" s="300">
        <f>'Adjusted Consumption'!D70*parameters!$B$87</f>
        <v>1.2922383087905505E-2</v>
      </c>
      <c r="E64" s="300">
        <f>'Adjusted Consumption'!E70*parameters!$B$87</f>
        <v>1.2746285577791529E-2</v>
      </c>
      <c r="F64" s="300">
        <f>'Adjusted Consumption'!F70*parameters!$B$87</f>
        <v>1.2506553881740367E-2</v>
      </c>
      <c r="G64" s="300">
        <f>'Adjusted Consumption'!G70*parameters!$B$87</f>
        <v>1.2208746005591383E-2</v>
      </c>
      <c r="H64" s="300">
        <f>'Adjusted Consumption'!H70*parameters!$B$87</f>
        <v>1.1989347344324729E-2</v>
      </c>
      <c r="I64" s="300">
        <f>'Adjusted Consumption'!I70*parameters!$B$87</f>
        <v>1.1832530256809819E-2</v>
      </c>
      <c r="J64" s="300">
        <f>'Adjusted Consumption'!J70*parameters!$B$87</f>
        <v>1.1638510689558425E-2</v>
      </c>
      <c r="K64" s="300">
        <f>'Adjusted Consumption'!K70*parameters!$B$87</f>
        <v>1.1524323972345173E-2</v>
      </c>
      <c r="L64" s="300">
        <f>'Adjusted Consumption'!L70*parameters!$B$87</f>
        <v>1.1408000931927099E-2</v>
      </c>
      <c r="M64" s="300">
        <f>'Adjusted Consumption'!M70*parameters!$B$87</f>
        <v>1.130312228421259E-2</v>
      </c>
      <c r="N64" s="300">
        <f>'Adjusted Consumption'!N70*parameters!$B$87</f>
        <v>1.1262763059663387E-2</v>
      </c>
      <c r="O64" s="300">
        <f>'Adjusted Consumption'!O70*parameters!$B$87</f>
        <v>1.1225400078599089E-2</v>
      </c>
      <c r="P64" s="300">
        <f>'Adjusted Consumption'!P70*parameters!$B$87</f>
        <v>1.1266875695815828E-2</v>
      </c>
      <c r="Q64" s="300">
        <f>'Adjusted Consumption'!Q70*parameters!$B$87</f>
        <v>1.1342592195296302E-2</v>
      </c>
      <c r="R64" s="300">
        <f>'Adjusted Consumption'!R70*parameters!$B$87</f>
        <v>1.1493166088421937E-2</v>
      </c>
      <c r="S64" s="300">
        <f>'Adjusted Consumption'!S70*parameters!$B$87</f>
        <v>1.1644232504296716E-2</v>
      </c>
      <c r="T64" s="300">
        <f>'Adjusted Consumption'!T70*parameters!$B$87</f>
        <v>1.1837797262827304E-2</v>
      </c>
      <c r="U64" s="300">
        <f>'Adjusted Consumption'!U70*parameters!$B$87</f>
        <v>1.203158843404566E-2</v>
      </c>
      <c r="V64" s="300">
        <f>'Adjusted Consumption'!V70*parameters!$B$87</f>
        <v>1.2231804337108821E-2</v>
      </c>
      <c r="W64" s="300">
        <f>'Adjusted Consumption'!W70*parameters!$B$87</f>
        <v>1.2461775447007183E-2</v>
      </c>
      <c r="X64" s="300">
        <f>'Adjusted Consumption'!X70*parameters!$B$87</f>
        <v>1.268762892667593E-2</v>
      </c>
      <c r="Y64" s="300">
        <f>'Adjusted Consumption'!Y70*parameters!$B$87</f>
        <v>1.2904563107758778E-2</v>
      </c>
      <c r="Z64" s="300">
        <f>'Adjusted Consumption'!Z70*parameters!$B$87</f>
        <v>1.3128737792107952E-2</v>
      </c>
      <c r="AA64" s="300">
        <f>'Adjusted Consumption'!AA70*parameters!$B$87</f>
        <v>1.3364883021688171E-2</v>
      </c>
      <c r="AB64" s="300">
        <f>'Adjusted Consumption'!AB70*parameters!$B$87</f>
        <v>1.3620956239416929E-2</v>
      </c>
      <c r="AC64" s="300">
        <f>'Adjusted Consumption'!AC70*parameters!$B$87</f>
        <v>1.3907495836294047E-2</v>
      </c>
      <c r="AD64" s="300">
        <f>'Adjusted Consumption'!AD70*parameters!$B$87</f>
        <v>1.4159454318724226E-2</v>
      </c>
      <c r="AE64" s="300">
        <f>'Adjusted Consumption'!AE70*parameters!$B$87</f>
        <v>1.4433051584455812E-2</v>
      </c>
      <c r="AF64" s="300">
        <f>'Adjusted Consumption'!AF70*parameters!$B$87</f>
        <v>1.4745449523033728E-2</v>
      </c>
      <c r="AG64" s="442">
        <f>((AF64-B64)/B64)/29</f>
        <v>3.7383235119017879E-3</v>
      </c>
    </row>
    <row r="65" spans="1:34">
      <c r="A65" s="40" t="s">
        <v>1257</v>
      </c>
      <c r="B65" s="300">
        <f>'Adjusted Consumption'!B71*parameters!$B$92</f>
        <v>2.1775545087616983E-2</v>
      </c>
      <c r="C65" s="300">
        <f>'Adjusted Consumption'!C71*parameters!$B$92</f>
        <v>2.6538894591790853E-2</v>
      </c>
      <c r="D65" s="300">
        <f>'Adjusted Consumption'!D71*parameters!$B$92</f>
        <v>3.0381220420877535E-2</v>
      </c>
      <c r="E65" s="300">
        <f>'Adjusted Consumption'!E71*parameters!$B$92</f>
        <v>3.378126252795044E-2</v>
      </c>
      <c r="F65" s="300">
        <f>'Adjusted Consumption'!F71*parameters!$B$92</f>
        <v>4.6872122112704778E-2</v>
      </c>
      <c r="G65" s="300">
        <f>'Adjusted Consumption'!G71*parameters!$B$92</f>
        <v>6.1963309538178815E-2</v>
      </c>
      <c r="H65" s="300">
        <f>'Adjusted Consumption'!H71*parameters!$B$92</f>
        <v>6.3594613870666269E-2</v>
      </c>
      <c r="I65" s="300">
        <f>'Adjusted Consumption'!I71*parameters!$B$92</f>
        <v>7.1354129608863157E-2</v>
      </c>
      <c r="J65" s="300">
        <f>'Adjusted Consumption'!J71*parameters!$B$92</f>
        <v>7.6815202358823553E-2</v>
      </c>
      <c r="K65" s="300">
        <f>'Adjusted Consumption'!K71*parameters!$B$92</f>
        <v>9.4910711390538249E-2</v>
      </c>
      <c r="L65" s="300">
        <f>'Adjusted Consumption'!L71*parameters!$B$92</f>
        <v>0.10259896063748795</v>
      </c>
      <c r="M65" s="300">
        <f>'Adjusted Consumption'!M71*parameters!$B$92</f>
        <v>0.10727223002175261</v>
      </c>
      <c r="N65" s="300">
        <f>'Adjusted Consumption'!N71*parameters!$B$92</f>
        <v>0.10846911884366378</v>
      </c>
      <c r="O65" s="300">
        <f>'Adjusted Consumption'!O71*parameters!$B$92</f>
        <v>0.11051648738690366</v>
      </c>
      <c r="P65" s="300">
        <f>'Adjusted Consumption'!P71*parameters!$B$92</f>
        <v>0.11506638348708223</v>
      </c>
      <c r="Q65" s="300">
        <f>'Adjusted Consumption'!Q71*parameters!$B$92</f>
        <v>0.11604668410152437</v>
      </c>
      <c r="R65" s="300">
        <f>'Adjusted Consumption'!R71*parameters!$B$92</f>
        <v>0.12062728391273742</v>
      </c>
      <c r="S65" s="300">
        <f>'Adjusted Consumption'!S71*parameters!$B$92</f>
        <v>0.12392328663063666</v>
      </c>
      <c r="T65" s="300">
        <f>'Adjusted Consumption'!T71*parameters!$B$92</f>
        <v>0.12654926349972187</v>
      </c>
      <c r="U65" s="300">
        <f>'Adjusted Consumption'!U71*parameters!$B$92</f>
        <v>0.12654166242926429</v>
      </c>
      <c r="V65" s="300">
        <f>'Adjusted Consumption'!V71*parameters!$B$92</f>
        <v>0.12654452619311529</v>
      </c>
      <c r="W65" s="300">
        <f>'Adjusted Consumption'!W71*parameters!$B$92</f>
        <v>0.12346339853831295</v>
      </c>
      <c r="X65" s="300">
        <f>'Adjusted Consumption'!X71*parameters!$B$92</f>
        <v>0.12023019897713869</v>
      </c>
      <c r="Y65" s="300">
        <f>'Adjusted Consumption'!Y71*parameters!$B$92</f>
        <v>0.11400460347574115</v>
      </c>
      <c r="Z65" s="300">
        <f>'Adjusted Consumption'!Z71*parameters!$B$92</f>
        <v>0.10832224408501209</v>
      </c>
      <c r="AA65" s="300">
        <f>'Adjusted Consumption'!AA71*parameters!$B$92</f>
        <v>0.10401092806539179</v>
      </c>
      <c r="AB65" s="300">
        <f>'Adjusted Consumption'!AB71*parameters!$B$92</f>
        <v>9.2208412913034873E-2</v>
      </c>
      <c r="AC65" s="300">
        <f>'Adjusted Consumption'!AC71*parameters!$B$92</f>
        <v>7.5166764959014795E-2</v>
      </c>
      <c r="AD65" s="300">
        <f>'Adjusted Consumption'!AD71*parameters!$B$92</f>
        <v>6.4938544282216876E-2</v>
      </c>
      <c r="AE65" s="300">
        <f>'Adjusted Consumption'!AE71*parameters!$B$92</f>
        <v>6.3653840766661238E-2</v>
      </c>
      <c r="AF65" s="300">
        <f>'Adjusted Consumption'!AF71*parameters!$B$92</f>
        <v>6.2671043652149372E-2</v>
      </c>
      <c r="AG65" s="442">
        <f t="shared" ref="AG65:AG75" si="19">((AF65-B65)/B65)/29</f>
        <v>6.4760243658628674E-2</v>
      </c>
    </row>
    <row r="66" spans="1:34">
      <c r="A66" s="40" t="s">
        <v>0</v>
      </c>
      <c r="B66" s="300">
        <f>'Adjusted Consumption'!B72*ramps!C110</f>
        <v>21.505554842191813</v>
      </c>
      <c r="C66" s="300">
        <f>'Adjusted Consumption'!C72*ramps!D110</f>
        <v>21.101589845074319</v>
      </c>
      <c r="D66" s="300">
        <f>'Adjusted Consumption'!D72*ramps!E110</f>
        <v>20.642766363300044</v>
      </c>
      <c r="E66" s="300">
        <f>'Adjusted Consumption'!E72*ramps!F110</f>
        <v>20.181594255111584</v>
      </c>
      <c r="F66" s="300">
        <f>'Adjusted Consumption'!F72*ramps!G110</f>
        <v>19.789279732745172</v>
      </c>
      <c r="G66" s="300">
        <f>'Adjusted Consumption'!G72*ramps!H110</f>
        <v>19.23628944250833</v>
      </c>
      <c r="H66" s="300">
        <f>'Adjusted Consumption'!H72*ramps!I110</f>
        <v>18.737624063870065</v>
      </c>
      <c r="I66" s="300">
        <f>'Adjusted Consumption'!I72*ramps!J110</f>
        <v>18.243779526073308</v>
      </c>
      <c r="J66" s="300">
        <f>'Adjusted Consumption'!J72*ramps!K110</f>
        <v>17.762255857162735</v>
      </c>
      <c r="K66" s="300">
        <f>'Adjusted Consumption'!K72*ramps!L110</f>
        <v>17.279355361192508</v>
      </c>
      <c r="L66" s="300">
        <f>'Adjusted Consumption'!L72*ramps!M110</f>
        <v>16.90558141821834</v>
      </c>
      <c r="M66" s="300">
        <f>'Adjusted Consumption'!M72*ramps!N110</f>
        <v>16.553574721994174</v>
      </c>
      <c r="N66" s="300">
        <f>'Adjusted Consumption'!N72*ramps!O110</f>
        <v>16.243300180949294</v>
      </c>
      <c r="O66" s="300">
        <f>'Adjusted Consumption'!O72*ramps!P110</f>
        <v>15.941027900729138</v>
      </c>
      <c r="P66" s="300">
        <f>'Adjusted Consumption'!P72*ramps!Q110</f>
        <v>15.702881575252764</v>
      </c>
      <c r="Q66" s="300">
        <f>'Adjusted Consumption'!Q72*ramps!R110</f>
        <v>15.52034263777554</v>
      </c>
      <c r="R66" s="300">
        <f>'Adjusted Consumption'!R72*ramps!S110</f>
        <v>15.35950315170186</v>
      </c>
      <c r="S66" s="300">
        <f>'Adjusted Consumption'!S72*ramps!T110</f>
        <v>15.248810683295117</v>
      </c>
      <c r="T66" s="300">
        <f>'Adjusted Consumption'!T72*ramps!U110</f>
        <v>15.154658730287682</v>
      </c>
      <c r="U66" s="300">
        <f>'Adjusted Consumption'!U72*ramps!V110</f>
        <v>15.094857350306718</v>
      </c>
      <c r="V66" s="300">
        <f>'Adjusted Consumption'!V72*ramps!W110</f>
        <v>15.049890856783405</v>
      </c>
      <c r="W66" s="300">
        <f>'Adjusted Consumption'!W72*ramps!X110</f>
        <v>15.028589781967</v>
      </c>
      <c r="X66" s="300">
        <f>'Adjusted Consumption'!X72*ramps!Y110</f>
        <v>15.008654291393023</v>
      </c>
      <c r="Y66" s="300">
        <f>'Adjusted Consumption'!Y72*ramps!Z110</f>
        <v>15.002608254909733</v>
      </c>
      <c r="Z66" s="300">
        <f>'Adjusted Consumption'!Z72*ramps!AA110</f>
        <v>15.003693276241691</v>
      </c>
      <c r="AA66" s="300">
        <f>'Adjusted Consumption'!AA72*ramps!AB110</f>
        <v>15.004179923299814</v>
      </c>
      <c r="AB66" s="300">
        <f>'Adjusted Consumption'!AB72*ramps!AC110</f>
        <v>15.021258297641992</v>
      </c>
      <c r="AC66" s="300">
        <f>'Adjusted Consumption'!AC72*ramps!AD110</f>
        <v>15.060497427020296</v>
      </c>
      <c r="AD66" s="300">
        <f>'Adjusted Consumption'!AD72*ramps!AE110</f>
        <v>15.08328697695452</v>
      </c>
      <c r="AE66" s="300">
        <f>'Adjusted Consumption'!AE72*ramps!AF110</f>
        <v>15.076626807565173</v>
      </c>
      <c r="AF66" s="300">
        <f>'Adjusted Consumption'!AF72*ramps!AG110</f>
        <v>15.067396447161444</v>
      </c>
      <c r="AG66" s="442">
        <f t="shared" si="19"/>
        <v>-1.0323168294269987E-2</v>
      </c>
    </row>
    <row r="67" spans="1:34">
      <c r="A67" s="40" t="s">
        <v>3</v>
      </c>
      <c r="B67" s="300">
        <f>'Adjusted Consumption'!B73*parameters!$B$84</f>
        <v>7.4292683431161084</v>
      </c>
      <c r="C67" s="300">
        <f>'Adjusted Consumption'!C73*parameters!$B$84</f>
        <v>7.4938172819490623</v>
      </c>
      <c r="D67" s="300">
        <f>'Adjusted Consumption'!D73*parameters!$B$84</f>
        <v>7.5529230597927883</v>
      </c>
      <c r="E67" s="300">
        <f>'Adjusted Consumption'!E73*parameters!$B$84</f>
        <v>7.5995794633598814</v>
      </c>
      <c r="F67" s="300">
        <f>'Adjusted Consumption'!F73*parameters!$B$84</f>
        <v>7.6621972132246388</v>
      </c>
      <c r="G67" s="300">
        <f>'Adjusted Consumption'!G73*parameters!$B$84</f>
        <v>7.7477502690531104</v>
      </c>
      <c r="H67" s="300">
        <f>'Adjusted Consumption'!H73*parameters!$B$84</f>
        <v>7.8335996249555304</v>
      </c>
      <c r="I67" s="300">
        <f>'Adjusted Consumption'!I73*parameters!$B$84</f>
        <v>7.9153048799062278</v>
      </c>
      <c r="J67" s="300">
        <f>'Adjusted Consumption'!J73*parameters!$B$84</f>
        <v>8.0244883601079362</v>
      </c>
      <c r="K67" s="300">
        <f>'Adjusted Consumption'!K73*parameters!$B$84</f>
        <v>8.1111531300988897</v>
      </c>
      <c r="L67" s="300">
        <f>'Adjusted Consumption'!L73*parameters!$B$84</f>
        <v>8.2013141002291512</v>
      </c>
      <c r="M67" s="300">
        <f>'Adjusted Consumption'!M73*parameters!$B$84</f>
        <v>8.2944507233621216</v>
      </c>
      <c r="N67" s="300">
        <f>'Adjusted Consumption'!N73*parameters!$B$84</f>
        <v>8.3826153824381731</v>
      </c>
      <c r="O67" s="300">
        <f>'Adjusted Consumption'!O73*parameters!$B$84</f>
        <v>8.4689490464340071</v>
      </c>
      <c r="P67" s="300">
        <f>'Adjusted Consumption'!P73*parameters!$B$84</f>
        <v>8.5603156359005297</v>
      </c>
      <c r="Q67" s="300">
        <f>'Adjusted Consumption'!Q73*parameters!$B$84</f>
        <v>8.6503137159076786</v>
      </c>
      <c r="R67" s="300">
        <f>'Adjusted Consumption'!R73*parameters!$B$84</f>
        <v>8.7403761839512608</v>
      </c>
      <c r="S67" s="300">
        <f>'Adjusted Consumption'!S73*parameters!$B$84</f>
        <v>8.8311466012087685</v>
      </c>
      <c r="T67" s="300">
        <f>'Adjusted Consumption'!T73*parameters!$B$84</f>
        <v>8.9233578955846546</v>
      </c>
      <c r="U67" s="300">
        <f>'Adjusted Consumption'!U73*parameters!$B$84</f>
        <v>9.0147587132127107</v>
      </c>
      <c r="V67" s="300">
        <f>'Adjusted Consumption'!V73*parameters!$B$84</f>
        <v>9.1098135351018747</v>
      </c>
      <c r="W67" s="300">
        <f>'Adjusted Consumption'!W73*parameters!$B$84</f>
        <v>9.2048609102849674</v>
      </c>
      <c r="X67" s="300">
        <f>'Adjusted Consumption'!X73*parameters!$B$84</f>
        <v>9.2925700623748604</v>
      </c>
      <c r="Y67" s="300">
        <f>'Adjusted Consumption'!Y73*parameters!$B$84</f>
        <v>9.3830408620844903</v>
      </c>
      <c r="Z67" s="300">
        <f>'Adjusted Consumption'!Z73*parameters!$B$84</f>
        <v>9.4709705141626159</v>
      </c>
      <c r="AA67" s="300">
        <f>'Adjusted Consumption'!AA73*parameters!$B$84</f>
        <v>9.5635832026227234</v>
      </c>
      <c r="AB67" s="300">
        <f>'Adjusted Consumption'!AB73*parameters!$B$84</f>
        <v>9.6541185883484761</v>
      </c>
      <c r="AC67" s="300">
        <f>'Adjusted Consumption'!AC73*parameters!$B$84</f>
        <v>9.7444568380306702</v>
      </c>
      <c r="AD67" s="300">
        <f>'Adjusted Consumption'!AD73*parameters!$B$84</f>
        <v>9.8297624269833701</v>
      </c>
      <c r="AE67" s="300">
        <f>'Adjusted Consumption'!AE73*parameters!$B$84</f>
        <v>9.9109284336205139</v>
      </c>
      <c r="AF67" s="300">
        <f>'Adjusted Consumption'!AF73*parameters!$B$84</f>
        <v>9.9875659309416278</v>
      </c>
      <c r="AG67" s="442">
        <f t="shared" si="19"/>
        <v>1.1874272691014208E-2</v>
      </c>
    </row>
    <row r="68" spans="1:34">
      <c r="A68" s="40" t="s">
        <v>1243</v>
      </c>
      <c r="B68" s="300">
        <f>'Adjusted Consumption'!B74*ramps!C111</f>
        <v>10.409963832624301</v>
      </c>
      <c r="C68" s="300">
        <f>'Adjusted Consumption'!C74*ramps!D111</f>
        <v>10.343294752751929</v>
      </c>
      <c r="D68" s="300">
        <f>'Adjusted Consumption'!D74*ramps!E111</f>
        <v>10.035112076184561</v>
      </c>
      <c r="E68" s="300">
        <f>'Adjusted Consumption'!E74*ramps!F111</f>
        <v>9.9251698655836424</v>
      </c>
      <c r="F68" s="300">
        <f>'Adjusted Consumption'!F74*ramps!G111</f>
        <v>9.8571779663438175</v>
      </c>
      <c r="G68" s="300">
        <f>'Adjusted Consumption'!G74*ramps!H111</f>
        <v>9.802883435203638</v>
      </c>
      <c r="H68" s="300">
        <f>'Adjusted Consumption'!H74*ramps!I111</f>
        <v>9.7592782185507811</v>
      </c>
      <c r="I68" s="300">
        <f>'Adjusted Consumption'!I74*ramps!J111</f>
        <v>9.6732806397930879</v>
      </c>
      <c r="J68" s="300">
        <f>'Adjusted Consumption'!J74*ramps!K111</f>
        <v>9.5941175626996387</v>
      </c>
      <c r="K68" s="300">
        <f>'Adjusted Consumption'!K74*ramps!L111</f>
        <v>9.4913448228753943</v>
      </c>
      <c r="L68" s="300">
        <f>'Adjusted Consumption'!L74*ramps!M111</f>
        <v>9.4521522184010482</v>
      </c>
      <c r="M68" s="300">
        <f>'Adjusted Consumption'!M74*ramps!N111</f>
        <v>9.3915168719451199</v>
      </c>
      <c r="N68" s="300">
        <f>'Adjusted Consumption'!N74*ramps!O111</f>
        <v>9.3240290148659195</v>
      </c>
      <c r="O68" s="300">
        <f>'Adjusted Consumption'!O74*ramps!P111</f>
        <v>9.2555400483832724</v>
      </c>
      <c r="P68" s="300">
        <f>'Adjusted Consumption'!P74*ramps!Q111</f>
        <v>9.235395393217674</v>
      </c>
      <c r="Q68" s="300">
        <f>'Adjusted Consumption'!Q74*ramps!R111</f>
        <v>9.3002261017648298</v>
      </c>
      <c r="R68" s="300">
        <f>'Adjusted Consumption'!R74*ramps!S111</f>
        <v>9.3149012504652564</v>
      </c>
      <c r="S68" s="300">
        <f>'Adjusted Consumption'!S74*ramps!T111</f>
        <v>9.3531497875149228</v>
      </c>
      <c r="T68" s="300">
        <f>'Adjusted Consumption'!T74*ramps!U111</f>
        <v>9.3881509664698619</v>
      </c>
      <c r="U68" s="300">
        <f>'Adjusted Consumption'!U74*ramps!V111</f>
        <v>9.4216506721629685</v>
      </c>
      <c r="V68" s="300">
        <f>'Adjusted Consumption'!V74*ramps!W111</f>
        <v>9.4490033400368141</v>
      </c>
      <c r="W68" s="300">
        <f>'Adjusted Consumption'!W74*ramps!X111</f>
        <v>9.4859934667657537</v>
      </c>
      <c r="X68" s="300">
        <f>'Adjusted Consumption'!X74*ramps!Y111</f>
        <v>9.5051505062379142</v>
      </c>
      <c r="Y68" s="300">
        <f>'Adjusted Consumption'!Y74*ramps!Z111</f>
        <v>9.5228173636315692</v>
      </c>
      <c r="Z68" s="300">
        <f>'Adjusted Consumption'!Z74*ramps!AA111</f>
        <v>9.5892511011686778</v>
      </c>
      <c r="AA68" s="300">
        <f>'Adjusted Consumption'!AA74*ramps!AB111</f>
        <v>9.6324657558684219</v>
      </c>
      <c r="AB68" s="300">
        <f>'Adjusted Consumption'!AB74*ramps!AC111</f>
        <v>9.6850677880197242</v>
      </c>
      <c r="AC68" s="300">
        <f>'Adjusted Consumption'!AC74*ramps!AD111</f>
        <v>9.7326134056505857</v>
      </c>
      <c r="AD68" s="300">
        <f>'Adjusted Consumption'!AD74*ramps!AE111</f>
        <v>9.7806236891949467</v>
      </c>
      <c r="AE68" s="300">
        <f>'Adjusted Consumption'!AE74*ramps!AF111</f>
        <v>9.8138679920612422</v>
      </c>
      <c r="AF68" s="300">
        <f>'Adjusted Consumption'!AF74*ramps!AG111</f>
        <v>9.8551487336470451</v>
      </c>
      <c r="AG68" s="442">
        <f t="shared" si="19"/>
        <v>-1.8378118737732247E-3</v>
      </c>
    </row>
    <row r="69" spans="1:34">
      <c r="A69" s="40" t="s">
        <v>254</v>
      </c>
      <c r="B69" s="300">
        <f>'Adjusted Consumption'!B75*parameters!$B$94</f>
        <v>2.7661968672006916</v>
      </c>
      <c r="C69" s="300">
        <f>'Adjusted Consumption'!C75*parameters!$B$94</f>
        <v>3.3006962004711169</v>
      </c>
      <c r="D69" s="300">
        <f>'Adjusted Consumption'!D75*parameters!$B$94</f>
        <v>4.3950708227296689</v>
      </c>
      <c r="E69" s="300">
        <f>'Adjusted Consumption'!E75*parameters!$B$94</f>
        <v>4.6014009001125835</v>
      </c>
      <c r="F69" s="300">
        <f>'Adjusted Consumption'!F75*parameters!$B$94</f>
        <v>4.7057854419747809</v>
      </c>
      <c r="G69" s="300">
        <f>'Adjusted Consumption'!G75*parameters!$B$94</f>
        <v>4.7990927272075297</v>
      </c>
      <c r="H69" s="300">
        <f>'Adjusted Consumption'!H75*parameters!$B$94</f>
        <v>4.7130747861455795</v>
      </c>
      <c r="I69" s="300">
        <f>'Adjusted Consumption'!I75*parameters!$B$94</f>
        <v>4.640984245533005</v>
      </c>
      <c r="J69" s="300">
        <f>'Adjusted Consumption'!J75*parameters!$B$94</f>
        <v>4.5978830210741481</v>
      </c>
      <c r="K69" s="300">
        <f>'Adjusted Consumption'!K75*parameters!$B$94</f>
        <v>4.6233736852603515</v>
      </c>
      <c r="L69" s="300">
        <f>'Adjusted Consumption'!L75*parameters!$B$94</f>
        <v>4.4690186797792366</v>
      </c>
      <c r="M69" s="300">
        <f>'Adjusted Consumption'!M75*parameters!$B$94</f>
        <v>4.4458044291625844</v>
      </c>
      <c r="N69" s="300">
        <f>'Adjusted Consumption'!N75*parameters!$B$94</f>
        <v>4.4312425942923577</v>
      </c>
      <c r="O69" s="300">
        <f>'Adjusted Consumption'!O75*parameters!$B$94</f>
        <v>4.4189823945260027</v>
      </c>
      <c r="P69" s="300">
        <f>'Adjusted Consumption'!P75*parameters!$B$94</f>
        <v>4.3900630606843363</v>
      </c>
      <c r="Q69" s="300">
        <f>'Adjusted Consumption'!Q75*parameters!$B$94</f>
        <v>4.1074125049803385</v>
      </c>
      <c r="R69" s="300">
        <f>'Adjusted Consumption'!R75*parameters!$B$94</f>
        <v>4.0867866501031864</v>
      </c>
      <c r="S69" s="300">
        <f>'Adjusted Consumption'!S75*parameters!$B$94</f>
        <v>4.017867106306249</v>
      </c>
      <c r="T69" s="300">
        <f>'Adjusted Consumption'!T75*parameters!$B$94</f>
        <v>3.9957110759357066</v>
      </c>
      <c r="U69" s="300">
        <f>'Adjusted Consumption'!U75*parameters!$B$94</f>
        <v>3.9761306462429582</v>
      </c>
      <c r="V69" s="300">
        <f>'Adjusted Consumption'!V75*parameters!$B$94</f>
        <v>3.961178706920363</v>
      </c>
      <c r="W69" s="300">
        <f>'Adjusted Consumption'!W75*parameters!$B$94</f>
        <v>3.9399102523474641</v>
      </c>
      <c r="X69" s="300">
        <f>'Adjusted Consumption'!X75*parameters!$B$94</f>
        <v>3.897340722881212</v>
      </c>
      <c r="Y69" s="300">
        <f>'Adjusted Consumption'!Y75*parameters!$B$94</f>
        <v>4.0133317941060875</v>
      </c>
      <c r="Z69" s="300">
        <f>'Adjusted Consumption'!Z75*parameters!$B$94</f>
        <v>3.8757745879371663</v>
      </c>
      <c r="AA69" s="300">
        <f>'Adjusted Consumption'!AA75*parameters!$B$94</f>
        <v>3.8672203122277442</v>
      </c>
      <c r="AB69" s="300">
        <f>'Adjusted Consumption'!AB75*parameters!$B$94</f>
        <v>3.7928437864566358</v>
      </c>
      <c r="AC69" s="300">
        <f>'Adjusted Consumption'!AC75*parameters!$B$94</f>
        <v>3.7785353167562263</v>
      </c>
      <c r="AD69" s="300">
        <f>'Adjusted Consumption'!AD75*parameters!$B$94</f>
        <v>3.7701446864823955</v>
      </c>
      <c r="AE69" s="300">
        <f>'Adjusted Consumption'!AE75*parameters!$B$94</f>
        <v>3.7741274973535432</v>
      </c>
      <c r="AF69" s="300">
        <f>'Adjusted Consumption'!AF75*parameters!$B$94</f>
        <v>3.7582311302487548</v>
      </c>
      <c r="AG69" s="442">
        <f t="shared" si="19"/>
        <v>1.2366465468076992E-2</v>
      </c>
    </row>
    <row r="70" spans="1:34">
      <c r="A70" s="40" t="s">
        <v>1247</v>
      </c>
      <c r="B70" s="300">
        <f>'Adjusted Consumption'!B76*parameters!$B$84</f>
        <v>5.3439295246424726E-2</v>
      </c>
      <c r="C70" s="300">
        <f>'Adjusted Consumption'!C76*parameters!$B$84</f>
        <v>5.3377105582385453E-2</v>
      </c>
      <c r="D70" s="300">
        <f>'Adjusted Consumption'!D76*parameters!$B$84</f>
        <v>5.3262658934809998E-2</v>
      </c>
      <c r="E70" s="300">
        <f>'Adjusted Consumption'!E76*parameters!$B$84</f>
        <v>5.3159879196437082E-2</v>
      </c>
      <c r="F70" s="300">
        <f>'Adjusted Consumption'!F76*parameters!$B$84</f>
        <v>5.3091691036854342E-2</v>
      </c>
      <c r="G70" s="300">
        <f>'Adjusted Consumption'!G76*parameters!$B$84</f>
        <v>5.2996037925647568E-2</v>
      </c>
      <c r="H70" s="300">
        <f>'Adjusted Consumption'!H76*parameters!$B$84</f>
        <v>5.2911678087931895E-2</v>
      </c>
      <c r="I70" s="300">
        <f>'Adjusted Consumption'!I76*parameters!$B$84</f>
        <v>5.2835512592252394E-2</v>
      </c>
      <c r="J70" s="300">
        <f>'Adjusted Consumption'!J76*parameters!$B$84</f>
        <v>5.276971719621032E-2</v>
      </c>
      <c r="K70" s="300">
        <f>'Adjusted Consumption'!K76*parameters!$B$84</f>
        <v>5.2726990795662641E-2</v>
      </c>
      <c r="L70" s="300">
        <f>'Adjusted Consumption'!L76*parameters!$B$84</f>
        <v>5.2731027771122436E-2</v>
      </c>
      <c r="M70" s="300">
        <f>'Adjusted Consumption'!M76*parameters!$B$84</f>
        <v>5.2767681828371424E-2</v>
      </c>
      <c r="N70" s="300">
        <f>'Adjusted Consumption'!N76*parameters!$B$84</f>
        <v>5.2780882151299495E-2</v>
      </c>
      <c r="O70" s="300">
        <f>'Adjusted Consumption'!O76*parameters!$B$84</f>
        <v>5.2797281409395776E-2</v>
      </c>
      <c r="P70" s="300">
        <f>'Adjusted Consumption'!P76*parameters!$B$84</f>
        <v>5.2858724804843646E-2</v>
      </c>
      <c r="Q70" s="300">
        <f>'Adjusted Consumption'!Q76*parameters!$B$84</f>
        <v>5.2923959214588132E-2</v>
      </c>
      <c r="R70" s="300">
        <f>'Adjusted Consumption'!R76*parameters!$B$84</f>
        <v>5.2995824939981548E-2</v>
      </c>
      <c r="S70" s="300">
        <f>'Adjusted Consumption'!S76*parameters!$B$84</f>
        <v>5.3078494285391686E-2</v>
      </c>
      <c r="T70" s="300">
        <f>'Adjusted Consumption'!T76*parameters!$B$84</f>
        <v>5.3156269792380875E-2</v>
      </c>
      <c r="U70" s="300">
        <f>'Adjusted Consumption'!U76*parameters!$B$84</f>
        <v>5.323468556063024E-2</v>
      </c>
      <c r="V70" s="300">
        <f>'Adjusted Consumption'!V76*parameters!$B$84</f>
        <v>5.3341216592966437E-2</v>
      </c>
      <c r="W70" s="300">
        <f>'Adjusted Consumption'!W76*parameters!$B$84</f>
        <v>5.3443466892389713E-2</v>
      </c>
      <c r="X70" s="300">
        <f>'Adjusted Consumption'!X76*parameters!$B$84</f>
        <v>5.3510819865033345E-2</v>
      </c>
      <c r="Y70" s="300">
        <f>'Adjusted Consumption'!Y76*parameters!$B$84</f>
        <v>5.3551974562735694E-2</v>
      </c>
      <c r="Z70" s="300">
        <f>'Adjusted Consumption'!Z76*parameters!$B$84</f>
        <v>5.358251975966425E-2</v>
      </c>
      <c r="AA70" s="300">
        <f>'Adjusted Consumption'!AA76*parameters!$B$84</f>
        <v>5.3606583038177003E-2</v>
      </c>
      <c r="AB70" s="300">
        <f>'Adjusted Consumption'!AB76*parameters!$B$84</f>
        <v>5.3619543490497877E-2</v>
      </c>
      <c r="AC70" s="300">
        <f>'Adjusted Consumption'!AC76*parameters!$B$84</f>
        <v>5.3591526155702528E-2</v>
      </c>
      <c r="AD70" s="300">
        <f>'Adjusted Consumption'!AD76*parameters!$B$84</f>
        <v>5.3521686976432163E-2</v>
      </c>
      <c r="AE70" s="300">
        <f>'Adjusted Consumption'!AE76*parameters!$B$84</f>
        <v>5.344323105396153E-2</v>
      </c>
      <c r="AF70" s="300">
        <f>'Adjusted Consumption'!AF76*parameters!$B$84</f>
        <v>5.3350145995567762E-2</v>
      </c>
      <c r="AG70" s="442">
        <f t="shared" si="19"/>
        <v>-5.752531137134829E-5</v>
      </c>
    </row>
    <row r="71" spans="1:34">
      <c r="A71" s="40" t="s">
        <v>1258</v>
      </c>
      <c r="B71" s="300">
        <f>'Adjusted Consumption'!B77*parameters!$B$76</f>
        <v>0.47768363809565451</v>
      </c>
      <c r="C71" s="300">
        <f>'Adjusted Consumption'!C77*parameters!$B$76</f>
        <v>0.48927623275412152</v>
      </c>
      <c r="D71" s="300">
        <f>'Adjusted Consumption'!D77*parameters!$B$76</f>
        <v>0.48121666471163155</v>
      </c>
      <c r="E71" s="300">
        <f>'Adjusted Consumption'!E77*parameters!$B$76</f>
        <v>0.47988427754691076</v>
      </c>
      <c r="F71" s="300">
        <f>'Adjusted Consumption'!F77*parameters!$B$76</f>
        <v>0.4764903863318608</v>
      </c>
      <c r="G71" s="300">
        <f>'Adjusted Consumption'!G77*parameters!$B$76</f>
        <v>0.47750255213839249</v>
      </c>
      <c r="H71" s="300">
        <f>'Adjusted Consumption'!H77*parameters!$B$76</f>
        <v>0.47776886740557301</v>
      </c>
      <c r="I71" s="300">
        <f>'Adjusted Consumption'!I77*parameters!$B$76</f>
        <v>0.47678062208558047</v>
      </c>
      <c r="J71" s="300">
        <f>'Adjusted Consumption'!J77*parameters!$B$76</f>
        <v>0.47730973707636304</v>
      </c>
      <c r="K71" s="300">
        <f>'Adjusted Consumption'!K77*parameters!$B$76</f>
        <v>0.46595068672414475</v>
      </c>
      <c r="L71" s="300">
        <f>'Adjusted Consumption'!L77*parameters!$B$76</f>
        <v>0.46484304649848168</v>
      </c>
      <c r="M71" s="300">
        <f>'Adjusted Consumption'!M77*parameters!$B$76</f>
        <v>0.46431826752664229</v>
      </c>
      <c r="N71" s="300">
        <f>'Adjusted Consumption'!N77*parameters!$B$76</f>
        <v>0.46717824701516797</v>
      </c>
      <c r="O71" s="300">
        <f>'Adjusted Consumption'!O77*parameters!$B$76</f>
        <v>0.46700030778420903</v>
      </c>
      <c r="P71" s="300">
        <f>'Adjusted Consumption'!P77*parameters!$B$76</f>
        <v>0.47009854099603082</v>
      </c>
      <c r="Q71" s="300">
        <f>'Adjusted Consumption'!Q77*parameters!$B$76</f>
        <v>0.47768202858370779</v>
      </c>
      <c r="R71" s="300">
        <f>'Adjusted Consumption'!R77*parameters!$B$76</f>
        <v>0.48076846247141192</v>
      </c>
      <c r="S71" s="300">
        <f>'Adjusted Consumption'!S77*parameters!$B$76</f>
        <v>0.48571975227545583</v>
      </c>
      <c r="T71" s="300">
        <f>'Adjusted Consumption'!T77*parameters!$B$76</f>
        <v>0.49078819025570602</v>
      </c>
      <c r="U71" s="300">
        <f>'Adjusted Consumption'!U77*parameters!$B$76</f>
        <v>0.49586070542141447</v>
      </c>
      <c r="V71" s="300">
        <f>'Adjusted Consumption'!V77*parameters!$B$76</f>
        <v>0.50194249323464357</v>
      </c>
      <c r="W71" s="300">
        <f>'Adjusted Consumption'!W77*parameters!$B$76</f>
        <v>0.50704060418975971</v>
      </c>
      <c r="X71" s="300">
        <f>'Adjusted Consumption'!X77*parameters!$B$76</f>
        <v>0.51209171682276244</v>
      </c>
      <c r="Y71" s="300">
        <f>'Adjusted Consumption'!Y77*parameters!$B$76</f>
        <v>0.51522132687288236</v>
      </c>
      <c r="Z71" s="300">
        <f>'Adjusted Consumption'!Z77*parameters!$B$76</f>
        <v>0.51971339917662662</v>
      </c>
      <c r="AA71" s="300">
        <f>'Adjusted Consumption'!AA77*parameters!$B$76</f>
        <v>0.52474812441307783</v>
      </c>
      <c r="AB71" s="300">
        <f>'Adjusted Consumption'!AB77*parameters!$B$76</f>
        <v>0.52847290318743323</v>
      </c>
      <c r="AC71" s="300">
        <f>'Adjusted Consumption'!AC77*parameters!$B$76</f>
        <v>0.5327627893574034</v>
      </c>
      <c r="AD71" s="300">
        <f>'Adjusted Consumption'!AD77*parameters!$B$76</f>
        <v>0.53579469007496405</v>
      </c>
      <c r="AE71" s="300">
        <f>'Adjusted Consumption'!AE77*parameters!$B$76</f>
        <v>0.53797928142254881</v>
      </c>
      <c r="AF71" s="300">
        <f>'Adjusted Consumption'!AF77*parameters!$B$76</f>
        <v>0.54043815735676581</v>
      </c>
      <c r="AG71" s="442">
        <f t="shared" si="19"/>
        <v>4.5300880487872137E-3</v>
      </c>
    </row>
    <row r="72" spans="1:34">
      <c r="A72" s="40" t="s">
        <v>1259</v>
      </c>
      <c r="B72" s="300">
        <f>'Adjusted Consumption'!B78*parameters!$B$76</f>
        <v>0.21111953736849215</v>
      </c>
      <c r="C72" s="300">
        <f>'Adjusted Consumption'!C78*parameters!$B$76</f>
        <v>0.32510534915864581</v>
      </c>
      <c r="D72" s="300">
        <f>'Adjusted Consumption'!D78*parameters!$B$76</f>
        <v>0.29454720963421899</v>
      </c>
      <c r="E72" s="300">
        <f>'Adjusted Consumption'!E78*parameters!$B$76</f>
        <v>0.30418479737718374</v>
      </c>
      <c r="F72" s="300">
        <f>'Adjusted Consumption'!F78*parameters!$B$76</f>
        <v>0.31548290598234419</v>
      </c>
      <c r="G72" s="300">
        <f>'Adjusted Consumption'!G78*parameters!$B$76</f>
        <v>0.31653693938521893</v>
      </c>
      <c r="H72" s="300">
        <f>'Adjusted Consumption'!H78*parameters!$B$76</f>
        <v>0.3291713238508262</v>
      </c>
      <c r="I72" s="300">
        <f>'Adjusted Consumption'!I78*parameters!$B$76</f>
        <v>0.35393216990575599</v>
      </c>
      <c r="J72" s="300">
        <f>'Adjusted Consumption'!J78*parameters!$B$76</f>
        <v>0.36484828592764812</v>
      </c>
      <c r="K72" s="300">
        <f>'Adjusted Consumption'!K78*parameters!$B$76</f>
        <v>0.36782435241744815</v>
      </c>
      <c r="L72" s="300">
        <f>'Adjusted Consumption'!L78*parameters!$B$76</f>
        <v>0.38913417696131902</v>
      </c>
      <c r="M72" s="300">
        <f>'Adjusted Consumption'!M78*parameters!$B$76</f>
        <v>0.40548865153693026</v>
      </c>
      <c r="N72" s="300">
        <f>'Adjusted Consumption'!N78*parameters!$B$76</f>
        <v>0.41814299829205298</v>
      </c>
      <c r="O72" s="300">
        <f>'Adjusted Consumption'!O78*parameters!$B$76</f>
        <v>0.4275507049422122</v>
      </c>
      <c r="P72" s="300">
        <f>'Adjusted Consumption'!P78*parameters!$B$76</f>
        <v>0.44218769745496306</v>
      </c>
      <c r="Q72" s="300">
        <f>'Adjusted Consumption'!Q78*parameters!$B$76</f>
        <v>0.4779868826279059</v>
      </c>
      <c r="R72" s="300">
        <f>'Adjusted Consumption'!R78*parameters!$B$76</f>
        <v>0.49836836420031877</v>
      </c>
      <c r="S72" s="300">
        <f>'Adjusted Consumption'!S78*parameters!$B$76</f>
        <v>0.51584155673758503</v>
      </c>
      <c r="T72" s="300">
        <f>'Adjusted Consumption'!T78*parameters!$B$76</f>
        <v>0.53529517853471009</v>
      </c>
      <c r="U72" s="300">
        <f>'Adjusted Consumption'!U78*parameters!$B$76</f>
        <v>0.55602455349322144</v>
      </c>
      <c r="V72" s="300">
        <f>'Adjusted Consumption'!V78*parameters!$B$76</f>
        <v>0.57336250982734449</v>
      </c>
      <c r="W72" s="300">
        <f>'Adjusted Consumption'!W78*parameters!$B$76</f>
        <v>0.5932432006209355</v>
      </c>
      <c r="X72" s="300">
        <f>'Adjusted Consumption'!X78*parameters!$B$76</f>
        <v>0.61912051934432488</v>
      </c>
      <c r="Y72" s="300">
        <f>'Adjusted Consumption'!Y78*parameters!$B$76</f>
        <v>0.62172497840243923</v>
      </c>
      <c r="Z72" s="300">
        <f>'Adjusted Consumption'!Z78*parameters!$B$76</f>
        <v>0.64207757262123888</v>
      </c>
      <c r="AA72" s="300">
        <f>'Adjusted Consumption'!AA78*parameters!$B$76</f>
        <v>0.65624671822969982</v>
      </c>
      <c r="AB72" s="300">
        <f>'Adjusted Consumption'!AB78*parameters!$B$76</f>
        <v>0.67317844223694756</v>
      </c>
      <c r="AC72" s="300">
        <f>'Adjusted Consumption'!AC78*parameters!$B$76</f>
        <v>0.68585642886714782</v>
      </c>
      <c r="AD72" s="300">
        <f>'Adjusted Consumption'!AD78*parameters!$B$76</f>
        <v>0.69545942989849641</v>
      </c>
      <c r="AE72" s="300">
        <f>'Adjusted Consumption'!AE78*parameters!$B$76</f>
        <v>0.70413425995609158</v>
      </c>
      <c r="AF72" s="300">
        <f>'Adjusted Consumption'!AF78*parameters!$B$76</f>
        <v>0.71778355087176593</v>
      </c>
      <c r="AG72" s="442">
        <f t="shared" si="19"/>
        <v>8.2754884257484465E-2</v>
      </c>
    </row>
    <row r="73" spans="1:34">
      <c r="A73" s="40" t="s">
        <v>1260</v>
      </c>
      <c r="B73" s="300">
        <f>'Adjusted Consumption'!B79*parameters!$B$97</f>
        <v>0</v>
      </c>
      <c r="C73" s="300">
        <f>'Adjusted Consumption'!C79*parameters!$B$97</f>
        <v>0</v>
      </c>
      <c r="D73" s="300">
        <f>'Adjusted Consumption'!D79*parameters!$B$97</f>
        <v>0</v>
      </c>
      <c r="E73" s="300">
        <f>'Adjusted Consumption'!E79*parameters!$B$97</f>
        <v>0</v>
      </c>
      <c r="F73" s="300">
        <f>'Adjusted Consumption'!F79*parameters!$B$97</f>
        <v>0</v>
      </c>
      <c r="G73" s="300">
        <f>'Adjusted Consumption'!G79*parameters!$B$97</f>
        <v>0</v>
      </c>
      <c r="H73" s="300">
        <f>'Adjusted Consumption'!H79*parameters!$B$97</f>
        <v>0</v>
      </c>
      <c r="I73" s="300">
        <f>'Adjusted Consumption'!I79*parameters!$B$97</f>
        <v>0</v>
      </c>
      <c r="J73" s="300">
        <f>'Adjusted Consumption'!J79*parameters!$B$97</f>
        <v>0</v>
      </c>
      <c r="K73" s="300">
        <f>'Adjusted Consumption'!K79*parameters!$B$97</f>
        <v>0</v>
      </c>
      <c r="L73" s="300">
        <f>'Adjusted Consumption'!L79*parameters!$B$97</f>
        <v>0</v>
      </c>
      <c r="M73" s="300">
        <f>'Adjusted Consumption'!M79*parameters!$B$97</f>
        <v>0</v>
      </c>
      <c r="N73" s="300">
        <f>'Adjusted Consumption'!N79*parameters!$B$97</f>
        <v>0</v>
      </c>
      <c r="O73" s="300">
        <f>'Adjusted Consumption'!O79*parameters!$B$97</f>
        <v>0</v>
      </c>
      <c r="P73" s="300">
        <f>'Adjusted Consumption'!P79*parameters!$B$97</f>
        <v>0</v>
      </c>
      <c r="Q73" s="300">
        <f>'Adjusted Consumption'!Q79*parameters!$B$97</f>
        <v>0</v>
      </c>
      <c r="R73" s="300">
        <f>'Adjusted Consumption'!R79*parameters!$B$97</f>
        <v>0</v>
      </c>
      <c r="S73" s="300">
        <f>'Adjusted Consumption'!S79*parameters!$B$97</f>
        <v>0</v>
      </c>
      <c r="T73" s="300">
        <f>'Adjusted Consumption'!T79*parameters!$B$97</f>
        <v>0</v>
      </c>
      <c r="U73" s="300">
        <f>'Adjusted Consumption'!U79*parameters!$B$97</f>
        <v>0</v>
      </c>
      <c r="V73" s="300">
        <f>'Adjusted Consumption'!V79*parameters!$B$97</f>
        <v>0</v>
      </c>
      <c r="W73" s="300">
        <f>'Adjusted Consumption'!W79*parameters!$B$97</f>
        <v>0</v>
      </c>
      <c r="X73" s="300">
        <f>'Adjusted Consumption'!X79*parameters!$B$97</f>
        <v>0</v>
      </c>
      <c r="Y73" s="300">
        <f>'Adjusted Consumption'!Y79*parameters!$B$97</f>
        <v>0</v>
      </c>
      <c r="Z73" s="300">
        <f>'Adjusted Consumption'!Z79*parameters!$B$97</f>
        <v>0</v>
      </c>
      <c r="AA73" s="300">
        <f>'Adjusted Consumption'!AA79*parameters!$B$97</f>
        <v>0</v>
      </c>
      <c r="AB73" s="300">
        <f>'Adjusted Consumption'!AB79*parameters!$B$97</f>
        <v>0</v>
      </c>
      <c r="AC73" s="300">
        <f>'Adjusted Consumption'!AC79*parameters!$B$97</f>
        <v>0</v>
      </c>
      <c r="AD73" s="300">
        <f>'Adjusted Consumption'!AD79*parameters!$B$97</f>
        <v>0</v>
      </c>
      <c r="AE73" s="300">
        <f>'Adjusted Consumption'!AE79*parameters!$B$97</f>
        <v>0</v>
      </c>
      <c r="AF73" s="300">
        <f>'Adjusted Consumption'!AF79*parameters!$B$97</f>
        <v>0</v>
      </c>
      <c r="AG73" s="442"/>
      <c r="AH73" t="s">
        <v>326</v>
      </c>
    </row>
    <row r="74" spans="1:34">
      <c r="A74" s="40" t="s">
        <v>8</v>
      </c>
      <c r="B74" s="300">
        <f>'Adjusted Emissions'!B83*'Adjusted Consumption'!B223</f>
        <v>6.2946048915858283E-2</v>
      </c>
      <c r="C74" s="300">
        <f>'Adjusted Emissions'!C83*'Adjusted Consumption'!C223</f>
        <v>7.1158560053601855E-2</v>
      </c>
      <c r="D74" s="300">
        <f>'Adjusted Emissions'!D83*'Adjusted Consumption'!D223</f>
        <v>7.6589365996808295E-2</v>
      </c>
      <c r="E74" s="300">
        <f>'Adjusted Emissions'!E83*'Adjusted Consumption'!E223</f>
        <v>7.9990043322722165E-2</v>
      </c>
      <c r="F74" s="300">
        <f>'Adjusted Emissions'!F83*'Adjusted Consumption'!F223</f>
        <v>7.630293117790532E-2</v>
      </c>
      <c r="G74" s="300">
        <f>'Adjusted Emissions'!G83*'Adjusted Consumption'!G223</f>
        <v>6.6324795115231996E-2</v>
      </c>
      <c r="H74" s="300">
        <f>'Adjusted Emissions'!H83*'Adjusted Consumption'!H223</f>
        <v>5.4858677050884243E-2</v>
      </c>
      <c r="I74" s="300">
        <f>'Adjusted Emissions'!I83*'Adjusted Consumption'!I223</f>
        <v>5.9791241947339799E-2</v>
      </c>
      <c r="J74" s="300">
        <f>'Adjusted Emissions'!J83*'Adjusted Consumption'!J223</f>
        <v>6.6273982433640313E-2</v>
      </c>
      <c r="K74" s="300">
        <f>'Adjusted Emissions'!K83*'Adjusted Consumption'!K223</f>
        <v>7.3763033194318872E-2</v>
      </c>
      <c r="L74" s="300">
        <f>'Adjusted Emissions'!L83*'Adjusted Consumption'!L223</f>
        <v>7.8277203919111055E-2</v>
      </c>
      <c r="M74" s="300">
        <f>'Adjusted Emissions'!M83*'Adjusted Consumption'!M223</f>
        <v>8.1470094597191789E-2</v>
      </c>
      <c r="N74" s="300">
        <f>'Adjusted Emissions'!N83*'Adjusted Consumption'!N223</f>
        <v>8.2346759989063198E-2</v>
      </c>
      <c r="O74" s="300">
        <f>'Adjusted Emissions'!O83*'Adjusted Consumption'!O223</f>
        <v>7.9132817135733294E-2</v>
      </c>
      <c r="P74" s="300">
        <f>'Adjusted Emissions'!P83*'Adjusted Consumption'!P223</f>
        <v>7.5373037821577907E-2</v>
      </c>
      <c r="Q74" s="300">
        <f>'Adjusted Emissions'!Q83*'Adjusted Consumption'!Q223</f>
        <v>7.0342353699124296E-2</v>
      </c>
      <c r="R74" s="300">
        <f>'Adjusted Emissions'!R83*'Adjusted Consumption'!R223</f>
        <v>6.6287022268564352E-2</v>
      </c>
      <c r="S74" s="300">
        <f>'Adjusted Emissions'!S83*'Adjusted Consumption'!S223</f>
        <v>6.1085993029944906E-2</v>
      </c>
      <c r="T74" s="300">
        <f>'Adjusted Emissions'!T83*'Adjusted Consumption'!T223</f>
        <v>5.5346679569241553E-2</v>
      </c>
      <c r="U74" s="300">
        <f>'Adjusted Emissions'!U83*'Adjusted Consumption'!U223</f>
        <v>4.9067723931704041E-2</v>
      </c>
      <c r="V74" s="300">
        <f>'Adjusted Emissions'!V83*'Adjusted Consumption'!V223</f>
        <v>4.2247963419670735E-2</v>
      </c>
      <c r="W74" s="300">
        <f>'Adjusted Emissions'!W83*'Adjusted Consumption'!W223</f>
        <v>3.4885716301658459E-2</v>
      </c>
      <c r="X74" s="300">
        <f>'Adjusted Emissions'!X83*'Adjusted Consumption'!X223</f>
        <v>2.6980362315467146E-2</v>
      </c>
      <c r="Y74" s="300">
        <f>'Adjusted Emissions'!Y83*'Adjusted Consumption'!Y223</f>
        <v>1.8531313948931556E-2</v>
      </c>
      <c r="Z74" s="300">
        <f>'Adjusted Emissions'!Z83*'Adjusted Consumption'!Z223</f>
        <v>9.538051692556242E-3</v>
      </c>
      <c r="AA74" s="300">
        <f>'Adjusted Emissions'!AA83*'Adjusted Consumption'!AA223</f>
        <v>0</v>
      </c>
      <c r="AB74" s="300">
        <f>'Adjusted Emissions'!AB83*'Adjusted Consumption'!AB223</f>
        <v>0</v>
      </c>
      <c r="AC74" s="300">
        <f>'Adjusted Emissions'!AC83*'Adjusted Consumption'!AC223</f>
        <v>0</v>
      </c>
      <c r="AD74" s="300">
        <f>'Adjusted Emissions'!AD83*'Adjusted Consumption'!AD223</f>
        <v>0</v>
      </c>
      <c r="AE74" s="300">
        <f>'Adjusted Emissions'!AE83*'Adjusted Consumption'!AE223</f>
        <v>0</v>
      </c>
      <c r="AF74" s="300">
        <f>'Adjusted Emissions'!AF83*'Adjusted Consumption'!AF223</f>
        <v>0</v>
      </c>
      <c r="AG74" s="442">
        <f t="shared" si="19"/>
        <v>-3.4482758620689655E-2</v>
      </c>
    </row>
    <row r="75" spans="1:34">
      <c r="A75" s="40" t="s">
        <v>4</v>
      </c>
      <c r="B75" s="300">
        <f>SUM(B64:B70,B71:B74)</f>
        <v>42.951251178020684</v>
      </c>
      <c r="C75" s="300">
        <f t="shared" ref="C75:Q75" si="20">SUM(C64:C70,C71:C74)</f>
        <v>43.218015501861601</v>
      </c>
      <c r="D75" s="300">
        <f t="shared" si="20"/>
        <v>43.574791824793323</v>
      </c>
      <c r="E75" s="300">
        <f t="shared" si="20"/>
        <v>43.271491029716678</v>
      </c>
      <c r="F75" s="300">
        <f t="shared" si="20"/>
        <v>42.99518694481182</v>
      </c>
      <c r="G75" s="300">
        <f t="shared" si="20"/>
        <v>42.573548254080855</v>
      </c>
      <c r="H75" s="300">
        <f t="shared" si="20"/>
        <v>42.033871201132165</v>
      </c>
      <c r="I75" s="300">
        <f t="shared" si="20"/>
        <v>41.49987549770222</v>
      </c>
      <c r="J75" s="300">
        <f t="shared" si="20"/>
        <v>41.028400236726704</v>
      </c>
      <c r="K75" s="300">
        <f t="shared" si="20"/>
        <v>40.571927097921595</v>
      </c>
      <c r="L75" s="300">
        <f t="shared" si="20"/>
        <v>40.127058833347235</v>
      </c>
      <c r="M75" s="300">
        <f t="shared" si="20"/>
        <v>39.807966794259102</v>
      </c>
      <c r="N75" s="300">
        <f t="shared" si="20"/>
        <v>39.521367941896656</v>
      </c>
      <c r="O75" s="300">
        <f t="shared" si="20"/>
        <v>39.232722388809485</v>
      </c>
      <c r="P75" s="300">
        <f t="shared" si="20"/>
        <v>39.055506925315612</v>
      </c>
      <c r="Q75" s="300">
        <f t="shared" si="20"/>
        <v>38.784619460850529</v>
      </c>
      <c r="R75" s="300">
        <f>SUM(R64:R70,R71:R74)</f>
        <v>38.732107360102994</v>
      </c>
      <c r="S75" s="300">
        <f>SUM(S64:S70,S71:S74)</f>
        <v>38.702267493788376</v>
      </c>
      <c r="T75" s="300">
        <f>SUM(T64:T70,T71:T74)</f>
        <v>38.73485204719249</v>
      </c>
      <c r="U75" s="300">
        <f>SUM(U64:U70,U71:U74)</f>
        <v>38.800158301195644</v>
      </c>
      <c r="V75" s="300">
        <f>SUM(V64:V70,V71:V74)</f>
        <v>38.879556952447309</v>
      </c>
      <c r="W75" s="300">
        <f t="shared" ref="W75:AF75" si="21">SUM(W64:W70,W71:W74)</f>
        <v>38.983892573355249</v>
      </c>
      <c r="X75" s="300">
        <f t="shared" si="21"/>
        <v>39.048336829138414</v>
      </c>
      <c r="Y75" s="300">
        <f t="shared" si="21"/>
        <v>39.257737035102373</v>
      </c>
      <c r="Z75" s="300">
        <f t="shared" si="21"/>
        <v>39.286052004637355</v>
      </c>
      <c r="AA75" s="300">
        <f t="shared" si="21"/>
        <v>39.419426430786743</v>
      </c>
      <c r="AB75" s="300">
        <f t="shared" si="21"/>
        <v>39.514388718534157</v>
      </c>
      <c r="AC75" s="300">
        <f t="shared" si="21"/>
        <v>39.677387992633342</v>
      </c>
      <c r="AD75" s="300">
        <f t="shared" si="21"/>
        <v>39.827691585166072</v>
      </c>
      <c r="AE75" s="300">
        <f t="shared" si="21"/>
        <v>39.949194395384197</v>
      </c>
      <c r="AF75" s="300">
        <f t="shared" si="21"/>
        <v>40.057330589398155</v>
      </c>
      <c r="AG75" s="442">
        <f t="shared" si="19"/>
        <v>-2.3233401213695075E-3</v>
      </c>
    </row>
    <row r="76" spans="1:34" s="40" customFormat="1">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304"/>
      <c r="AE76" s="304"/>
      <c r="AF76" s="304"/>
      <c r="AG76" s="5"/>
    </row>
    <row r="77" spans="1:34" s="5" customFormat="1" ht="13">
      <c r="A77" s="250" t="s">
        <v>1103</v>
      </c>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1"/>
      <c r="AG77" s="5" t="s">
        <v>1385</v>
      </c>
    </row>
    <row r="78" spans="1:34" s="377" customFormat="1" ht="12.9" customHeight="1">
      <c r="A78" s="253" t="s">
        <v>6</v>
      </c>
      <c r="B78" s="253">
        <v>2020</v>
      </c>
      <c r="C78" s="253">
        <v>2021</v>
      </c>
      <c r="D78" s="253">
        <v>2022</v>
      </c>
      <c r="E78" s="253">
        <v>2023</v>
      </c>
      <c r="F78" s="253">
        <v>2024</v>
      </c>
      <c r="G78" s="253">
        <v>2025</v>
      </c>
      <c r="H78" s="253">
        <v>2026</v>
      </c>
      <c r="I78" s="253">
        <v>2027</v>
      </c>
      <c r="J78" s="253">
        <v>2028</v>
      </c>
      <c r="K78" s="253">
        <v>2029</v>
      </c>
      <c r="L78" s="253">
        <v>2030</v>
      </c>
      <c r="M78" s="253">
        <v>2031</v>
      </c>
      <c r="N78" s="253">
        <v>2032</v>
      </c>
      <c r="O78" s="253">
        <v>2033</v>
      </c>
      <c r="P78" s="253">
        <v>2034</v>
      </c>
      <c r="Q78" s="253">
        <v>2035</v>
      </c>
      <c r="R78" s="253">
        <v>2036</v>
      </c>
      <c r="S78" s="253">
        <v>2037</v>
      </c>
      <c r="T78" s="253">
        <v>2038</v>
      </c>
      <c r="U78" s="253">
        <v>2039</v>
      </c>
      <c r="V78" s="253">
        <v>2040</v>
      </c>
      <c r="W78" s="253">
        <v>2041</v>
      </c>
      <c r="X78" s="253">
        <v>2042</v>
      </c>
      <c r="Y78" s="253">
        <v>2043</v>
      </c>
      <c r="Z78" s="253">
        <v>2044</v>
      </c>
      <c r="AA78" s="253">
        <v>2045</v>
      </c>
      <c r="AB78" s="253">
        <v>2046</v>
      </c>
      <c r="AC78" s="253">
        <v>2047</v>
      </c>
      <c r="AD78" s="253">
        <v>2048</v>
      </c>
      <c r="AE78" s="253">
        <v>2049</v>
      </c>
      <c r="AF78" s="253">
        <v>2050</v>
      </c>
      <c r="AG78" s="436" t="s">
        <v>290</v>
      </c>
    </row>
    <row r="79" spans="1:34">
      <c r="A79" s="63" t="s">
        <v>352</v>
      </c>
      <c r="B79" s="300">
        <f>'Adjusted Consumption'!B214*parameters!$B$79</f>
        <v>9.7079972799569827</v>
      </c>
      <c r="C79" s="300">
        <f>'Adjusted Consumption'!C214*parameters!$B$79</f>
        <v>7.8189471892168934</v>
      </c>
      <c r="D79" s="300">
        <f>'Adjusted Consumption'!D214*parameters!$B$79</f>
        <v>6.4076674303237358</v>
      </c>
      <c r="E79" s="300">
        <f>'Adjusted Consumption'!E214*parameters!$B$79</f>
        <v>4.7144775893711763</v>
      </c>
      <c r="F79" s="300">
        <f>'Adjusted Consumption'!F214*parameters!$B$79</f>
        <v>3.0810411522954291</v>
      </c>
      <c r="G79" s="300">
        <f>'Adjusted Consumption'!G214*parameters!$B$79</f>
        <v>1.5062237439532429</v>
      </c>
      <c r="H79" s="300">
        <f>'Adjusted Consumption'!H214*parameters!$B$79</f>
        <v>0</v>
      </c>
      <c r="I79" s="300">
        <f>'Adjusted Consumption'!I214*parameters!$B$79</f>
        <v>0</v>
      </c>
      <c r="J79" s="300">
        <f>'Adjusted Consumption'!J214*parameters!$B$79</f>
        <v>0</v>
      </c>
      <c r="K79" s="300">
        <f>'Adjusted Consumption'!K214*parameters!$B$79</f>
        <v>0</v>
      </c>
      <c r="L79" s="300">
        <f>'Adjusted Consumption'!L214*parameters!$B$79</f>
        <v>0</v>
      </c>
      <c r="M79" s="300">
        <f>'Adjusted Consumption'!M214*parameters!$B$79</f>
        <v>0</v>
      </c>
      <c r="N79" s="300">
        <f>'Adjusted Consumption'!N214*parameters!$B$79</f>
        <v>0</v>
      </c>
      <c r="O79" s="300">
        <f>'Adjusted Consumption'!O214*parameters!$B$79</f>
        <v>0</v>
      </c>
      <c r="P79" s="300">
        <f>'Adjusted Consumption'!P214*parameters!$B$79</f>
        <v>0</v>
      </c>
      <c r="Q79" s="300">
        <f>'Adjusted Consumption'!Q214*parameters!$B$79</f>
        <v>0</v>
      </c>
      <c r="R79" s="300">
        <f>'Adjusted Consumption'!R214*parameters!$B$79</f>
        <v>0</v>
      </c>
      <c r="S79" s="300">
        <f>'Adjusted Consumption'!S214*parameters!$B$79</f>
        <v>0</v>
      </c>
      <c r="T79" s="300">
        <f>'Adjusted Consumption'!T214*parameters!$B$79</f>
        <v>0</v>
      </c>
      <c r="U79" s="300">
        <f>'Adjusted Consumption'!U214*parameters!$B$79</f>
        <v>0</v>
      </c>
      <c r="V79" s="300">
        <f>'Adjusted Consumption'!V214*parameters!$B$79</f>
        <v>0</v>
      </c>
      <c r="W79" s="300">
        <f>'Adjusted Consumption'!W214*parameters!$B$79</f>
        <v>0</v>
      </c>
      <c r="X79" s="300">
        <f>'Adjusted Consumption'!X214*parameters!$B$79</f>
        <v>0</v>
      </c>
      <c r="Y79" s="300">
        <f>'Adjusted Consumption'!Y214*parameters!$B$79</f>
        <v>0</v>
      </c>
      <c r="Z79" s="300">
        <f>'Adjusted Consumption'!Z214*parameters!$B$79</f>
        <v>0</v>
      </c>
      <c r="AA79" s="300">
        <f>'Adjusted Consumption'!AA214*parameters!$B$79</f>
        <v>0</v>
      </c>
      <c r="AB79" s="300">
        <f>'Adjusted Consumption'!AB214*parameters!$B$79</f>
        <v>0</v>
      </c>
      <c r="AC79" s="300">
        <f>'Adjusted Consumption'!AC214*parameters!$B$79</f>
        <v>0</v>
      </c>
      <c r="AD79" s="300">
        <f>'Adjusted Consumption'!AD214*parameters!$B$79</f>
        <v>0</v>
      </c>
      <c r="AE79" s="300">
        <f>'Adjusted Consumption'!AE214*parameters!$B$79</f>
        <v>0</v>
      </c>
      <c r="AF79" s="300">
        <f>'Adjusted Consumption'!AF214*parameters!$B$79</f>
        <v>0</v>
      </c>
      <c r="AG79" s="442"/>
      <c r="AH79" s="304" t="s">
        <v>1152</v>
      </c>
    </row>
    <row r="80" spans="1:34">
      <c r="A80" s="63" t="s">
        <v>393</v>
      </c>
      <c r="B80" s="300">
        <f>'Adjusted Consumption'!B215*parameters!$B$76</f>
        <v>2.3679392902824294</v>
      </c>
      <c r="C80" s="300">
        <f>'Adjusted Consumption'!C215*parameters!$B$76</f>
        <v>2.6839915753405754</v>
      </c>
      <c r="D80" s="300">
        <f>'Adjusted Consumption'!D215*parameters!$B$76</f>
        <v>2.6186428434540989</v>
      </c>
      <c r="E80" s="300">
        <f>'Adjusted Consumption'!E215*parameters!$B$76</f>
        <v>3.0050216774319263</v>
      </c>
      <c r="F80" s="300">
        <f>'Adjusted Consumption'!F215*parameters!$B$76</f>
        <v>3.0837804260493797</v>
      </c>
      <c r="G80" s="300">
        <f>'Adjusted Consumption'!G215*parameters!$B$76</f>
        <v>3.0167434540048892</v>
      </c>
      <c r="H80" s="300">
        <f>'Adjusted Consumption'!H215*parameters!$B$76</f>
        <v>3.2198538755525363</v>
      </c>
      <c r="I80" s="300">
        <f>'Adjusted Consumption'!I215*parameters!$B$76</f>
        <v>3.1423630214208202</v>
      </c>
      <c r="J80" s="300">
        <f>'Adjusted Consumption'!J215*parameters!$B$76</f>
        <v>3.1624276911461324</v>
      </c>
      <c r="K80" s="300">
        <f>'Adjusted Consumption'!K215*parameters!$B$76</f>
        <v>3.255431354495804</v>
      </c>
      <c r="L80" s="300">
        <f>'Adjusted Consumption'!L215*parameters!$B$76</f>
        <v>3.2340871720212441</v>
      </c>
      <c r="M80" s="300">
        <f>'Adjusted Consumption'!M215*parameters!$B$76</f>
        <v>3.2069849717590655</v>
      </c>
      <c r="N80" s="300">
        <f>'Adjusted Consumption'!N215*parameters!$B$76</f>
        <v>3.1129209956772046</v>
      </c>
      <c r="O80" s="300">
        <f>'Adjusted Consumption'!O215*parameters!$B$76</f>
        <v>2.8992843277649256</v>
      </c>
      <c r="P80" s="300">
        <f>'Adjusted Consumption'!P215*parameters!$B$76</f>
        <v>2.6832141045802924</v>
      </c>
      <c r="Q80" s="300">
        <f>'Adjusted Consumption'!Q215*parameters!$B$76</f>
        <v>2.4644835848246021</v>
      </c>
      <c r="R80" s="300">
        <f>'Adjusted Consumption'!R215*parameters!$B$76</f>
        <v>2.234241560511375</v>
      </c>
      <c r="S80" s="300">
        <f>'Adjusted Consumption'!S215*parameters!$B$76</f>
        <v>2.0031905805873573</v>
      </c>
      <c r="T80" s="300">
        <f>'Adjusted Consumption'!T215*parameters!$B$76</f>
        <v>1.7678329755731188</v>
      </c>
      <c r="U80" s="300">
        <f>'Adjusted Consumption'!U215*parameters!$B$76</f>
        <v>1.5281683103076855</v>
      </c>
      <c r="V80" s="300">
        <f>'Adjusted Consumption'!V215*parameters!$B$76</f>
        <v>1.2842491571093659</v>
      </c>
      <c r="W80" s="300">
        <f>'Adjusted Consumption'!W215*parameters!$B$76</f>
        <v>1.0360320565779519</v>
      </c>
      <c r="X80" s="300">
        <f>'Adjusted Consumption'!X215*parameters!$B$76</f>
        <v>0.78347172093755524</v>
      </c>
      <c r="Y80" s="300">
        <f>'Adjusted Consumption'!Y215*parameters!$B$76</f>
        <v>0.52659633166533459</v>
      </c>
      <c r="Z80" s="300">
        <f>'Adjusted Consumption'!Z215*parameters!$B$76</f>
        <v>0.26543336198879869</v>
      </c>
      <c r="AA80" s="300">
        <f>'Adjusted Consumption'!AA215*parameters!$B$76</f>
        <v>0</v>
      </c>
      <c r="AB80" s="300">
        <f>'Adjusted Consumption'!AB215*parameters!$B$76</f>
        <v>0</v>
      </c>
      <c r="AC80" s="300">
        <f>'Adjusted Consumption'!AC215*parameters!$B$76</f>
        <v>0</v>
      </c>
      <c r="AD80" s="300">
        <f>'Adjusted Consumption'!AD215*parameters!$B$76</f>
        <v>0</v>
      </c>
      <c r="AE80" s="300">
        <f>'Adjusted Consumption'!AE215*parameters!$B$76</f>
        <v>0</v>
      </c>
      <c r="AF80" s="300">
        <f>'Adjusted Consumption'!AF215*parameters!$B$76</f>
        <v>0</v>
      </c>
      <c r="AG80" s="442"/>
    </row>
    <row r="81" spans="1:34">
      <c r="A81" s="63" t="s">
        <v>394</v>
      </c>
      <c r="B81" s="300">
        <f>'Adjusted Consumption'!B216*parameters!$B$76</f>
        <v>0.33377698266147199</v>
      </c>
      <c r="C81" s="300">
        <f>'Adjusted Consumption'!C216*parameters!$B$76</f>
        <v>0.32426374521810369</v>
      </c>
      <c r="D81" s="300">
        <f>'Adjusted Consumption'!D216*parameters!$B$76</f>
        <v>0.3136338946336435</v>
      </c>
      <c r="E81" s="300">
        <f>'Adjusted Consumption'!E216*parameters!$B$76</f>
        <v>0.30249981962072459</v>
      </c>
      <c r="F81" s="300">
        <f>'Adjusted Consumption'!F216*parameters!$B$76</f>
        <v>0.29056484793561077</v>
      </c>
      <c r="G81" s="300">
        <f>'Adjusted Consumption'!G216*parameters!$B$76</f>
        <v>0.28579804747102378</v>
      </c>
      <c r="H81" s="300">
        <f>'Adjusted Consumption'!H216*parameters!$B$76</f>
        <v>0.28006878226551679</v>
      </c>
      <c r="I81" s="300">
        <f>'Adjusted Consumption'!I216*parameters!$B$76</f>
        <v>0.27332848596879117</v>
      </c>
      <c r="J81" s="300">
        <f>'Adjusted Consumption'!J216*parameters!$B$76</f>
        <v>0.27507374765883086</v>
      </c>
      <c r="K81" s="300">
        <f>'Adjusted Consumption'!K216*parameters!$B$76</f>
        <v>0.26762956187048614</v>
      </c>
      <c r="L81" s="300">
        <f>'Adjusted Consumption'!L216*parameters!$B$76</f>
        <v>0.26587485302176123</v>
      </c>
      <c r="M81" s="300">
        <f>'Adjusted Consumption'!M216*parameters!$B$76</f>
        <v>0.26364677655752378</v>
      </c>
      <c r="N81" s="300">
        <f>'Adjusted Consumption'!N216*parameters!$B$76</f>
        <v>0.25591376118559206</v>
      </c>
      <c r="O81" s="300">
        <f>'Adjusted Consumption'!O216*parameters!$B$76</f>
        <v>0.23835065460867919</v>
      </c>
      <c r="P81" s="300">
        <f>'Adjusted Consumption'!P216*parameters!$B$76</f>
        <v>0.22058748504151823</v>
      </c>
      <c r="Q81" s="300">
        <f>'Adjusted Consumption'!Q216*parameters!$B$76</f>
        <v>0.20260561204361996</v>
      </c>
      <c r="R81" s="300">
        <f>'Adjusted Consumption'!R216*parameters!$B$76</f>
        <v>0.18367737631042758</v>
      </c>
      <c r="S81" s="300">
        <f>'Adjusted Consumption'!S216*parameters!$B$76</f>
        <v>0.16468263619974607</v>
      </c>
      <c r="T81" s="300">
        <f>'Adjusted Consumption'!T216*parameters!$B$76</f>
        <v>0.14533384771251251</v>
      </c>
      <c r="U81" s="300">
        <f>'Adjusted Consumption'!U216*parameters!$B$76</f>
        <v>0.12563097507406965</v>
      </c>
      <c r="V81" s="300">
        <f>'Adjusted Consumption'!V216*parameters!$B$76</f>
        <v>0.10557834026359092</v>
      </c>
      <c r="W81" s="300">
        <f>'Adjusted Consumption'!W216*parameters!$B$76</f>
        <v>8.5172370476440162E-2</v>
      </c>
      <c r="X81" s="300">
        <f>'Adjusted Consumption'!X216*parameters!$B$76</f>
        <v>6.4409342596907129E-2</v>
      </c>
      <c r="Y81" s="300">
        <f>'Adjusted Consumption'!Y216*parameters!$B$76</f>
        <v>4.3291573428992217E-2</v>
      </c>
      <c r="Z81" s="300">
        <f>'Adjusted Consumption'!Z216*parameters!$B$76</f>
        <v>2.1821321551372251E-2</v>
      </c>
      <c r="AA81" s="300">
        <f>'Adjusted Consumption'!AA216*parameters!$B$76</f>
        <v>0</v>
      </c>
      <c r="AB81" s="300">
        <f>'Adjusted Consumption'!AB216*parameters!$B$76</f>
        <v>0</v>
      </c>
      <c r="AC81" s="300">
        <f>'Adjusted Consumption'!AC216*parameters!$B$76</f>
        <v>0</v>
      </c>
      <c r="AD81" s="300">
        <f>'Adjusted Consumption'!AD216*parameters!$B$76</f>
        <v>0</v>
      </c>
      <c r="AE81" s="300">
        <f>'Adjusted Consumption'!AE216*parameters!$B$76</f>
        <v>0</v>
      </c>
      <c r="AF81" s="300">
        <f>'Adjusted Consumption'!AF216*parameters!$B$76</f>
        <v>0</v>
      </c>
      <c r="AG81" s="442"/>
      <c r="AH81" t="s">
        <v>1100</v>
      </c>
    </row>
    <row r="82" spans="1:34">
      <c r="A82" s="63" t="s">
        <v>395</v>
      </c>
      <c r="B82" s="300">
        <f>'Adjusted Consumption'!B217*parameters!$B$80</f>
        <v>5.0927375404993772E-2</v>
      </c>
      <c r="C82" s="300">
        <f>'Adjusted Consumption'!C217*parameters!$B$80</f>
        <v>4.9980577736356911E-2</v>
      </c>
      <c r="D82" s="300">
        <f>'Adjusted Consumption'!D217*parameters!$B$80</f>
        <v>4.8586154208844538E-2</v>
      </c>
      <c r="E82" s="300">
        <f>'Adjusted Consumption'!E217*parameters!$B$80</f>
        <v>4.7763842393159901E-2</v>
      </c>
      <c r="F82" s="300">
        <f>'Adjusted Consumption'!F217*parameters!$B$80</f>
        <v>4.7108935187141751E-2</v>
      </c>
      <c r="G82" s="300">
        <f>'Adjusted Consumption'!G217*parameters!$B$80</f>
        <v>4.6548627801205882E-2</v>
      </c>
      <c r="H82" s="300">
        <f>'Adjusted Consumption'!H217*parameters!$B$80</f>
        <v>4.6028367071041798E-2</v>
      </c>
      <c r="I82" s="300">
        <f>'Adjusted Consumption'!I217*parameters!$B$80</f>
        <v>4.3844523328563242E-2</v>
      </c>
      <c r="J82" s="300">
        <f>'Adjusted Consumption'!J217*parameters!$B$80</f>
        <v>4.1128831774638559E-2</v>
      </c>
      <c r="K82" s="300">
        <f>'Adjusted Consumption'!K217*parameters!$B$80</f>
        <v>3.8681536554195678E-2</v>
      </c>
      <c r="L82" s="300">
        <f>'Adjusted Consumption'!L217*parameters!$B$80</f>
        <v>3.6485296175713465E-2</v>
      </c>
      <c r="M82" s="300">
        <f>'Adjusted Consumption'!M217*parameters!$B$80</f>
        <v>3.4210079136595808E-2</v>
      </c>
      <c r="N82" s="300">
        <f>'Adjusted Consumption'!N217*parameters!$B$80</f>
        <v>3.2035852972038072E-2</v>
      </c>
      <c r="O82" s="300">
        <f>'Adjusted Consumption'!O217*parameters!$B$80</f>
        <v>2.983726428566346E-2</v>
      </c>
      <c r="P82" s="300">
        <f>'Adjusted Consumption'!P217*parameters!$B$80</f>
        <v>2.7613631269859124E-2</v>
      </c>
      <c r="Q82" s="300">
        <f>'Adjusted Consumption'!Q217*parameters!$B$80</f>
        <v>2.5362620472886937E-2</v>
      </c>
      <c r="R82" s="300">
        <f>'Adjusted Consumption'!R217*parameters!$B$80</f>
        <v>2.299314188697817E-2</v>
      </c>
      <c r="S82" s="300">
        <f>'Adjusted Consumption'!S217*parameters!$B$80</f>
        <v>2.061533813539889E-2</v>
      </c>
      <c r="T82" s="300">
        <f>'Adjusted Consumption'!T217*parameters!$B$80</f>
        <v>1.8193213821753436E-2</v>
      </c>
      <c r="U82" s="300">
        <f>'Adjusted Consumption'!U217*parameters!$B$80</f>
        <v>1.572676446769079E-2</v>
      </c>
      <c r="V82" s="300">
        <f>'Adjusted Consumption'!V217*parameters!$B$80</f>
        <v>1.3216531108162337E-2</v>
      </c>
      <c r="W82" s="300">
        <f>'Adjusted Consumption'!W217*parameters!$B$80</f>
        <v>1.0662066491549068E-2</v>
      </c>
      <c r="X82" s="300">
        <f>'Adjusted Consumption'!X217*parameters!$B$80</f>
        <v>8.0629045499578875E-3</v>
      </c>
      <c r="Y82" s="300">
        <f>'Adjusted Consumption'!Y217*parameters!$B$80</f>
        <v>5.4193353060588206E-3</v>
      </c>
      <c r="Z82" s="300">
        <f>'Adjusted Consumption'!Z217*parameters!$B$80</f>
        <v>2.7316414937466268E-3</v>
      </c>
      <c r="AA82" s="300">
        <f>'Adjusted Consumption'!AA217*parameters!$B$80</f>
        <v>0</v>
      </c>
      <c r="AB82" s="300">
        <f>'Adjusted Consumption'!AB217*parameters!$B$80</f>
        <v>0</v>
      </c>
      <c r="AC82" s="300">
        <f>'Adjusted Consumption'!AC217*parameters!$B$80</f>
        <v>0</v>
      </c>
      <c r="AD82" s="300">
        <f>'Adjusted Consumption'!AD217*parameters!$B$80</f>
        <v>0</v>
      </c>
      <c r="AE82" s="300">
        <f>'Adjusted Consumption'!AE217*parameters!$B$80</f>
        <v>0</v>
      </c>
      <c r="AF82" s="300">
        <f>'Adjusted Consumption'!AF217*parameters!$B$80</f>
        <v>0</v>
      </c>
      <c r="AG82" s="442"/>
    </row>
    <row r="83" spans="1:34">
      <c r="A83" s="383" t="s">
        <v>1245</v>
      </c>
      <c r="B83" s="300">
        <f>SUM(B79:B82)</f>
        <v>12.460640928305878</v>
      </c>
      <c r="C83" s="300">
        <f t="shared" ref="C83:V83" si="22">SUM(C79:C82)</f>
        <v>10.877183087511929</v>
      </c>
      <c r="D83" s="300">
        <f t="shared" si="22"/>
        <v>9.3885303226203227</v>
      </c>
      <c r="E83" s="300">
        <f t="shared" si="22"/>
        <v>8.0697629288169868</v>
      </c>
      <c r="F83" s="300">
        <f t="shared" si="22"/>
        <v>6.5024953614675605</v>
      </c>
      <c r="G83" s="300">
        <f t="shared" si="22"/>
        <v>4.8553138732303616</v>
      </c>
      <c r="H83" s="300">
        <f t="shared" si="22"/>
        <v>3.5459510248890949</v>
      </c>
      <c r="I83" s="300">
        <f t="shared" si="22"/>
        <v>3.4595360307181746</v>
      </c>
      <c r="J83" s="300">
        <f t="shared" si="22"/>
        <v>3.4786302705796017</v>
      </c>
      <c r="K83" s="300">
        <f t="shared" si="22"/>
        <v>3.5617424529204857</v>
      </c>
      <c r="L83" s="300">
        <f t="shared" si="22"/>
        <v>3.5364473212187191</v>
      </c>
      <c r="M83" s="300">
        <f t="shared" si="22"/>
        <v>3.504841827453185</v>
      </c>
      <c r="N83" s="300">
        <f t="shared" si="22"/>
        <v>3.4008706098348345</v>
      </c>
      <c r="O83" s="300">
        <f t="shared" si="22"/>
        <v>3.1674722466592682</v>
      </c>
      <c r="P83" s="300">
        <f t="shared" si="22"/>
        <v>2.9314152208916697</v>
      </c>
      <c r="Q83" s="300">
        <f t="shared" si="22"/>
        <v>2.6924518173411087</v>
      </c>
      <c r="R83" s="300">
        <f t="shared" si="22"/>
        <v>2.4409120787087808</v>
      </c>
      <c r="S83" s="300">
        <f t="shared" si="22"/>
        <v>2.1884885549225026</v>
      </c>
      <c r="T83" s="300">
        <f t="shared" si="22"/>
        <v>1.9313600371073849</v>
      </c>
      <c r="U83" s="300">
        <f t="shared" si="22"/>
        <v>1.669526049849446</v>
      </c>
      <c r="V83" s="300">
        <f t="shared" si="22"/>
        <v>1.4030440284811192</v>
      </c>
      <c r="W83" s="300">
        <f t="shared" ref="W83:AF83" si="23">SUM(W79:W82)</f>
        <v>1.1318664935459413</v>
      </c>
      <c r="X83" s="300">
        <f t="shared" si="23"/>
        <v>0.85594396808442019</v>
      </c>
      <c r="Y83" s="300">
        <f t="shared" si="23"/>
        <v>0.57530724040038572</v>
      </c>
      <c r="Z83" s="300">
        <f t="shared" si="23"/>
        <v>0.28998632503391752</v>
      </c>
      <c r="AA83" s="300">
        <f t="shared" si="23"/>
        <v>0</v>
      </c>
      <c r="AB83" s="300">
        <f t="shared" si="23"/>
        <v>0</v>
      </c>
      <c r="AC83" s="300">
        <f t="shared" si="23"/>
        <v>0</v>
      </c>
      <c r="AD83" s="300">
        <f t="shared" si="23"/>
        <v>0</v>
      </c>
      <c r="AE83" s="300">
        <f t="shared" si="23"/>
        <v>0</v>
      </c>
      <c r="AF83" s="300">
        <f t="shared" si="23"/>
        <v>0</v>
      </c>
      <c r="AG83" s="442"/>
    </row>
    <row r="84" spans="1:34" s="377" customFormat="1">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5"/>
    </row>
    <row r="85" spans="1:34" s="5" customFormat="1" ht="13">
      <c r="A85" s="250" t="s">
        <v>1272</v>
      </c>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1"/>
      <c r="AG85" s="5" t="s">
        <v>1385</v>
      </c>
    </row>
    <row r="86" spans="1:34" s="377" customFormat="1" ht="12.9" customHeight="1">
      <c r="A86" s="253" t="s">
        <v>6</v>
      </c>
      <c r="B86" s="253">
        <v>2020</v>
      </c>
      <c r="C86" s="253">
        <v>2021</v>
      </c>
      <c r="D86" s="253">
        <v>2022</v>
      </c>
      <c r="E86" s="253">
        <v>2023</v>
      </c>
      <c r="F86" s="253">
        <v>2024</v>
      </c>
      <c r="G86" s="253">
        <v>2025</v>
      </c>
      <c r="H86" s="253">
        <v>2026</v>
      </c>
      <c r="I86" s="253">
        <v>2027</v>
      </c>
      <c r="J86" s="253">
        <v>2028</v>
      </c>
      <c r="K86" s="253">
        <v>2029</v>
      </c>
      <c r="L86" s="253">
        <v>2030</v>
      </c>
      <c r="M86" s="253">
        <v>2031</v>
      </c>
      <c r="N86" s="253">
        <v>2032</v>
      </c>
      <c r="O86" s="253">
        <v>2033</v>
      </c>
      <c r="P86" s="253">
        <v>2034</v>
      </c>
      <c r="Q86" s="253">
        <v>2035</v>
      </c>
      <c r="R86" s="253">
        <v>2036</v>
      </c>
      <c r="S86" s="253">
        <v>2037</v>
      </c>
      <c r="T86" s="253">
        <v>2038</v>
      </c>
      <c r="U86" s="253">
        <v>2039</v>
      </c>
      <c r="V86" s="253">
        <v>2040</v>
      </c>
      <c r="W86" s="253">
        <v>2041</v>
      </c>
      <c r="X86" s="253">
        <v>2042</v>
      </c>
      <c r="Y86" s="253">
        <v>2043</v>
      </c>
      <c r="Z86" s="253">
        <v>2044</v>
      </c>
      <c r="AA86" s="253">
        <v>2045</v>
      </c>
      <c r="AB86" s="253">
        <v>2046</v>
      </c>
      <c r="AC86" s="253">
        <v>2047</v>
      </c>
      <c r="AD86" s="253">
        <v>2048</v>
      </c>
      <c r="AE86" s="253">
        <v>2049</v>
      </c>
      <c r="AF86" s="253">
        <v>2050</v>
      </c>
      <c r="AG86" s="436" t="s">
        <v>290</v>
      </c>
    </row>
    <row r="87" spans="1:34" s="40" customFormat="1">
      <c r="A87" s="40" t="s">
        <v>477</v>
      </c>
      <c r="B87" s="300">
        <f>B14+B27+B50+B75</f>
        <v>74.939316672768911</v>
      </c>
      <c r="C87" s="300">
        <f t="shared" ref="C87:AF87" si="24">C14+C27+C50+C75</f>
        <v>73.398551118775387</v>
      </c>
      <c r="D87" s="300">
        <f t="shared" si="24"/>
        <v>72.041854552602032</v>
      </c>
      <c r="E87" s="300">
        <f t="shared" si="24"/>
        <v>70.140718846284557</v>
      </c>
      <c r="F87" s="300">
        <f t="shared" si="24"/>
        <v>68.54829201823992</v>
      </c>
      <c r="G87" s="300">
        <f t="shared" si="24"/>
        <v>66.335969949933357</v>
      </c>
      <c r="H87" s="300">
        <f t="shared" si="24"/>
        <v>64.249958035804681</v>
      </c>
      <c r="I87" s="300">
        <f t="shared" si="24"/>
        <v>63.073952131289339</v>
      </c>
      <c r="J87" s="300">
        <f t="shared" si="24"/>
        <v>62.30267292000245</v>
      </c>
      <c r="K87" s="300">
        <f t="shared" si="24"/>
        <v>61.2422641175339</v>
      </c>
      <c r="L87" s="300">
        <f t="shared" si="24"/>
        <v>60.505823025423041</v>
      </c>
      <c r="M87" s="300">
        <f t="shared" si="24"/>
        <v>59.873790080030339</v>
      </c>
      <c r="N87" s="300">
        <f t="shared" si="24"/>
        <v>59.29879086258056</v>
      </c>
      <c r="O87" s="300">
        <f t="shared" si="24"/>
        <v>58.614150265730252</v>
      </c>
      <c r="P87" s="300">
        <f t="shared" si="24"/>
        <v>58.246762385224052</v>
      </c>
      <c r="Q87" s="300">
        <f t="shared" si="24"/>
        <v>57.761816583493655</v>
      </c>
      <c r="R87" s="300">
        <f t="shared" si="24"/>
        <v>57.474012568125559</v>
      </c>
      <c r="S87" s="300">
        <f t="shared" si="24"/>
        <v>57.22013029662557</v>
      </c>
      <c r="T87" s="300">
        <f t="shared" si="24"/>
        <v>57.059224820433357</v>
      </c>
      <c r="U87" s="300">
        <f t="shared" si="24"/>
        <v>56.981833532751331</v>
      </c>
      <c r="V87" s="300">
        <f t="shared" si="24"/>
        <v>56.888274531850833</v>
      </c>
      <c r="W87" s="300">
        <f t="shared" si="24"/>
        <v>56.856375062552786</v>
      </c>
      <c r="X87" s="300">
        <f t="shared" si="24"/>
        <v>56.741499778220195</v>
      </c>
      <c r="Y87" s="300">
        <f t="shared" si="24"/>
        <v>56.836738437864753</v>
      </c>
      <c r="Z87" s="300">
        <f t="shared" si="24"/>
        <v>56.7281894554053</v>
      </c>
      <c r="AA87" s="300">
        <f t="shared" si="24"/>
        <v>56.847216509635579</v>
      </c>
      <c r="AB87" s="300">
        <f t="shared" si="24"/>
        <v>57.06236406718422</v>
      </c>
      <c r="AC87" s="300">
        <f t="shared" si="24"/>
        <v>57.376731495991649</v>
      </c>
      <c r="AD87" s="300">
        <f t="shared" si="24"/>
        <v>57.708140733302287</v>
      </c>
      <c r="AE87" s="300">
        <f t="shared" si="24"/>
        <v>57.970684369444399</v>
      </c>
      <c r="AF87" s="300">
        <f t="shared" si="24"/>
        <v>58.254143064829421</v>
      </c>
      <c r="AG87" s="442">
        <f>((AF87-B87)/B87)/29</f>
        <v>-7.6775561829475177E-3</v>
      </c>
    </row>
    <row r="88" spans="1:34" s="22" customFormat="1" ht="14.5">
      <c r="A88" s="34" t="s">
        <v>478</v>
      </c>
      <c r="B88" s="300">
        <f>IF(parameters!$B$31="Yes",B87+B60,B87)</f>
        <v>74.939316672768911</v>
      </c>
      <c r="C88" s="300">
        <f>IF(parameters!$B$31="Yes",C87+C60,C87)</f>
        <v>73.398551118775387</v>
      </c>
      <c r="D88" s="300">
        <f>IF(parameters!$B$31="Yes",D87+D60,D87)</f>
        <v>72.041854552602032</v>
      </c>
      <c r="E88" s="300">
        <f>IF(parameters!$B$31="Yes",E87+E60,E87)</f>
        <v>70.140718846284557</v>
      </c>
      <c r="F88" s="300">
        <f>IF(parameters!$B$31="Yes",F87+F60,F87)</f>
        <v>68.54829201823992</v>
      </c>
      <c r="G88" s="300">
        <f>IF(parameters!$B$31="Yes",G87+G60,G87)</f>
        <v>66.335969949933357</v>
      </c>
      <c r="H88" s="300">
        <f>IF(parameters!$B$31="Yes",H87+H60,H87)</f>
        <v>64.249958035804681</v>
      </c>
      <c r="I88" s="300">
        <f>IF(parameters!$B$31="Yes",I87+I60,I87)</f>
        <v>63.073952131289339</v>
      </c>
      <c r="J88" s="300">
        <f>IF(parameters!$B$31="Yes",J87+J60,J87)</f>
        <v>62.30267292000245</v>
      </c>
      <c r="K88" s="300">
        <f>IF(parameters!$B$31="Yes",K87+K60,K87)</f>
        <v>61.2422641175339</v>
      </c>
      <c r="L88" s="300">
        <f>IF(parameters!$B$31="Yes",L87+L60,L87)</f>
        <v>60.505823025423041</v>
      </c>
      <c r="M88" s="300">
        <f>IF(parameters!$B$31="Yes",M87+M60,M87)</f>
        <v>59.873790080030339</v>
      </c>
      <c r="N88" s="300">
        <f>IF(parameters!$B$31="Yes",N87+N60,N87)</f>
        <v>59.29879086258056</v>
      </c>
      <c r="O88" s="300">
        <f>IF(parameters!$B$31="Yes",O87+O60,O87)</f>
        <v>58.614150265730252</v>
      </c>
      <c r="P88" s="300">
        <f>IF(parameters!$B$31="Yes",P87+P60,P87)</f>
        <v>58.246762385224052</v>
      </c>
      <c r="Q88" s="300">
        <f>IF(parameters!$B$31="Yes",Q87+Q60,Q87)</f>
        <v>57.761816583493655</v>
      </c>
      <c r="R88" s="300">
        <f>IF(parameters!$B$31="Yes",R87+R60,R87)</f>
        <v>57.474012568125559</v>
      </c>
      <c r="S88" s="300">
        <f>IF(parameters!$B$31="Yes",S87+S60,S87)</f>
        <v>57.22013029662557</v>
      </c>
      <c r="T88" s="300">
        <f>IF(parameters!$B$31="Yes",T87+T60,T87)</f>
        <v>57.059224820433357</v>
      </c>
      <c r="U88" s="300">
        <f>IF(parameters!$B$31="Yes",U87+U60,U87)</f>
        <v>56.981833532751331</v>
      </c>
      <c r="V88" s="300">
        <f>IF(parameters!$B$31="Yes",V87+V60,V87)</f>
        <v>56.888274531850833</v>
      </c>
      <c r="W88" s="300">
        <f>IF(parameters!$B$31="Yes",W87+W60,W87)</f>
        <v>56.856375062552786</v>
      </c>
      <c r="X88" s="300">
        <f>IF(parameters!$B$31="Yes",X87+X60,X87)</f>
        <v>56.741499778220195</v>
      </c>
      <c r="Y88" s="300">
        <f>IF(parameters!$B$31="Yes",Y87+Y60,Y87)</f>
        <v>56.836738437864753</v>
      </c>
      <c r="Z88" s="300">
        <f>IF(parameters!$B$31="Yes",Z87+Z60,Z87)</f>
        <v>56.7281894554053</v>
      </c>
      <c r="AA88" s="300">
        <f>IF(parameters!$B$31="Yes",AA87+AA60,AA87)</f>
        <v>56.847216509635579</v>
      </c>
      <c r="AB88" s="300">
        <f>IF(parameters!$B$31="Yes",AB87+AB60,AB87)</f>
        <v>57.06236406718422</v>
      </c>
      <c r="AC88" s="300">
        <f>IF(parameters!$B$31="Yes",AC87+AC60,AC87)</f>
        <v>57.376731495991649</v>
      </c>
      <c r="AD88" s="300">
        <f>IF(parameters!$B$31="Yes",AD87+AD60,AD87)</f>
        <v>57.708140733302287</v>
      </c>
      <c r="AE88" s="300">
        <f>IF(parameters!$B$31="Yes",AE87+AE60,AE87)</f>
        <v>57.970684369444399</v>
      </c>
      <c r="AF88" s="300">
        <f>IF(parameters!$B$31="Yes",AF87+AF60,AF87)</f>
        <v>58.254143064829421</v>
      </c>
      <c r="AG88" s="442">
        <f>((AF88-B88)/B88)/29</f>
        <v>-7.6775561829475177E-3</v>
      </c>
    </row>
    <row r="89" spans="1:34" s="22" customFormat="1" ht="14.5">
      <c r="A89" s="155"/>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442"/>
    </row>
    <row r="90" spans="1:34" s="40" customFormat="1" ht="13">
      <c r="A90" s="483" t="s">
        <v>1470</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row>
    <row r="91" spans="1:34" s="478" customFormat="1">
      <c r="A91" s="71" t="s">
        <v>1469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row>
    <row r="92" spans="1:34">
      <c r="A92" s="71" t="s">
        <v>1399</v>
      </c>
      <c r="B92" s="155">
        <v>75.399978833646784</v>
      </c>
      <c r="C92" s="155">
        <v>74.24665330604131</v>
      </c>
      <c r="D92" s="155">
        <v>72.928901497361935</v>
      </c>
      <c r="E92" s="155">
        <v>71.490826718096486</v>
      </c>
      <c r="F92" s="155">
        <v>70.406996887873945</v>
      </c>
      <c r="G92" s="155">
        <v>68.652170935557322</v>
      </c>
      <c r="H92" s="155">
        <v>67.11975661242171</v>
      </c>
      <c r="I92" s="155">
        <v>66.579110185511155</v>
      </c>
      <c r="J92" s="155">
        <v>66.524159799144513</v>
      </c>
      <c r="K92" s="155">
        <v>66.095764087925843</v>
      </c>
      <c r="L92" s="155">
        <v>65.52144339992428</v>
      </c>
      <c r="M92" s="155">
        <v>65.021378386294174</v>
      </c>
      <c r="N92" s="155">
        <v>64.626335573959679</v>
      </c>
      <c r="O92" s="155">
        <v>64.293915164344014</v>
      </c>
      <c r="P92" s="155">
        <v>64.086399465826361</v>
      </c>
      <c r="Q92" s="155">
        <v>63.611696772944022</v>
      </c>
      <c r="R92" s="155">
        <v>63.329211145231575</v>
      </c>
      <c r="S92" s="155">
        <v>63.088755847554552</v>
      </c>
      <c r="T92" s="155">
        <v>62.987767450512465</v>
      </c>
      <c r="U92" s="155">
        <v>62.995961619332277</v>
      </c>
      <c r="V92" s="155">
        <v>62.876259553432241</v>
      </c>
      <c r="W92" s="155">
        <v>62.891463376517017</v>
      </c>
      <c r="X92" s="155">
        <v>62.785263224698191</v>
      </c>
      <c r="Y92" s="155">
        <v>62.896683061295121</v>
      </c>
      <c r="Z92" s="155">
        <v>62.782480470832226</v>
      </c>
      <c r="AA92" s="155">
        <v>62.946986538065687</v>
      </c>
      <c r="AB92" s="155">
        <v>63.166307057174123</v>
      </c>
      <c r="AC92" s="155">
        <v>63.471116181495972</v>
      </c>
      <c r="AD92" s="155">
        <v>63.774169028769577</v>
      </c>
      <c r="AE92" s="155">
        <v>64.02501592462508</v>
      </c>
      <c r="AF92" s="155">
        <v>64.319138829271679</v>
      </c>
    </row>
    <row r="93" spans="1:34" s="504" customFormat="1">
      <c r="A93" s="507" t="s">
        <v>255</v>
      </c>
      <c r="B93" s="508">
        <v>10.039612662994319</v>
      </c>
      <c r="C93" s="508">
        <v>9.4248808540335567</v>
      </c>
      <c r="D93" s="508">
        <v>8.6957783299585074</v>
      </c>
      <c r="E93" s="508">
        <v>8.1825809886538945</v>
      </c>
      <c r="F93" s="508">
        <v>7.6241704022149275</v>
      </c>
      <c r="G93" s="508">
        <v>6.9768501890601904</v>
      </c>
      <c r="H93" s="508">
        <v>6.4512195824250975</v>
      </c>
      <c r="I93" s="508">
        <v>6.3854081628052191</v>
      </c>
      <c r="J93" s="508">
        <v>6.3616429353673976</v>
      </c>
      <c r="K93" s="508">
        <v>6.332639468355687</v>
      </c>
      <c r="L93" s="508">
        <v>6.1878430286075172</v>
      </c>
      <c r="M93" s="508">
        <v>6.0600703179169297</v>
      </c>
      <c r="N93" s="508">
        <v>5.942809131869276</v>
      </c>
      <c r="O93" s="508">
        <v>5.8291679674835395</v>
      </c>
      <c r="P93" s="508">
        <v>5.7205163382525752</v>
      </c>
      <c r="Q93" s="508">
        <v>5.6131523920082564</v>
      </c>
      <c r="R93" s="508">
        <v>5.5041011137687432</v>
      </c>
      <c r="S93" s="508">
        <v>5.3953342771848849</v>
      </c>
      <c r="T93" s="508">
        <v>5.2865693944768815</v>
      </c>
      <c r="U93" s="508">
        <v>5.1772216586449522</v>
      </c>
      <c r="V93" s="508">
        <v>5.0677497536534757</v>
      </c>
      <c r="W93" s="508">
        <v>4.9596027054198117</v>
      </c>
      <c r="X93" s="508">
        <v>4.848841999722624</v>
      </c>
      <c r="Y93" s="508">
        <v>4.7366860075243462</v>
      </c>
      <c r="Z93" s="508">
        <v>4.6226610055995101</v>
      </c>
      <c r="AA93" s="508">
        <v>4.50914120497964</v>
      </c>
      <c r="AB93" s="508">
        <v>4.4854771500792303</v>
      </c>
      <c r="AC93" s="508">
        <v>4.4611596195424417</v>
      </c>
      <c r="AD93" s="508">
        <v>4.434666697284519</v>
      </c>
      <c r="AE93" s="508">
        <v>4.4079534860075613</v>
      </c>
      <c r="AF93" s="508">
        <v>4.3809342839757406</v>
      </c>
    </row>
    <row r="94" spans="1:34" s="504" customFormat="1">
      <c r="A94" s="507" t="s">
        <v>256</v>
      </c>
      <c r="B94" s="508">
        <v>8.4524754950033785</v>
      </c>
      <c r="C94" s="508">
        <v>7.946938513872988</v>
      </c>
      <c r="D94" s="508">
        <v>7.3304193595210245</v>
      </c>
      <c r="E94" s="508">
        <v>6.8961301467360183</v>
      </c>
      <c r="F94" s="508">
        <v>6.4641437960736106</v>
      </c>
      <c r="G94" s="508">
        <v>5.9489826816217466</v>
      </c>
      <c r="H94" s="508">
        <v>5.5373168702666664</v>
      </c>
      <c r="I94" s="508">
        <v>5.5427232143260134</v>
      </c>
      <c r="J94" s="508">
        <v>5.5940989557388558</v>
      </c>
      <c r="K94" s="508">
        <v>5.5971756062732378</v>
      </c>
      <c r="L94" s="508">
        <v>5.5031686682093977</v>
      </c>
      <c r="M94" s="508">
        <v>5.4261803994046485</v>
      </c>
      <c r="N94" s="508">
        <v>5.366182282026621</v>
      </c>
      <c r="O94" s="508">
        <v>5.307319428046787</v>
      </c>
      <c r="P94" s="508">
        <v>5.2507931951645714</v>
      </c>
      <c r="Q94" s="508">
        <v>5.1961805829448213</v>
      </c>
      <c r="R94" s="508">
        <v>5.1424866401287854</v>
      </c>
      <c r="S94" s="508">
        <v>5.0906352680207458</v>
      </c>
      <c r="T94" s="508">
        <v>5.0370181881671749</v>
      </c>
      <c r="U94" s="508">
        <v>4.9811330633584845</v>
      </c>
      <c r="V94" s="508">
        <v>4.9237442798762068</v>
      </c>
      <c r="W94" s="508">
        <v>4.8752419803013201</v>
      </c>
      <c r="X94" s="508">
        <v>4.8226772424324693</v>
      </c>
      <c r="Y94" s="508">
        <v>4.7665006919482087</v>
      </c>
      <c r="Z94" s="508">
        <v>4.7070220759303982</v>
      </c>
      <c r="AA94" s="508">
        <v>4.6457141310699654</v>
      </c>
      <c r="AB94" s="508">
        <v>4.6817075001457269</v>
      </c>
      <c r="AC94" s="508">
        <v>4.7140572726909662</v>
      </c>
      <c r="AD94" s="508">
        <v>4.741573739546868</v>
      </c>
      <c r="AE94" s="508">
        <v>4.7646611725762105</v>
      </c>
      <c r="AF94" s="508">
        <v>4.7837972671333375</v>
      </c>
    </row>
    <row r="95" spans="1:34" s="504" customFormat="1">
      <c r="A95" s="507" t="s">
        <v>257</v>
      </c>
      <c r="B95" s="508">
        <v>13.896317254718021</v>
      </c>
      <c r="C95" s="508">
        <v>13.510418025992575</v>
      </c>
      <c r="D95" s="508">
        <v>13.073423414241258</v>
      </c>
      <c r="E95" s="508">
        <v>12.750823358672003</v>
      </c>
      <c r="F95" s="508">
        <v>12.818980466074743</v>
      </c>
      <c r="G95" s="508">
        <v>12.480875635129705</v>
      </c>
      <c r="H95" s="508">
        <v>12.235827174390501</v>
      </c>
      <c r="I95" s="508">
        <v>12.085251341092315</v>
      </c>
      <c r="J95" s="508">
        <v>12.256815070002407</v>
      </c>
      <c r="K95" s="508">
        <v>12.09907475675706</v>
      </c>
      <c r="L95" s="508">
        <v>12.11067113110624</v>
      </c>
      <c r="M95" s="508">
        <v>12.052651284395363</v>
      </c>
      <c r="N95" s="508">
        <v>12.029119892235173</v>
      </c>
      <c r="O95" s="508">
        <v>12.067050685651111</v>
      </c>
      <c r="P95" s="508">
        <v>12.183113154215928</v>
      </c>
      <c r="Q95" s="508">
        <v>12.146859557370085</v>
      </c>
      <c r="R95" s="508">
        <v>12.07967625111025</v>
      </c>
      <c r="S95" s="508">
        <v>12.043142025518852</v>
      </c>
      <c r="T95" s="508">
        <v>12.070030477228226</v>
      </c>
      <c r="U95" s="508">
        <v>12.176289921713721</v>
      </c>
      <c r="V95" s="508">
        <v>12.142093079849992</v>
      </c>
      <c r="W95" s="508">
        <v>12.202128281445663</v>
      </c>
      <c r="X95" s="508">
        <v>12.183780594182826</v>
      </c>
      <c r="Y95" s="508">
        <v>12.243658538851847</v>
      </c>
      <c r="Z95" s="508">
        <v>12.258558607078651</v>
      </c>
      <c r="AA95" s="508">
        <v>12.451774520440789</v>
      </c>
      <c r="AB95" s="508">
        <v>12.541660208507381</v>
      </c>
      <c r="AC95" s="508">
        <v>12.661395689176032</v>
      </c>
      <c r="AD95" s="508">
        <v>12.80189931935144</v>
      </c>
      <c r="AE95" s="508">
        <v>12.918199846225422</v>
      </c>
      <c r="AF95" s="508">
        <v>13.10026510328537</v>
      </c>
    </row>
    <row r="96" spans="1:34" s="504" customFormat="1">
      <c r="A96" s="507" t="s">
        <v>1445</v>
      </c>
      <c r="B96" s="508">
        <v>43.011573420931065</v>
      </c>
      <c r="C96" s="508">
        <v>43.364415912142192</v>
      </c>
      <c r="D96" s="508">
        <v>43.829280393641142</v>
      </c>
      <c r="E96" s="508">
        <v>43.661292224034568</v>
      </c>
      <c r="F96" s="508">
        <v>43.49970222351066</v>
      </c>
      <c r="G96" s="508">
        <v>43.245462429745679</v>
      </c>
      <c r="H96" s="508">
        <v>42.895392985339448</v>
      </c>
      <c r="I96" s="508">
        <v>42.565727467287601</v>
      </c>
      <c r="J96" s="508">
        <v>42.311602838035853</v>
      </c>
      <c r="K96" s="508">
        <v>42.066874256539855</v>
      </c>
      <c r="L96" s="508">
        <v>41.719760572001128</v>
      </c>
      <c r="M96" s="508">
        <v>41.482476384577225</v>
      </c>
      <c r="N96" s="508">
        <v>41.28822426782861</v>
      </c>
      <c r="O96" s="508">
        <v>41.090377083162572</v>
      </c>
      <c r="P96" s="508">
        <v>40.931976778193295</v>
      </c>
      <c r="Q96" s="508">
        <v>40.655504240620857</v>
      </c>
      <c r="R96" s="508">
        <v>40.602947140223797</v>
      </c>
      <c r="S96" s="508">
        <v>40.55964427683007</v>
      </c>
      <c r="T96" s="508">
        <v>40.594149390640183</v>
      </c>
      <c r="U96" s="508">
        <v>40.661316975615122</v>
      </c>
      <c r="V96" s="508">
        <v>40.742672440052566</v>
      </c>
      <c r="W96" s="508">
        <v>40.85449040935022</v>
      </c>
      <c r="X96" s="508">
        <v>40.929963388360271</v>
      </c>
      <c r="Y96" s="508">
        <v>41.149837822970717</v>
      </c>
      <c r="Z96" s="508">
        <v>41.194238782223671</v>
      </c>
      <c r="AA96" s="508">
        <v>41.340356681575294</v>
      </c>
      <c r="AB96" s="508">
        <v>41.457462198441782</v>
      </c>
      <c r="AC96" s="508">
        <v>41.634503600086532</v>
      </c>
      <c r="AD96" s="508">
        <v>41.79602927258675</v>
      </c>
      <c r="AE96" s="508">
        <v>41.934201419815885</v>
      </c>
      <c r="AF96" s="508">
        <v>42.054142174877228</v>
      </c>
    </row>
    <row r="97" spans="1:32" s="504" customFormat="1">
      <c r="A97" s="507" t="s">
        <v>1448</v>
      </c>
      <c r="B97" s="508">
        <v>12.776372801139747</v>
      </c>
      <c r="C97" s="508">
        <v>11.356123432131023</v>
      </c>
      <c r="D97" s="508">
        <v>9.6091948756241532</v>
      </c>
      <c r="E97" s="508">
        <v>8.3927996134915475</v>
      </c>
      <c r="F97" s="508">
        <v>6.9170049558349653</v>
      </c>
      <c r="G97" s="508">
        <v>5.2537300314458992</v>
      </c>
      <c r="H97" s="508">
        <v>3.9406546377322469</v>
      </c>
      <c r="I97" s="508">
        <v>3.8951705892617841</v>
      </c>
      <c r="J97" s="508">
        <v>3.9573421708337166</v>
      </c>
      <c r="K97" s="508">
        <v>4.109858404520681</v>
      </c>
      <c r="L97" s="508">
        <v>3.8770279030586012</v>
      </c>
      <c r="M97" s="508">
        <v>3.6363040988952933</v>
      </c>
      <c r="N97" s="508">
        <v>3.405747581186656</v>
      </c>
      <c r="O97" s="508">
        <v>3.1721905028454183</v>
      </c>
      <c r="P97" s="508">
        <v>2.9350338710281854</v>
      </c>
      <c r="Q97" s="508">
        <v>2.6937129792594896</v>
      </c>
      <c r="R97" s="508">
        <v>2.4396321548105231</v>
      </c>
      <c r="S97" s="508">
        <v>2.185352351947067</v>
      </c>
      <c r="T97" s="508">
        <v>1.9267995150202848</v>
      </c>
      <c r="U97" s="508">
        <v>1.6639671683663215</v>
      </c>
      <c r="V97" s="508">
        <v>1.3967775753290756</v>
      </c>
      <c r="W97" s="508">
        <v>1.1254647616877411</v>
      </c>
      <c r="X97" s="508">
        <v>0.85010517792380513</v>
      </c>
      <c r="Y97" s="508">
        <v>0.57072343420141913</v>
      </c>
      <c r="Z97" s="508">
        <v>0.28734314119380111</v>
      </c>
      <c r="AA97" s="508">
        <v>0</v>
      </c>
      <c r="AB97" s="508">
        <v>0</v>
      </c>
      <c r="AC97" s="508">
        <v>0</v>
      </c>
      <c r="AD97" s="508">
        <v>0</v>
      </c>
      <c r="AE97" s="508">
        <v>0</v>
      </c>
      <c r="AF97" s="508">
        <v>0</v>
      </c>
    </row>
    <row r="98" spans="1:32" s="478" customFormat="1">
      <c r="A98" s="71" t="s">
        <v>1400</v>
      </c>
      <c r="B98" s="155">
        <v>75.63419455890795</v>
      </c>
      <c r="C98" s="155">
        <v>74.537779237333467</v>
      </c>
      <c r="D98" s="155">
        <v>73.368437150144274</v>
      </c>
      <c r="E98" s="155">
        <v>72.104524850373622</v>
      </c>
      <c r="F98" s="155">
        <v>71.125834971301842</v>
      </c>
      <c r="G98" s="155">
        <v>69.292828291004923</v>
      </c>
      <c r="H98" s="155">
        <v>68.004937827565954</v>
      </c>
      <c r="I98" s="155">
        <v>67.39115810106621</v>
      </c>
      <c r="J98" s="155">
        <v>67.549317163266707</v>
      </c>
      <c r="K98" s="155">
        <v>67.364233680813356</v>
      </c>
      <c r="L98" s="155">
        <v>66.740687989825062</v>
      </c>
      <c r="M98" s="155">
        <v>66.469479731532445</v>
      </c>
      <c r="N98" s="155">
        <v>66.256957869973832</v>
      </c>
      <c r="O98" s="155">
        <v>66.181275472141749</v>
      </c>
      <c r="P98" s="155">
        <v>65.888185351072849</v>
      </c>
      <c r="Q98" s="155">
        <v>65.757967566807878</v>
      </c>
      <c r="R98" s="155">
        <v>65.628390463308762</v>
      </c>
      <c r="S98" s="155">
        <v>65.747708701548362</v>
      </c>
      <c r="T98" s="155">
        <v>65.928481528259937</v>
      </c>
      <c r="U98" s="155">
        <v>65.950179203643756</v>
      </c>
      <c r="V98" s="155">
        <v>66.021811599596205</v>
      </c>
      <c r="W98" s="155">
        <v>66.325927761965858</v>
      </c>
      <c r="X98" s="155">
        <v>66.206516285627274</v>
      </c>
      <c r="Y98" s="155">
        <v>66.530690711196144</v>
      </c>
      <c r="Z98" s="155">
        <v>66.886303345332905</v>
      </c>
      <c r="AA98" s="155">
        <v>66.994362843038573</v>
      </c>
      <c r="AB98" s="155">
        <v>67.360992484415192</v>
      </c>
      <c r="AC98" s="155">
        <v>67.821377400845577</v>
      </c>
      <c r="AD98" s="155">
        <v>68.198859442896733</v>
      </c>
      <c r="AE98" s="155">
        <v>68.983505859228444</v>
      </c>
      <c r="AF98" s="155">
        <v>69.486946176033271</v>
      </c>
    </row>
    <row r="99" spans="1:32" s="478" customFormat="1">
      <c r="A99" s="71" t="s">
        <v>1401</v>
      </c>
      <c r="B99" s="155">
        <v>75.092362768040488</v>
      </c>
      <c r="C99" s="155">
        <v>73.627318788387043</v>
      </c>
      <c r="D99" s="155">
        <v>72.269019389288275</v>
      </c>
      <c r="E99" s="155">
        <v>70.716715858795283</v>
      </c>
      <c r="F99" s="155">
        <v>69.310688371902145</v>
      </c>
      <c r="G99" s="155">
        <v>67.559277185647545</v>
      </c>
      <c r="H99" s="155">
        <v>65.874070699053647</v>
      </c>
      <c r="I99" s="155">
        <v>65.375541234996078</v>
      </c>
      <c r="J99" s="155">
        <v>64.881792646928517</v>
      </c>
      <c r="K99" s="155">
        <v>64.842117042582402</v>
      </c>
      <c r="L99" s="155">
        <v>63.941248850552512</v>
      </c>
      <c r="M99" s="155">
        <v>63.39027184924592</v>
      </c>
      <c r="N99" s="155">
        <v>62.835049736505646</v>
      </c>
      <c r="O99" s="155">
        <v>62.059912232164272</v>
      </c>
      <c r="P99" s="155">
        <v>61.67049668154219</v>
      </c>
      <c r="Q99" s="155">
        <v>61.197046284240486</v>
      </c>
      <c r="R99" s="155">
        <v>60.777982027777192</v>
      </c>
      <c r="S99" s="155">
        <v>60.325599628547394</v>
      </c>
      <c r="T99" s="155">
        <v>60.017591332065876</v>
      </c>
      <c r="U99" s="155">
        <v>59.736748153795524</v>
      </c>
      <c r="V99" s="155">
        <v>59.576056310264768</v>
      </c>
      <c r="W99" s="155">
        <v>59.258702993949854</v>
      </c>
      <c r="X99" s="155">
        <v>59.01660951063004</v>
      </c>
      <c r="Y99" s="155">
        <v>58.938259859539038</v>
      </c>
      <c r="Z99" s="155">
        <v>58.558770389882895</v>
      </c>
      <c r="AA99" s="155">
        <v>58.312781925972416</v>
      </c>
      <c r="AB99" s="155">
        <v>58.255522000811183</v>
      </c>
      <c r="AC99" s="155">
        <v>58.314424752399063</v>
      </c>
      <c r="AD99" s="155">
        <v>58.450699647095377</v>
      </c>
      <c r="AE99" s="155">
        <v>58.509139101468762</v>
      </c>
      <c r="AF99" s="155">
        <v>58.5782519982587</v>
      </c>
    </row>
    <row r="100" spans="1:32" s="478" customFormat="1" ht="13">
      <c r="A100" s="482" t="s">
        <v>1402</v>
      </c>
      <c r="B100" s="155">
        <f>IF(parameters!$B$33="B",B98,IF(parameters!$B$33="C",B99,B92))</f>
        <v>75.399978833646784</v>
      </c>
      <c r="C100" s="155">
        <f>IF(parameters!$B$33="B",C98,IF(parameters!$B$33="C",C99,C92))</f>
        <v>74.24665330604131</v>
      </c>
      <c r="D100" s="155">
        <f>IF(parameters!$B$33="B",D98,IF(parameters!$B$33="C",D99,D92))</f>
        <v>72.928901497361935</v>
      </c>
      <c r="E100" s="155">
        <f>IF(parameters!$B$33="B",E98,IF(parameters!$B$33="C",E99,E92))</f>
        <v>71.490826718096486</v>
      </c>
      <c r="F100" s="155">
        <f>IF(parameters!$B$33="B",F98,IF(parameters!$B$33="C",F99,F92))</f>
        <v>70.406996887873945</v>
      </c>
      <c r="G100" s="155">
        <f>IF(parameters!$B$33="B",G98,IF(parameters!$B$33="C",G99,G92))</f>
        <v>68.652170935557322</v>
      </c>
      <c r="H100" s="155">
        <f>IF(parameters!$B$33="B",H98,IF(parameters!$B$33="C",H99,H92))</f>
        <v>67.11975661242171</v>
      </c>
      <c r="I100" s="155">
        <f>IF(parameters!$B$33="B",I98,IF(parameters!$B$33="C",I99,I92))</f>
        <v>66.579110185511155</v>
      </c>
      <c r="J100" s="155">
        <f>IF(parameters!$B$33="B",J98,IF(parameters!$B$33="C",J99,J92))</f>
        <v>66.524159799144513</v>
      </c>
      <c r="K100" s="155">
        <f>IF(parameters!$B$33="B",K98,IF(parameters!$B$33="C",K99,K92))</f>
        <v>66.095764087925843</v>
      </c>
      <c r="L100" s="155">
        <f>IF(parameters!$B$33="B",L98,IF(parameters!$B$33="C",L99,L92))</f>
        <v>65.52144339992428</v>
      </c>
      <c r="M100" s="155">
        <f>IF(parameters!$B$33="B",M98,IF(parameters!$B$33="C",M99,M92))</f>
        <v>65.021378386294174</v>
      </c>
      <c r="N100" s="155">
        <f>IF(parameters!$B$33="B",N98,IF(parameters!$B$33="C",N99,N92))</f>
        <v>64.626335573959679</v>
      </c>
      <c r="O100" s="155">
        <f>IF(parameters!$B$33="B",O98,IF(parameters!$B$33="C",O99,O92))</f>
        <v>64.293915164344014</v>
      </c>
      <c r="P100" s="155">
        <f>IF(parameters!$B$33="B",P98,IF(parameters!$B$33="C",P99,P92))</f>
        <v>64.086399465826361</v>
      </c>
      <c r="Q100" s="155">
        <f>IF(parameters!$B$33="B",Q98,IF(parameters!$B$33="C",Q99,Q92))</f>
        <v>63.611696772944022</v>
      </c>
      <c r="R100" s="155">
        <f>IF(parameters!$B$33="B",R98,IF(parameters!$B$33="C",R99,R92))</f>
        <v>63.329211145231575</v>
      </c>
      <c r="S100" s="155">
        <f>IF(parameters!$B$33="B",S98,IF(parameters!$B$33="C",S99,S92))</f>
        <v>63.088755847554552</v>
      </c>
      <c r="T100" s="155">
        <f>IF(parameters!$B$33="B",T98,IF(parameters!$B$33="C",T99,T92))</f>
        <v>62.987767450512465</v>
      </c>
      <c r="U100" s="155">
        <f>IF(parameters!$B$33="B",U98,IF(parameters!$B$33="C",U99,U92))</f>
        <v>62.995961619332277</v>
      </c>
      <c r="V100" s="155">
        <f>IF(parameters!$B$33="B",V98,IF(parameters!$B$33="C",V99,V92))</f>
        <v>62.876259553432241</v>
      </c>
      <c r="W100" s="155">
        <f>IF(parameters!$B$33="B",W98,IF(parameters!$B$33="C",W99,W92))</f>
        <v>62.891463376517017</v>
      </c>
      <c r="X100" s="155">
        <f>IF(parameters!$B$33="B",X98,IF(parameters!$B$33="C",X99,X92))</f>
        <v>62.785263224698191</v>
      </c>
      <c r="Y100" s="155">
        <f>IF(parameters!$B$33="B",Y98,IF(parameters!$B$33="C",Y99,Y92))</f>
        <v>62.896683061295121</v>
      </c>
      <c r="Z100" s="155">
        <f>IF(parameters!$B$33="B",Z98,IF(parameters!$B$33="C",Z99,Z92))</f>
        <v>62.782480470832226</v>
      </c>
      <c r="AA100" s="155">
        <f>IF(parameters!$B$33="B",AA98,IF(parameters!$B$33="C",AA99,AA92))</f>
        <v>62.946986538065687</v>
      </c>
      <c r="AB100" s="155">
        <f>IF(parameters!$B$33="B",AB98,IF(parameters!$B$33="C",AB99,AB92))</f>
        <v>63.166307057174123</v>
      </c>
      <c r="AC100" s="155">
        <f>IF(parameters!$B$33="B",AC98,IF(parameters!$B$33="C",AC99,AC92))</f>
        <v>63.471116181495972</v>
      </c>
      <c r="AD100" s="155">
        <f>IF(parameters!$B$33="B",AD98,IF(parameters!$B$33="C",AD99,AD92))</f>
        <v>63.774169028769577</v>
      </c>
      <c r="AE100" s="155">
        <f>IF(parameters!$B$33="B",AE98,IF(parameters!$B$33="C",AE99,AE92))</f>
        <v>64.02501592462508</v>
      </c>
      <c r="AF100" s="155">
        <f>IF(parameters!$B$33="B",AF98,IF(parameters!$B$33="C",AF99,AF92))</f>
        <v>64.319138829271679</v>
      </c>
    </row>
    <row r="102" spans="1:32" ht="13">
      <c r="A102" s="483" t="s">
        <v>1413</v>
      </c>
      <c r="B102" s="155">
        <f>IF(parameters!$B$31="Yes",B100+B60,B100)</f>
        <v>75.399978833646784</v>
      </c>
      <c r="C102" s="155">
        <f>IF(parameters!$B$31="Yes",C100+C60,C100)</f>
        <v>74.24665330604131</v>
      </c>
      <c r="D102" s="155">
        <f>IF(parameters!$B$31="Yes",D100+D60,D100)</f>
        <v>72.928901497361935</v>
      </c>
      <c r="E102" s="155">
        <f>IF(parameters!$B$31="Yes",E100+E60,E100)</f>
        <v>71.490826718096486</v>
      </c>
      <c r="F102" s="155">
        <f>IF(parameters!$B$31="Yes",F100+F60,F100)</f>
        <v>70.406996887873945</v>
      </c>
      <c r="G102" s="155">
        <f>IF(parameters!$B$31="Yes",G100+G60,G100)</f>
        <v>68.652170935557322</v>
      </c>
      <c r="H102" s="155">
        <f>IF(parameters!$B$31="Yes",H100+H60,H100)</f>
        <v>67.11975661242171</v>
      </c>
      <c r="I102" s="155">
        <f>IF(parameters!$B$31="Yes",I100+I60,I100)</f>
        <v>66.579110185511155</v>
      </c>
      <c r="J102" s="155">
        <f>IF(parameters!$B$31="Yes",J100+J60,J100)</f>
        <v>66.524159799144513</v>
      </c>
      <c r="K102" s="155">
        <f>IF(parameters!$B$31="Yes",K100+K60,K100)</f>
        <v>66.095764087925843</v>
      </c>
      <c r="L102" s="155">
        <f>IF(parameters!$B$31="Yes",L100+L60,L100)</f>
        <v>65.52144339992428</v>
      </c>
      <c r="M102" s="155">
        <f>IF(parameters!$B$31="Yes",M100+M60,M100)</f>
        <v>65.021378386294174</v>
      </c>
      <c r="N102" s="155">
        <f>IF(parameters!$B$31="Yes",N100+N60,N100)</f>
        <v>64.626335573959679</v>
      </c>
      <c r="O102" s="155">
        <f>IF(parameters!$B$31="Yes",O100+O60,O100)</f>
        <v>64.293915164344014</v>
      </c>
      <c r="P102" s="155">
        <f>IF(parameters!$B$31="Yes",P100+P60,P100)</f>
        <v>64.086399465826361</v>
      </c>
      <c r="Q102" s="155">
        <f>IF(parameters!$B$31="Yes",Q100+Q60,Q100)</f>
        <v>63.611696772944022</v>
      </c>
      <c r="R102" s="155">
        <f>IF(parameters!$B$31="Yes",R100+R60,R100)</f>
        <v>63.329211145231575</v>
      </c>
      <c r="S102" s="155">
        <f>IF(parameters!$B$31="Yes",S100+S60,S100)</f>
        <v>63.088755847554552</v>
      </c>
      <c r="T102" s="155">
        <f>IF(parameters!$B$31="Yes",T100+T60,T100)</f>
        <v>62.987767450512465</v>
      </c>
      <c r="U102" s="155">
        <f>IF(parameters!$B$31="Yes",U100+U60,U100)</f>
        <v>62.995961619332277</v>
      </c>
      <c r="V102" s="155">
        <f>IF(parameters!$B$31="Yes",V100+V60,V100)</f>
        <v>62.876259553432241</v>
      </c>
      <c r="W102" s="155">
        <f>IF(parameters!$B$31="Yes",W100+W60,W100)</f>
        <v>62.891463376517017</v>
      </c>
      <c r="X102" s="155">
        <f>IF(parameters!$B$31="Yes",X100+X60,X100)</f>
        <v>62.785263224698191</v>
      </c>
      <c r="Y102" s="155">
        <f>IF(parameters!$B$31="Yes",Y100+Y60,Y100)</f>
        <v>62.896683061295121</v>
      </c>
      <c r="Z102" s="155">
        <f>IF(parameters!$B$31="Yes",Z100+Z60,Z100)</f>
        <v>62.782480470832226</v>
      </c>
      <c r="AA102" s="155">
        <f>IF(parameters!$B$31="Yes",AA100+AA60,AA100)</f>
        <v>62.946986538065687</v>
      </c>
      <c r="AB102" s="155">
        <f>IF(parameters!$B$31="Yes",AB100+AB60,AB100)</f>
        <v>63.166307057174123</v>
      </c>
      <c r="AC102" s="155">
        <f>IF(parameters!$B$31="Yes",AC100+AC60,AC100)</f>
        <v>63.471116181495972</v>
      </c>
      <c r="AD102" s="155">
        <f>IF(parameters!$B$31="Yes",AD100+AD60,AD100)</f>
        <v>63.774169028769577</v>
      </c>
      <c r="AE102" s="155">
        <f>IF(parameters!$B$31="Yes",AE100+AE60,AE100)</f>
        <v>64.02501592462508</v>
      </c>
      <c r="AF102" s="155">
        <f>IF(parameters!$B$31="Yes",AF100+AF60,AF100)</f>
        <v>64.319138829271679</v>
      </c>
    </row>
    <row r="103" spans="1:32">
      <c r="A103" s="71" t="s">
        <v>1412</v>
      </c>
      <c r="B103" s="387" t="s">
        <v>1410</v>
      </c>
    </row>
    <row r="104" spans="1:32" s="484" customFormat="1">
      <c r="A104" s="71"/>
      <c r="B104" s="387"/>
    </row>
    <row r="107" spans="1:32">
      <c r="A107" s="84" t="s">
        <v>1492</v>
      </c>
      <c r="B107">
        <v>14.05</v>
      </c>
      <c r="C107">
        <v>12.51</v>
      </c>
      <c r="D107">
        <v>12.37</v>
      </c>
      <c r="E107">
        <v>11.73</v>
      </c>
      <c r="F107">
        <v>11.6</v>
      </c>
      <c r="G107">
        <v>11.48</v>
      </c>
      <c r="H107">
        <v>5.8</v>
      </c>
      <c r="I107">
        <v>5.08</v>
      </c>
      <c r="J107">
        <v>4.46</v>
      </c>
      <c r="K107">
        <v>3.8</v>
      </c>
      <c r="L107">
        <v>3.54</v>
      </c>
      <c r="M107">
        <v>3.27</v>
      </c>
      <c r="N107">
        <v>3.01</v>
      </c>
      <c r="O107">
        <v>2.74</v>
      </c>
      <c r="P107">
        <v>2.46</v>
      </c>
      <c r="Q107">
        <v>2.1800000000000002</v>
      </c>
      <c r="R107">
        <v>1.89</v>
      </c>
      <c r="S107">
        <v>1.59</v>
      </c>
      <c r="T107">
        <v>1.28</v>
      </c>
      <c r="U107">
        <v>0.97</v>
      </c>
      <c r="V107">
        <v>0.65</v>
      </c>
      <c r="W107">
        <v>0.42</v>
      </c>
      <c r="X107">
        <v>0.42</v>
      </c>
      <c r="Y107">
        <v>0.43</v>
      </c>
      <c r="Z107">
        <v>0.43</v>
      </c>
      <c r="AA107">
        <v>0.44</v>
      </c>
      <c r="AB107">
        <v>0</v>
      </c>
      <c r="AC107">
        <v>0</v>
      </c>
      <c r="AD107">
        <v>0</v>
      </c>
      <c r="AE107">
        <v>0</v>
      </c>
      <c r="AF107">
        <v>0</v>
      </c>
    </row>
  </sheetData>
  <phoneticPr fontId="7"/>
  <pageMargins left="0.7" right="0.7" top="0.75" bottom="0.75" header="0.3" footer="0.3"/>
  <pageSetup scale="9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AF55"/>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33203125" defaultRowHeight="12"/>
  <cols>
    <col min="1" max="1" width="28.88671875" style="40" customWidth="1"/>
    <col min="2" max="16384" width="9.33203125" style="40"/>
  </cols>
  <sheetData>
    <row r="1" spans="1:32" s="280" customFormat="1" ht="26.15" customHeight="1">
      <c r="A1" s="281" t="s">
        <v>336</v>
      </c>
    </row>
    <row r="2" spans="1:32" s="280" customFormat="1" ht="12.9" customHeight="1">
      <c r="A2" s="43" t="s">
        <v>359</v>
      </c>
    </row>
    <row r="3" spans="1:32" s="280" customFormat="1" ht="12.9" customHeight="1">
      <c r="A3" s="43" t="s">
        <v>360</v>
      </c>
    </row>
    <row r="4" spans="1:32" s="280" customFormat="1" ht="12.9" customHeight="1">
      <c r="A4" s="43" t="s">
        <v>357</v>
      </c>
      <c r="B4" s="328" t="str">
        <f>'Baseline expend'!B4</f>
        <v>Billions of 2018 dollars</v>
      </c>
    </row>
    <row r="5" spans="1:32" s="280" customFormat="1" ht="12.9" customHeight="1"/>
    <row r="6" spans="1:32" s="5" customFormat="1" ht="13">
      <c r="A6" s="250" t="str">
        <f>'Adjusted price'!A6</f>
        <v xml:space="preserve"> Residential</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1"/>
    </row>
    <row r="7" spans="1:32" s="280" customFormat="1" ht="12.9" customHeight="1">
      <c r="A7" s="253" t="s">
        <v>6</v>
      </c>
      <c r="B7" s="253">
        <v>2020</v>
      </c>
      <c r="C7" s="253">
        <v>2021</v>
      </c>
      <c r="D7" s="253">
        <v>2022</v>
      </c>
      <c r="E7" s="253">
        <v>2023</v>
      </c>
      <c r="F7" s="253">
        <v>2024</v>
      </c>
      <c r="G7" s="253">
        <v>2025</v>
      </c>
      <c r="H7" s="253">
        <v>2026</v>
      </c>
      <c r="I7" s="253">
        <v>2027</v>
      </c>
      <c r="J7" s="253">
        <v>2028</v>
      </c>
      <c r="K7" s="253">
        <v>2029</v>
      </c>
      <c r="L7" s="253">
        <v>2030</v>
      </c>
      <c r="M7" s="253">
        <v>2031</v>
      </c>
      <c r="N7" s="253">
        <v>2032</v>
      </c>
      <c r="O7" s="253">
        <v>2033</v>
      </c>
      <c r="P7" s="253">
        <v>2034</v>
      </c>
      <c r="Q7" s="253">
        <v>2035</v>
      </c>
      <c r="R7" s="253">
        <v>2036</v>
      </c>
      <c r="S7" s="253">
        <v>2037</v>
      </c>
      <c r="T7" s="253">
        <v>2038</v>
      </c>
      <c r="U7" s="253">
        <v>2039</v>
      </c>
      <c r="V7" s="253">
        <v>2040</v>
      </c>
      <c r="W7" s="253">
        <v>2041</v>
      </c>
      <c r="X7" s="253">
        <v>2042</v>
      </c>
      <c r="Y7" s="253">
        <v>2043</v>
      </c>
      <c r="Z7" s="253">
        <v>2044</v>
      </c>
      <c r="AA7" s="253">
        <v>2045</v>
      </c>
      <c r="AB7" s="253">
        <v>2046</v>
      </c>
      <c r="AC7" s="253">
        <v>2047</v>
      </c>
      <c r="AD7" s="253">
        <v>2048</v>
      </c>
      <c r="AE7" s="253">
        <v>2049</v>
      </c>
      <c r="AF7" s="253">
        <v>2050</v>
      </c>
    </row>
    <row r="8" spans="1:32">
      <c r="A8" s="40" t="str">
        <f>'Adjusted price'!A8</f>
        <v xml:space="preserve">   Liquefied Petroleum Gases</v>
      </c>
      <c r="B8" s="310">
        <f>'Adjusted price'!B8*'Adjusted Consumption'!B8</f>
        <v>0.17858555030069395</v>
      </c>
      <c r="C8" s="310">
        <f>'Adjusted price'!C8*'Adjusted Consumption'!C8</f>
        <v>0.183041706984402</v>
      </c>
      <c r="D8" s="310">
        <f>'Adjusted price'!D8*'Adjusted Consumption'!D8</f>
        <v>0.18728980153236191</v>
      </c>
      <c r="E8" s="310">
        <f>'Adjusted price'!E8*'Adjusted Consumption'!E8</f>
        <v>0.19030553680772791</v>
      </c>
      <c r="F8" s="310">
        <f>'Adjusted price'!F8*'Adjusted Consumption'!F8</f>
        <v>0.1934069417792558</v>
      </c>
      <c r="G8" s="310">
        <f>'Adjusted price'!G8*'Adjusted Consumption'!G8</f>
        <v>0.1966097026001557</v>
      </c>
      <c r="H8" s="310">
        <f>'Adjusted price'!H8*'Adjusted Consumption'!H8</f>
        <v>0.19908548332106329</v>
      </c>
      <c r="I8" s="310">
        <f>'Adjusted price'!I8*'Adjusted Consumption'!I8</f>
        <v>0.2007876105665278</v>
      </c>
      <c r="J8" s="310">
        <f>'Adjusted price'!J8*'Adjusted Consumption'!J8</f>
        <v>0.20199254351727572</v>
      </c>
      <c r="K8" s="310">
        <f>'Adjusted price'!K8*'Adjusted Consumption'!K8</f>
        <v>0.21348321236618531</v>
      </c>
      <c r="L8" s="310">
        <f>'Adjusted price'!L8*'Adjusted Consumption'!L8</f>
        <v>0.2128315960631037</v>
      </c>
      <c r="M8" s="310">
        <f>'Adjusted price'!M8*'Adjusted Consumption'!M8</f>
        <v>0.21391651614185986</v>
      </c>
      <c r="N8" s="310">
        <f>'Adjusted price'!N8*'Adjusted Consumption'!N8</f>
        <v>0.21392529940992108</v>
      </c>
      <c r="O8" s="310">
        <f>'Adjusted price'!O8*'Adjusted Consumption'!O8</f>
        <v>0.21427962036415582</v>
      </c>
      <c r="P8" s="310">
        <f>'Adjusted price'!P8*'Adjusted Consumption'!P8</f>
        <v>0.21443936301514654</v>
      </c>
      <c r="Q8" s="310">
        <f>'Adjusted price'!Q8*'Adjusted Consumption'!Q8</f>
        <v>0.21444856465445977</v>
      </c>
      <c r="R8" s="310">
        <f>'Adjusted price'!R8*'Adjusted Consumption'!R8</f>
        <v>0.21466527795997861</v>
      </c>
      <c r="S8" s="310">
        <f>'Adjusted price'!S8*'Adjusted Consumption'!S8</f>
        <v>0.2147020026576473</v>
      </c>
      <c r="T8" s="310">
        <f>'Adjusted price'!T8*'Adjusted Consumption'!T8</f>
        <v>0.21466434498628675</v>
      </c>
      <c r="U8" s="310">
        <f>'Adjusted price'!U8*'Adjusted Consumption'!U8</f>
        <v>0.21468797098475631</v>
      </c>
      <c r="V8" s="310">
        <f>'Adjusted price'!V8*'Adjusted Consumption'!V8</f>
        <v>0.21510734550890487</v>
      </c>
      <c r="W8" s="310">
        <f>'Adjusted price'!W8*'Adjusted Consumption'!W8</f>
        <v>0.21542001493360388</v>
      </c>
      <c r="X8" s="310">
        <f>'Adjusted price'!X8*'Adjusted Consumption'!X8</f>
        <v>0.2157443681034388</v>
      </c>
      <c r="Y8" s="310">
        <f>'Adjusted price'!Y8*'Adjusted Consumption'!Y8</f>
        <v>0.21615840230783553</v>
      </c>
      <c r="Z8" s="310">
        <f>'Adjusted price'!Z8*'Adjusted Consumption'!Z8</f>
        <v>0.21656856515484962</v>
      </c>
      <c r="AA8" s="310">
        <f>'Adjusted price'!AA8*'Adjusted Consumption'!AA8</f>
        <v>0.21697728696645802</v>
      </c>
      <c r="AB8" s="310">
        <f>'Adjusted price'!AB8*'Adjusted Consumption'!AB8</f>
        <v>0.21731320267503035</v>
      </c>
      <c r="AC8" s="310">
        <f>'Adjusted price'!AC8*'Adjusted Consumption'!AC8</f>
        <v>0.21762018630996638</v>
      </c>
      <c r="AD8" s="310">
        <f>'Adjusted price'!AD8*'Adjusted Consumption'!AD8</f>
        <v>0.21789786418117774</v>
      </c>
      <c r="AE8" s="310">
        <f>'Adjusted price'!AE8*'Adjusted Consumption'!AE8</f>
        <v>0.21804355106985754</v>
      </c>
      <c r="AF8" s="310">
        <f>'Adjusted price'!AF8*'Adjusted Consumption'!AF8</f>
        <v>0.21798165829767285</v>
      </c>
    </row>
    <row r="9" spans="1:32">
      <c r="A9" s="40" t="str">
        <f>'Adjusted price'!A9</f>
        <v xml:space="preserve">   Distillate Fuel Oil</v>
      </c>
      <c r="B9" s="310">
        <f>'Adjusted price'!B9*'Adjusted Consumption'!B10</f>
        <v>6.0137347794205862E-2</v>
      </c>
      <c r="C9" s="310">
        <f>'Adjusted price'!C9*'Adjusted Consumption'!C10</f>
        <v>5.9668146464338309E-2</v>
      </c>
      <c r="D9" s="310">
        <f>'Adjusted price'!D9*'Adjusted Consumption'!D10</f>
        <v>5.8617189861410887E-2</v>
      </c>
      <c r="E9" s="310">
        <f>'Adjusted price'!E9*'Adjusted Consumption'!E10</f>
        <v>5.8708349636398351E-2</v>
      </c>
      <c r="F9" s="310">
        <f>'Adjusted price'!F9*'Adjusted Consumption'!F10</f>
        <v>5.9305952093907099E-2</v>
      </c>
      <c r="G9" s="310">
        <f>'Adjusted price'!G9*'Adjusted Consumption'!G10</f>
        <v>5.8793721273040729E-2</v>
      </c>
      <c r="H9" s="310">
        <f>'Adjusted price'!H9*'Adjusted Consumption'!H10</f>
        <v>5.8535752670642711E-2</v>
      </c>
      <c r="I9" s="310">
        <f>'Adjusted price'!I9*'Adjusted Consumption'!I10</f>
        <v>5.8577939974503779E-2</v>
      </c>
      <c r="J9" s="310">
        <f>'Adjusted price'!J9*'Adjusted Consumption'!J10</f>
        <v>5.7792596647369902E-2</v>
      </c>
      <c r="K9" s="310">
        <f>'Adjusted price'!K9*'Adjusted Consumption'!K10</f>
        <v>5.7972523841813985E-2</v>
      </c>
      <c r="L9" s="310">
        <f>'Adjusted price'!L9*'Adjusted Consumption'!L10</f>
        <v>5.7064221421913877E-2</v>
      </c>
      <c r="M9" s="310">
        <f>'Adjusted price'!M9*'Adjusted Consumption'!M10</f>
        <v>5.6447420952463738E-2</v>
      </c>
      <c r="N9" s="310">
        <f>'Adjusted price'!N9*'Adjusted Consumption'!N10</f>
        <v>5.5909652418870956E-2</v>
      </c>
      <c r="O9" s="310">
        <f>'Adjusted price'!O9*'Adjusted Consumption'!O10</f>
        <v>5.5224554742078436E-2</v>
      </c>
      <c r="P9" s="310">
        <f>'Adjusted price'!P9*'Adjusted Consumption'!P10</f>
        <v>5.4047263375701537E-2</v>
      </c>
      <c r="Q9" s="310">
        <f>'Adjusted price'!Q9*'Adjusted Consumption'!Q10</f>
        <v>5.31321097285977E-2</v>
      </c>
      <c r="R9" s="310">
        <f>'Adjusted price'!R9*'Adjusted Consumption'!R10</f>
        <v>5.2374448177243453E-2</v>
      </c>
      <c r="S9" s="310">
        <f>'Adjusted price'!S9*'Adjusted Consumption'!S10</f>
        <v>5.1021193821281494E-2</v>
      </c>
      <c r="T9" s="310">
        <f>'Adjusted price'!T9*'Adjusted Consumption'!T10</f>
        <v>5.0079007317866693E-2</v>
      </c>
      <c r="U9" s="310">
        <f>'Adjusted price'!U9*'Adjusted Consumption'!U10</f>
        <v>4.9156759068136359E-2</v>
      </c>
      <c r="V9" s="310">
        <f>'Adjusted price'!V9*'Adjusted Consumption'!V10</f>
        <v>4.8291068839637151E-2</v>
      </c>
      <c r="W9" s="310">
        <f>'Adjusted price'!W9*'Adjusted Consumption'!W10</f>
        <v>4.7393661693281776E-2</v>
      </c>
      <c r="X9" s="310">
        <f>'Adjusted price'!X9*'Adjusted Consumption'!X10</f>
        <v>4.6751313206908382E-2</v>
      </c>
      <c r="Y9" s="310">
        <f>'Adjusted price'!Y9*'Adjusted Consumption'!Y10</f>
        <v>4.5794208670956266E-2</v>
      </c>
      <c r="Z9" s="310">
        <f>'Adjusted price'!Z9*'Adjusted Consumption'!Z10</f>
        <v>4.4732030394443706E-2</v>
      </c>
      <c r="AA9" s="310">
        <f>'Adjusted price'!AA9*'Adjusted Consumption'!AA10</f>
        <v>4.3842898899799837E-2</v>
      </c>
      <c r="AB9" s="310">
        <f>'Adjusted price'!AB9*'Adjusted Consumption'!AB10</f>
        <v>4.2915590111727728E-2</v>
      </c>
      <c r="AC9" s="310">
        <f>'Adjusted price'!AC9*'Adjusted Consumption'!AC10</f>
        <v>4.1976851425884733E-2</v>
      </c>
      <c r="AD9" s="310">
        <f>'Adjusted price'!AD9*'Adjusted Consumption'!AD10</f>
        <v>4.1092644473610135E-2</v>
      </c>
      <c r="AE9" s="310">
        <f>'Adjusted price'!AE9*'Adjusted Consumption'!AE10</f>
        <v>4.0088034117616821E-2</v>
      </c>
      <c r="AF9" s="310">
        <f>'Adjusted price'!AF9*'Adjusted Consumption'!AF10</f>
        <v>3.9146805015920508E-2</v>
      </c>
    </row>
    <row r="10" spans="1:32">
      <c r="A10" s="40" t="str">
        <f>'Adjusted price'!A10</f>
        <v xml:space="preserve">   Natural Gas</v>
      </c>
      <c r="B10" s="310">
        <f>'Adjusted price'!B10*'Adjusted Consumption'!B11</f>
        <v>1.0566078241285581</v>
      </c>
      <c r="C10" s="310">
        <f>'Adjusted price'!C10*'Adjusted Consumption'!C11</f>
        <v>1.0351020991735131</v>
      </c>
      <c r="D10" s="310">
        <f>'Adjusted price'!D10*'Adjusted Consumption'!D11</f>
        <v>1.0206014978917519</v>
      </c>
      <c r="E10" s="310">
        <f>'Adjusted price'!E10*'Adjusted Consumption'!E11</f>
        <v>1.0120604134960127</v>
      </c>
      <c r="F10" s="310">
        <f>'Adjusted price'!F10*'Adjusted Consumption'!F11</f>
        <v>1.0121408578062046</v>
      </c>
      <c r="G10" s="310">
        <f>'Adjusted price'!G10*'Adjusted Consumption'!G11</f>
        <v>1.0380552632112277</v>
      </c>
      <c r="H10" s="310">
        <f>'Adjusted price'!H10*'Adjusted Consumption'!H11</f>
        <v>1.0499729981125587</v>
      </c>
      <c r="I10" s="310">
        <f>'Adjusted price'!I10*'Adjusted Consumption'!I11</f>
        <v>1.051257798846762</v>
      </c>
      <c r="J10" s="310">
        <f>'Adjusted price'!J10*'Adjusted Consumption'!J11</f>
        <v>1.0555189322953966</v>
      </c>
      <c r="K10" s="310">
        <f>'Adjusted price'!K10*'Adjusted Consumption'!K11</f>
        <v>1.2275991105417914</v>
      </c>
      <c r="L10" s="310">
        <f>'Adjusted price'!L10*'Adjusted Consumption'!L11</f>
        <v>1.2235856548833102</v>
      </c>
      <c r="M10" s="310">
        <f>'Adjusted price'!M10*'Adjusted Consumption'!M11</f>
        <v>1.2448488527551069</v>
      </c>
      <c r="N10" s="310">
        <f>'Adjusted price'!N10*'Adjusted Consumption'!N11</f>
        <v>1.2488375597871475</v>
      </c>
      <c r="O10" s="310">
        <f>'Adjusted price'!O10*'Adjusted Consumption'!O11</f>
        <v>1.250893234188434</v>
      </c>
      <c r="P10" s="310">
        <f>'Adjusted price'!P10*'Adjusted Consumption'!P11</f>
        <v>1.2479661141514147</v>
      </c>
      <c r="Q10" s="310">
        <f>'Adjusted price'!Q10*'Adjusted Consumption'!Q11</f>
        <v>1.2436590307409598</v>
      </c>
      <c r="R10" s="310">
        <f>'Adjusted price'!R10*'Adjusted Consumption'!R11</f>
        <v>1.2400770725244832</v>
      </c>
      <c r="S10" s="310">
        <f>'Adjusted price'!S10*'Adjusted Consumption'!S11</f>
        <v>1.2353087019304403</v>
      </c>
      <c r="T10" s="310">
        <f>'Adjusted price'!T10*'Adjusted Consumption'!T11</f>
        <v>1.2283725695209178</v>
      </c>
      <c r="U10" s="310">
        <f>'Adjusted price'!U10*'Adjusted Consumption'!U11</f>
        <v>1.2217049538590405</v>
      </c>
      <c r="V10" s="310">
        <f>'Adjusted price'!V10*'Adjusted Consumption'!V11</f>
        <v>1.2221310109707439</v>
      </c>
      <c r="W10" s="310">
        <f>'Adjusted price'!W10*'Adjusted Consumption'!W11</f>
        <v>1.2195941899424012</v>
      </c>
      <c r="X10" s="310">
        <f>'Adjusted price'!X10*'Adjusted Consumption'!X11</f>
        <v>1.2181627474609726</v>
      </c>
      <c r="Y10" s="310">
        <f>'Adjusted price'!Y10*'Adjusted Consumption'!Y11</f>
        <v>1.2180000546764242</v>
      </c>
      <c r="Z10" s="310">
        <f>'Adjusted price'!Z10*'Adjusted Consumption'!Z11</f>
        <v>1.218164961567141</v>
      </c>
      <c r="AA10" s="310">
        <f>'Adjusted price'!AA10*'Adjusted Consumption'!AA11</f>
        <v>1.2193429619836267</v>
      </c>
      <c r="AB10" s="310">
        <f>'Adjusted price'!AB10*'Adjusted Consumption'!AB11</f>
        <v>1.219197163749121</v>
      </c>
      <c r="AC10" s="310">
        <f>'Adjusted price'!AC10*'Adjusted Consumption'!AC11</f>
        <v>1.2203487708311738</v>
      </c>
      <c r="AD10" s="310">
        <f>'Adjusted price'!AD10*'Adjusted Consumption'!AD11</f>
        <v>1.2224111879331081</v>
      </c>
      <c r="AE10" s="310">
        <f>'Adjusted price'!AE10*'Adjusted Consumption'!AE11</f>
        <v>1.2239411864803893</v>
      </c>
      <c r="AF10" s="310">
        <f>'Adjusted price'!AF10*'Adjusted Consumption'!AF11</f>
        <v>1.2232289568664787</v>
      </c>
    </row>
    <row r="11" spans="1:32">
      <c r="A11" s="40" t="str">
        <f>'Adjusted price'!A11</f>
        <v xml:space="preserve">   Electricity</v>
      </c>
      <c r="B11" s="310">
        <f>'Adjusted price'!B11*'Adjusted Consumption'!B13</f>
        <v>3.1522393955756605</v>
      </c>
      <c r="C11" s="310">
        <f>'Adjusted price'!C11*'Adjusted Consumption'!C13</f>
        <v>2.9891548190934141</v>
      </c>
      <c r="D11" s="310">
        <f>'Adjusted price'!D11*'Adjusted Consumption'!D13</f>
        <v>2.9944113293354495</v>
      </c>
      <c r="E11" s="310">
        <f>'Adjusted price'!E11*'Adjusted Consumption'!E13</f>
        <v>3.0598596948596346</v>
      </c>
      <c r="F11" s="310">
        <f>'Adjusted price'!F11*'Adjusted Consumption'!F13</f>
        <v>3.0315146720101058</v>
      </c>
      <c r="G11" s="310">
        <f>'Adjusted price'!G11*'Adjusted Consumption'!G13</f>
        <v>3.0527000090567813</v>
      </c>
      <c r="H11" s="310">
        <f>'Adjusted price'!H11*'Adjusted Consumption'!H13</f>
        <v>3.1058255194895414</v>
      </c>
      <c r="I11" s="310">
        <f>'Adjusted price'!I11*'Adjusted Consumption'!I13</f>
        <v>3.0950017917498713</v>
      </c>
      <c r="J11" s="310">
        <f>'Adjusted price'!J11*'Adjusted Consumption'!J13</f>
        <v>3.0768955348669023</v>
      </c>
      <c r="K11" s="310">
        <f>'Adjusted price'!K11*'Adjusted Consumption'!K13</f>
        <v>3.1005550375195123</v>
      </c>
      <c r="L11" s="310">
        <f>'Adjusted price'!L11*'Adjusted Consumption'!L13</f>
        <v>3.1464146611205206</v>
      </c>
      <c r="M11" s="310">
        <f>'Adjusted price'!M11*'Adjusted Consumption'!M13</f>
        <v>3.2062512920276549</v>
      </c>
      <c r="N11" s="310">
        <f>'Adjusted price'!N11*'Adjusted Consumption'!N13</f>
        <v>3.2628793248396866</v>
      </c>
      <c r="O11" s="310">
        <f>'Adjusted price'!O11*'Adjusted Consumption'!O13</f>
        <v>3.300348896362217</v>
      </c>
      <c r="P11" s="310">
        <f>'Adjusted price'!P11*'Adjusted Consumption'!P13</f>
        <v>3.338883204270354</v>
      </c>
      <c r="Q11" s="310">
        <f>'Adjusted price'!Q11*'Adjusted Consumption'!Q13</f>
        <v>3.3808448651924401</v>
      </c>
      <c r="R11" s="310">
        <f>'Adjusted price'!R11*'Adjusted Consumption'!R13</f>
        <v>3.430145369542132</v>
      </c>
      <c r="S11" s="310">
        <f>'Adjusted price'!S11*'Adjusted Consumption'!S13</f>
        <v>3.4713296700299545</v>
      </c>
      <c r="T11" s="310">
        <f>'Adjusted price'!T11*'Adjusted Consumption'!T13</f>
        <v>3.4925750559546218</v>
      </c>
      <c r="U11" s="310">
        <f>'Adjusted price'!U11*'Adjusted Consumption'!U13</f>
        <v>3.5108134176253447</v>
      </c>
      <c r="V11" s="310">
        <f>'Adjusted price'!V11*'Adjusted Consumption'!V13</f>
        <v>3.5252067064105184</v>
      </c>
      <c r="W11" s="310">
        <f>'Adjusted price'!W11*'Adjusted Consumption'!W13</f>
        <v>3.555328328397843</v>
      </c>
      <c r="X11" s="310">
        <f>'Adjusted price'!X11*'Adjusted Consumption'!X13</f>
        <v>3.5879413145890422</v>
      </c>
      <c r="Y11" s="310">
        <f>'Adjusted price'!Y11*'Adjusted Consumption'!Y13</f>
        <v>3.6052730888484938</v>
      </c>
      <c r="Z11" s="310">
        <f>'Adjusted price'!Z11*'Adjusted Consumption'!Z13</f>
        <v>3.6273391909526351</v>
      </c>
      <c r="AA11" s="310">
        <f>'Adjusted price'!AA11*'Adjusted Consumption'!AA13</f>
        <v>3.6587453528229315</v>
      </c>
      <c r="AB11" s="310">
        <f>'Adjusted price'!AB11*'Adjusted Consumption'!AB13</f>
        <v>3.6910081947381719</v>
      </c>
      <c r="AC11" s="310">
        <f>'Adjusted price'!AC11*'Adjusted Consumption'!AC13</f>
        <v>3.7156576699551005</v>
      </c>
      <c r="AD11" s="310">
        <f>'Adjusted price'!AD11*'Adjusted Consumption'!AD13</f>
        <v>3.7402557104467093</v>
      </c>
      <c r="AE11" s="310">
        <f>'Adjusted price'!AE11*'Adjusted Consumption'!AE13</f>
        <v>3.7596244375875116</v>
      </c>
      <c r="AF11" s="310">
        <f>'Adjusted price'!AF11*'Adjusted Consumption'!AF13</f>
        <v>3.7716966214195473</v>
      </c>
    </row>
    <row r="12" spans="1:32">
      <c r="A12" s="46" t="s">
        <v>4</v>
      </c>
      <c r="B12" s="310">
        <f t="shared" ref="B12:V12" si="0">SUM(B8:B11)</f>
        <v>4.4475701177991187</v>
      </c>
      <c r="C12" s="310">
        <f t="shared" si="0"/>
        <v>4.2669667717156674</v>
      </c>
      <c r="D12" s="310">
        <f t="shared" si="0"/>
        <v>4.260919818620974</v>
      </c>
      <c r="E12" s="310">
        <f t="shared" si="0"/>
        <v>4.3209339947997734</v>
      </c>
      <c r="F12" s="310">
        <f t="shared" si="0"/>
        <v>4.296368423689473</v>
      </c>
      <c r="G12" s="310">
        <f t="shared" si="0"/>
        <v>4.3461586961412051</v>
      </c>
      <c r="H12" s="310">
        <f t="shared" si="0"/>
        <v>4.4134197535938062</v>
      </c>
      <c r="I12" s="310">
        <f t="shared" si="0"/>
        <v>4.4056251411376648</v>
      </c>
      <c r="J12" s="310">
        <f t="shared" si="0"/>
        <v>4.392199607326944</v>
      </c>
      <c r="K12" s="310">
        <f t="shared" si="0"/>
        <v>4.5996098842693032</v>
      </c>
      <c r="L12" s="310">
        <f t="shared" si="0"/>
        <v>4.6398961334888487</v>
      </c>
      <c r="M12" s="310">
        <f t="shared" si="0"/>
        <v>4.7214640818770857</v>
      </c>
      <c r="N12" s="310">
        <f t="shared" si="0"/>
        <v>4.781551836455626</v>
      </c>
      <c r="O12" s="310">
        <f t="shared" si="0"/>
        <v>4.8207463056568853</v>
      </c>
      <c r="P12" s="310">
        <f t="shared" si="0"/>
        <v>4.8553359448126168</v>
      </c>
      <c r="Q12" s="310">
        <f t="shared" si="0"/>
        <v>4.8920845703164577</v>
      </c>
      <c r="R12" s="310">
        <f t="shared" si="0"/>
        <v>4.9372621682038371</v>
      </c>
      <c r="S12" s="310">
        <f t="shared" si="0"/>
        <v>4.9723615684393234</v>
      </c>
      <c r="T12" s="310">
        <f t="shared" si="0"/>
        <v>4.9856909777796936</v>
      </c>
      <c r="U12" s="310">
        <f t="shared" si="0"/>
        <v>4.9963631015372778</v>
      </c>
      <c r="V12" s="310">
        <f t="shared" si="0"/>
        <v>5.0107361317298045</v>
      </c>
      <c r="W12" s="310">
        <f t="shared" ref="W12:AF12" si="1">SUM(W8:W11)</f>
        <v>5.0377361949671293</v>
      </c>
      <c r="X12" s="310">
        <f t="shared" si="1"/>
        <v>5.0685997433603625</v>
      </c>
      <c r="Y12" s="310">
        <f t="shared" si="1"/>
        <v>5.0852257545037096</v>
      </c>
      <c r="Z12" s="310">
        <f t="shared" si="1"/>
        <v>5.1068047480690693</v>
      </c>
      <c r="AA12" s="310">
        <f t="shared" si="1"/>
        <v>5.1389085006728159</v>
      </c>
      <c r="AB12" s="310">
        <f t="shared" si="1"/>
        <v>5.1704341512740513</v>
      </c>
      <c r="AC12" s="310">
        <f t="shared" si="1"/>
        <v>5.1956034785221252</v>
      </c>
      <c r="AD12" s="310">
        <f t="shared" si="1"/>
        <v>5.2216574070346056</v>
      </c>
      <c r="AE12" s="310">
        <f t="shared" si="1"/>
        <v>5.2416972092553751</v>
      </c>
      <c r="AF12" s="310">
        <f t="shared" si="1"/>
        <v>5.2520540415996191</v>
      </c>
    </row>
    <row r="13" spans="1:32">
      <c r="A13" s="46"/>
      <c r="B13" s="310"/>
      <c r="C13" s="310"/>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32" s="5" customFormat="1" ht="13">
      <c r="A14" s="250" t="str">
        <f>'Adjusted price'!A13</f>
        <v xml:space="preserve"> Commercial</v>
      </c>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1"/>
    </row>
    <row r="15" spans="1:32" s="396" customFormat="1" ht="12.9" customHeight="1">
      <c r="A15" s="253" t="s">
        <v>6</v>
      </c>
      <c r="B15" s="253">
        <v>2020</v>
      </c>
      <c r="C15" s="253">
        <v>2021</v>
      </c>
      <c r="D15" s="253">
        <v>2022</v>
      </c>
      <c r="E15" s="253">
        <v>2023</v>
      </c>
      <c r="F15" s="253">
        <v>2024</v>
      </c>
      <c r="G15" s="253">
        <v>2025</v>
      </c>
      <c r="H15" s="253">
        <v>2026</v>
      </c>
      <c r="I15" s="253">
        <v>2027</v>
      </c>
      <c r="J15" s="253">
        <v>2028</v>
      </c>
      <c r="K15" s="253">
        <v>2029</v>
      </c>
      <c r="L15" s="253">
        <v>2030</v>
      </c>
      <c r="M15" s="253">
        <v>2031</v>
      </c>
      <c r="N15" s="253">
        <v>2032</v>
      </c>
      <c r="O15" s="253">
        <v>2033</v>
      </c>
      <c r="P15" s="253">
        <v>2034</v>
      </c>
      <c r="Q15" s="253">
        <v>2035</v>
      </c>
      <c r="R15" s="253">
        <v>2036</v>
      </c>
      <c r="S15" s="253">
        <v>2037</v>
      </c>
      <c r="T15" s="253">
        <v>2038</v>
      </c>
      <c r="U15" s="253">
        <v>2039</v>
      </c>
      <c r="V15" s="253">
        <v>2040</v>
      </c>
      <c r="W15" s="253">
        <v>2041</v>
      </c>
      <c r="X15" s="253">
        <v>2042</v>
      </c>
      <c r="Y15" s="253">
        <v>2043</v>
      </c>
      <c r="Z15" s="253">
        <v>2044</v>
      </c>
      <c r="AA15" s="253">
        <v>2045</v>
      </c>
      <c r="AB15" s="253">
        <v>2046</v>
      </c>
      <c r="AC15" s="253">
        <v>2047</v>
      </c>
      <c r="AD15" s="253">
        <v>2048</v>
      </c>
      <c r="AE15" s="253">
        <v>2049</v>
      </c>
      <c r="AF15" s="253">
        <v>2050</v>
      </c>
    </row>
    <row r="16" spans="1:32">
      <c r="A16" s="40" t="str">
        <f>'Adjusted price'!A15</f>
        <v xml:space="preserve">   Liquefied Petroleum Gases</v>
      </c>
      <c r="B16" s="310">
        <f>'Adjusted price'!B15*'Adjusted Consumption'!B28</f>
        <v>7.7104480292107661E-2</v>
      </c>
      <c r="C16" s="310">
        <f>'Adjusted price'!C15*'Adjusted Consumption'!C28</f>
        <v>7.9659781007503302E-2</v>
      </c>
      <c r="D16" s="310">
        <f>'Adjusted price'!D15*'Adjusted Consumption'!D28</f>
        <v>8.2860063236243911E-2</v>
      </c>
      <c r="E16" s="310">
        <f>'Adjusted price'!E15*'Adjusted Consumption'!E28</f>
        <v>8.560978242757733E-2</v>
      </c>
      <c r="F16" s="310">
        <f>'Adjusted price'!F15*'Adjusted Consumption'!F28</f>
        <v>8.8730816175556809E-2</v>
      </c>
      <c r="G16" s="310">
        <f>'Adjusted price'!G15*'Adjusted Consumption'!G28</f>
        <v>9.1926470771186958E-2</v>
      </c>
      <c r="H16" s="310">
        <f>'Adjusted price'!H15*'Adjusted Consumption'!H28</f>
        <v>9.4782792596727894E-2</v>
      </c>
      <c r="I16" s="310">
        <f>'Adjusted price'!I15*'Adjusted Consumption'!I28</f>
        <v>9.7242372640304345E-2</v>
      </c>
      <c r="J16" s="310">
        <f>'Adjusted price'!J15*'Adjusted Consumption'!J28</f>
        <v>9.9436455173077254E-2</v>
      </c>
      <c r="K16" s="310">
        <f>'Adjusted price'!K15*'Adjusted Consumption'!K28</f>
        <v>0.10683483200713741</v>
      </c>
      <c r="L16" s="310">
        <f>'Adjusted price'!L15*'Adjusted Consumption'!L28</f>
        <v>0.10863881318266237</v>
      </c>
      <c r="M16" s="310">
        <f>'Adjusted price'!M15*'Adjusted Consumption'!M28</f>
        <v>0.11120413014230945</v>
      </c>
      <c r="N16" s="310">
        <f>'Adjusted price'!N15*'Adjusted Consumption'!N28</f>
        <v>0.11326772618251708</v>
      </c>
      <c r="O16" s="310">
        <f>'Adjusted price'!O15*'Adjusted Consumption'!O28</f>
        <v>0.11539130789848721</v>
      </c>
      <c r="P16" s="310">
        <f>'Adjusted price'!P15*'Adjusted Consumption'!P28</f>
        <v>0.11714358994121059</v>
      </c>
      <c r="Q16" s="310">
        <f>'Adjusted price'!Q15*'Adjusted Consumption'!Q28</f>
        <v>0.11863574091546063</v>
      </c>
      <c r="R16" s="310">
        <f>'Adjusted price'!R15*'Adjusted Consumption'!R28</f>
        <v>0.12019028922663579</v>
      </c>
      <c r="S16" s="310">
        <f>'Adjusted price'!S15*'Adjusted Consumption'!S28</f>
        <v>0.12155575309526104</v>
      </c>
      <c r="T16" s="310">
        <f>'Adjusted price'!T15*'Adjusted Consumption'!T28</f>
        <v>0.12282206339224179</v>
      </c>
      <c r="U16" s="310">
        <f>'Adjusted price'!U15*'Adjusted Consumption'!U28</f>
        <v>0.12412316178264601</v>
      </c>
      <c r="V16" s="310">
        <f>'Adjusted price'!V15*'Adjusted Consumption'!V28</f>
        <v>0.1256693263431331</v>
      </c>
      <c r="W16" s="310">
        <f>'Adjusted price'!W15*'Adjusted Consumption'!W28</f>
        <v>0.12709083102717367</v>
      </c>
      <c r="X16" s="310">
        <f>'Adjusted price'!X15*'Adjusted Consumption'!X28</f>
        <v>0.12852223564921725</v>
      </c>
      <c r="Y16" s="310">
        <f>'Adjusted price'!Y15*'Adjusted Consumption'!Y28</f>
        <v>0.12994646322118603</v>
      </c>
      <c r="Z16" s="310">
        <f>'Adjusted price'!Z15*'Adjusted Consumption'!Z28</f>
        <v>0.13131197659613381</v>
      </c>
      <c r="AA16" s="310">
        <f>'Adjusted price'!AA15*'Adjusted Consumption'!AA28</f>
        <v>0.13253968019719903</v>
      </c>
      <c r="AB16" s="310">
        <f>'Adjusted price'!AB15*'Adjusted Consumption'!AB28</f>
        <v>0.13364782672797962</v>
      </c>
      <c r="AC16" s="310">
        <f>'Adjusted price'!AC15*'Adjusted Consumption'!AC28</f>
        <v>0.13469119310752203</v>
      </c>
      <c r="AD16" s="310">
        <f>'Adjusted price'!AD15*'Adjusted Consumption'!AD28</f>
        <v>0.13569342166174475</v>
      </c>
      <c r="AE16" s="310">
        <f>'Adjusted price'!AE15*'Adjusted Consumption'!AE28</f>
        <v>0.13651504195526809</v>
      </c>
      <c r="AF16" s="310">
        <f>'Adjusted price'!AF15*'Adjusted Consumption'!AF28</f>
        <v>0.13714611017442338</v>
      </c>
    </row>
    <row r="17" spans="1:32">
      <c r="A17" s="40" t="str">
        <f>'Adjusted price'!A16</f>
        <v xml:space="preserve">   Distillate Fuel Oil</v>
      </c>
      <c r="B17" s="310">
        <f>'Adjusted price'!B16*'Adjusted Consumption'!B31</f>
        <v>0.18146783871697536</v>
      </c>
      <c r="C17" s="310">
        <f>'Adjusted price'!C16*'Adjusted Consumption'!C31</f>
        <v>0.1793667289246485</v>
      </c>
      <c r="D17" s="310">
        <f>'Adjusted price'!D16*'Adjusted Consumption'!D31</f>
        <v>0.17637785899608138</v>
      </c>
      <c r="E17" s="310">
        <f>'Adjusted price'!E16*'Adjusted Consumption'!E31</f>
        <v>0.17633430396898073</v>
      </c>
      <c r="F17" s="310">
        <f>'Adjusted price'!F16*'Adjusted Consumption'!F31</f>
        <v>0.18143182728888671</v>
      </c>
      <c r="G17" s="310">
        <f>'Adjusted price'!G16*'Adjusted Consumption'!G31</f>
        <v>0.18861024729001552</v>
      </c>
      <c r="H17" s="310">
        <f>'Adjusted price'!H16*'Adjusted Consumption'!H31</f>
        <v>0.19347246772541346</v>
      </c>
      <c r="I17" s="310">
        <f>'Adjusted price'!I16*'Adjusted Consumption'!I31</f>
        <v>0.19884390199053945</v>
      </c>
      <c r="J17" s="310">
        <f>'Adjusted price'!J16*'Adjusted Consumption'!J31</f>
        <v>0.20117210683355091</v>
      </c>
      <c r="K17" s="310">
        <f>'Adjusted price'!K16*'Adjusted Consumption'!K31</f>
        <v>0.22097684132812917</v>
      </c>
      <c r="L17" s="310">
        <f>'Adjusted price'!L16*'Adjusted Consumption'!L31</f>
        <v>0.22139246051974129</v>
      </c>
      <c r="M17" s="310">
        <f>'Adjusted price'!M16*'Adjusted Consumption'!M31</f>
        <v>0.22530164171683234</v>
      </c>
      <c r="N17" s="310">
        <f>'Adjusted price'!N16*'Adjusted Consumption'!N31</f>
        <v>0.22796032632103225</v>
      </c>
      <c r="O17" s="310">
        <f>'Adjusted price'!O16*'Adjusted Consumption'!O31</f>
        <v>0.22993468007480505</v>
      </c>
      <c r="P17" s="310">
        <f>'Adjusted price'!P16*'Adjusted Consumption'!P31</f>
        <v>0.23030244577856498</v>
      </c>
      <c r="Q17" s="310">
        <f>'Adjusted price'!Q16*'Adjusted Consumption'!Q31</f>
        <v>0.2314731539022277</v>
      </c>
      <c r="R17" s="310">
        <f>'Adjusted price'!R16*'Adjusted Consumption'!R31</f>
        <v>0.23327361894766463</v>
      </c>
      <c r="S17" s="310">
        <f>'Adjusted price'!S16*'Adjusted Consumption'!S31</f>
        <v>0.23225855483532787</v>
      </c>
      <c r="T17" s="310">
        <f>'Adjusted price'!T16*'Adjusted Consumption'!T31</f>
        <v>0.23303666679001808</v>
      </c>
      <c r="U17" s="310">
        <f>'Adjusted price'!U16*'Adjusted Consumption'!U31</f>
        <v>0.23365192829818465</v>
      </c>
      <c r="V17" s="310">
        <f>'Adjusted price'!V16*'Adjusted Consumption'!V31</f>
        <v>0.23450787451549149</v>
      </c>
      <c r="W17" s="310">
        <f>'Adjusted price'!W16*'Adjusted Consumption'!W31</f>
        <v>0.23506993517353605</v>
      </c>
      <c r="X17" s="310">
        <f>'Adjusted price'!X16*'Adjusted Consumption'!X31</f>
        <v>0.2366814563232929</v>
      </c>
      <c r="Y17" s="310">
        <f>'Adjusted price'!Y16*'Adjusted Consumption'!Y31</f>
        <v>0.23671486950708209</v>
      </c>
      <c r="Z17" s="310">
        <f>'Adjusted price'!Z16*'Adjusted Consumption'!Z31</f>
        <v>0.23595797632766713</v>
      </c>
      <c r="AA17" s="310">
        <f>'Adjusted price'!AA16*'Adjusted Consumption'!AA31</f>
        <v>0.23622011995156836</v>
      </c>
      <c r="AB17" s="310">
        <f>'Adjusted price'!AB16*'Adjusted Consumption'!AB31</f>
        <v>0.23576022210355393</v>
      </c>
      <c r="AC17" s="310">
        <f>'Adjusted price'!AC16*'Adjusted Consumption'!AC31</f>
        <v>0.2350106897524325</v>
      </c>
      <c r="AD17" s="310">
        <f>'Adjusted price'!AD16*'Adjusted Consumption'!AD31</f>
        <v>0.23519264337350299</v>
      </c>
      <c r="AE17" s="310">
        <f>'Adjusted price'!AE16*'Adjusted Consumption'!AE31</f>
        <v>0.23459987658701706</v>
      </c>
      <c r="AF17" s="310">
        <f>'Adjusted price'!AF16*'Adjusted Consumption'!AF31</f>
        <v>0.23420756241291613</v>
      </c>
    </row>
    <row r="18" spans="1:32">
      <c r="A18" s="40" t="str">
        <f>'Adjusted price'!A17</f>
        <v xml:space="preserve">   Residual Fuel</v>
      </c>
      <c r="B18" s="310">
        <f>'Adjusted price'!B17*'Adjusted Consumption'!B32</f>
        <v>0</v>
      </c>
      <c r="C18" s="310">
        <f>'Adjusted price'!C17*'Adjusted Consumption'!C32</f>
        <v>0</v>
      </c>
      <c r="D18" s="310">
        <f>'Adjusted price'!D17*'Adjusted Consumption'!D32</f>
        <v>0</v>
      </c>
      <c r="E18" s="310">
        <f>'Adjusted price'!E17*'Adjusted Consumption'!E32</f>
        <v>0</v>
      </c>
      <c r="F18" s="310">
        <f>'Adjusted price'!F17*'Adjusted Consumption'!F32</f>
        <v>0</v>
      </c>
      <c r="G18" s="310">
        <f>'Adjusted price'!G17*'Adjusted Consumption'!G32</f>
        <v>0</v>
      </c>
      <c r="H18" s="310">
        <f>'Adjusted price'!H17*'Adjusted Consumption'!H32</f>
        <v>0</v>
      </c>
      <c r="I18" s="310">
        <f>'Adjusted price'!I17*'Adjusted Consumption'!I32</f>
        <v>0</v>
      </c>
      <c r="J18" s="310">
        <f>'Adjusted price'!J17*'Adjusted Consumption'!J32</f>
        <v>0</v>
      </c>
      <c r="K18" s="310">
        <f>'Adjusted price'!K17*'Adjusted Consumption'!K32</f>
        <v>0</v>
      </c>
      <c r="L18" s="310">
        <f>'Adjusted price'!L17*'Adjusted Consumption'!L32</f>
        <v>0</v>
      </c>
      <c r="M18" s="310">
        <f>'Adjusted price'!M17*'Adjusted Consumption'!M32</f>
        <v>0</v>
      </c>
      <c r="N18" s="310">
        <f>'Adjusted price'!N17*'Adjusted Consumption'!N32</f>
        <v>0</v>
      </c>
      <c r="O18" s="310">
        <f>'Adjusted price'!O17*'Adjusted Consumption'!O32</f>
        <v>0</v>
      </c>
      <c r="P18" s="310">
        <f>'Adjusted price'!P17*'Adjusted Consumption'!P32</f>
        <v>0</v>
      </c>
      <c r="Q18" s="310">
        <f>'Adjusted price'!Q17*'Adjusted Consumption'!Q32</f>
        <v>0</v>
      </c>
      <c r="R18" s="310">
        <f>'Adjusted price'!R17*'Adjusted Consumption'!R32</f>
        <v>0</v>
      </c>
      <c r="S18" s="310">
        <f>'Adjusted price'!S17*'Adjusted Consumption'!S32</f>
        <v>0</v>
      </c>
      <c r="T18" s="310">
        <f>'Adjusted price'!T17*'Adjusted Consumption'!T32</f>
        <v>0</v>
      </c>
      <c r="U18" s="310">
        <f>'Adjusted price'!U17*'Adjusted Consumption'!U32</f>
        <v>0</v>
      </c>
      <c r="V18" s="310">
        <f>'Adjusted price'!V17*'Adjusted Consumption'!V32</f>
        <v>0</v>
      </c>
      <c r="W18" s="310">
        <f>'Adjusted price'!W17*'Adjusted Consumption'!W32</f>
        <v>0</v>
      </c>
      <c r="X18" s="310">
        <f>'Adjusted price'!X17*'Adjusted Consumption'!X32</f>
        <v>0</v>
      </c>
      <c r="Y18" s="310">
        <f>'Adjusted price'!Y17*'Adjusted Consumption'!Y32</f>
        <v>0</v>
      </c>
      <c r="Z18" s="310">
        <f>'Adjusted price'!Z17*'Adjusted Consumption'!Z32</f>
        <v>0</v>
      </c>
      <c r="AA18" s="310">
        <f>'Adjusted price'!AA17*'Adjusted Consumption'!AA32</f>
        <v>0</v>
      </c>
      <c r="AB18" s="310">
        <f>'Adjusted price'!AB17*'Adjusted Consumption'!AB32</f>
        <v>0</v>
      </c>
      <c r="AC18" s="310">
        <f>'Adjusted price'!AC17*'Adjusted Consumption'!AC32</f>
        <v>0</v>
      </c>
      <c r="AD18" s="310">
        <f>'Adjusted price'!AD17*'Adjusted Consumption'!AD32</f>
        <v>0</v>
      </c>
      <c r="AE18" s="310">
        <f>'Adjusted price'!AE17*'Adjusted Consumption'!AE32</f>
        <v>0</v>
      </c>
      <c r="AF18" s="310">
        <f>'Adjusted price'!AF17*'Adjusted Consumption'!AF32</f>
        <v>0</v>
      </c>
    </row>
    <row r="19" spans="1:32">
      <c r="A19" s="40" t="str">
        <f>'Adjusted price'!A18</f>
        <v xml:space="preserve">   Natural Gas</v>
      </c>
      <c r="B19" s="310">
        <f>'Adjusted price'!B18*'Adjusted Consumption'!B33</f>
        <v>0.57319570660080854</v>
      </c>
      <c r="C19" s="310">
        <f>'Adjusted price'!C18*'Adjusted Consumption'!C33</f>
        <v>0.58199441620776637</v>
      </c>
      <c r="D19" s="310">
        <f>'Adjusted price'!D18*'Adjusted Consumption'!D33</f>
        <v>0.59365741081410717</v>
      </c>
      <c r="E19" s="310">
        <f>'Adjusted price'!E18*'Adjusted Consumption'!E33</f>
        <v>0.60763730568971608</v>
      </c>
      <c r="F19" s="310">
        <f>'Adjusted price'!F18*'Adjusted Consumption'!F33</f>
        <v>0.63501517613805558</v>
      </c>
      <c r="G19" s="310">
        <f>'Adjusted price'!G18*'Adjusted Consumption'!G33</f>
        <v>0.66087590285657194</v>
      </c>
      <c r="H19" s="310">
        <f>'Adjusted price'!H18*'Adjusted Consumption'!H33</f>
        <v>0.67672529286136751</v>
      </c>
      <c r="I19" s="310">
        <f>'Adjusted price'!I18*'Adjusted Consumption'!I33</f>
        <v>0.68542104279281479</v>
      </c>
      <c r="J19" s="310">
        <f>'Adjusted price'!J18*'Adjusted Consumption'!J33</f>
        <v>0.69685962954212866</v>
      </c>
      <c r="K19" s="310">
        <f>'Adjusted price'!K18*'Adjusted Consumption'!K33</f>
        <v>0.82157217656898884</v>
      </c>
      <c r="L19" s="310">
        <f>'Adjusted price'!L18*'Adjusted Consumption'!L33</f>
        <v>0.82051541700914876</v>
      </c>
      <c r="M19" s="310">
        <f>'Adjusted price'!M18*'Adjusted Consumption'!M33</f>
        <v>0.83978502389834764</v>
      </c>
      <c r="N19" s="310">
        <f>'Adjusted price'!N18*'Adjusted Consumption'!N33</f>
        <v>0.84970550941452705</v>
      </c>
      <c r="O19" s="310">
        <f>'Adjusted price'!O18*'Adjusted Consumption'!O33</f>
        <v>0.85859110840525221</v>
      </c>
      <c r="P19" s="310">
        <f>'Adjusted price'!P18*'Adjusted Consumption'!P33</f>
        <v>0.8640513770858439</v>
      </c>
      <c r="Q19" s="310">
        <f>'Adjusted price'!Q18*'Adjusted Consumption'!Q33</f>
        <v>0.86898850639099845</v>
      </c>
      <c r="R19" s="310">
        <f>'Adjusted price'!R18*'Adjusted Consumption'!R33</f>
        <v>0.87565470636772968</v>
      </c>
      <c r="S19" s="310">
        <f>'Adjusted price'!S18*'Adjusted Consumption'!S33</f>
        <v>0.88236239579354392</v>
      </c>
      <c r="T19" s="310">
        <f>'Adjusted price'!T18*'Adjusted Consumption'!T33</f>
        <v>0.88737337236288327</v>
      </c>
      <c r="U19" s="310">
        <f>'Adjusted price'!U18*'Adjusted Consumption'!U33</f>
        <v>0.89266085289499064</v>
      </c>
      <c r="V19" s="310">
        <f>'Adjusted price'!V18*'Adjusted Consumption'!V33</f>
        <v>0.90356478541847651</v>
      </c>
      <c r="W19" s="310">
        <f>'Adjusted price'!W18*'Adjusted Consumption'!W33</f>
        <v>0.91442272811823411</v>
      </c>
      <c r="X19" s="310">
        <f>'Adjusted price'!X18*'Adjusted Consumption'!X33</f>
        <v>0.92666128316323626</v>
      </c>
      <c r="Y19" s="310">
        <f>'Adjusted price'!Y18*'Adjusted Consumption'!Y33</f>
        <v>0.94006312204872389</v>
      </c>
      <c r="Z19" s="310">
        <f>'Adjusted price'!Z18*'Adjusted Consumption'!Z33</f>
        <v>0.95390884889082084</v>
      </c>
      <c r="AA19" s="310">
        <f>'Adjusted price'!AA18*'Adjusted Consumption'!AA33</f>
        <v>0.96883634074302694</v>
      </c>
      <c r="AB19" s="310">
        <f>'Adjusted price'!AB18*'Adjusted Consumption'!AB33</f>
        <v>0.98329699124455516</v>
      </c>
      <c r="AC19" s="310">
        <f>'Adjusted price'!AC18*'Adjusted Consumption'!AC33</f>
        <v>0.9984282268414193</v>
      </c>
      <c r="AD19" s="310">
        <f>'Adjusted price'!AD18*'Adjusted Consumption'!AD33</f>
        <v>1.0140570220201179</v>
      </c>
      <c r="AE19" s="310">
        <f>'Adjusted price'!AE18*'Adjusted Consumption'!AE33</f>
        <v>1.0283693093068167</v>
      </c>
      <c r="AF19" s="310">
        <f>'Adjusted price'!AF18*'Adjusted Consumption'!AF33</f>
        <v>1.0397887592145441</v>
      </c>
    </row>
    <row r="20" spans="1:32">
      <c r="A20" s="40" t="str">
        <f>'Adjusted price'!A19</f>
        <v xml:space="preserve">   Electricity</v>
      </c>
      <c r="B20" s="310">
        <f>'Adjusted price'!B19*'Adjusted Consumption'!B36</f>
        <v>2.4399062916137622</v>
      </c>
      <c r="C20" s="310">
        <f>'Adjusted price'!C19*'Adjusted Consumption'!C36</f>
        <v>2.3213493559145784</v>
      </c>
      <c r="D20" s="310">
        <f>'Adjusted price'!D19*'Adjusted Consumption'!D36</f>
        <v>2.3674198994551756</v>
      </c>
      <c r="E20" s="310">
        <f>'Adjusted price'!E19*'Adjusted Consumption'!E36</f>
        <v>2.3871818191308996</v>
      </c>
      <c r="F20" s="310">
        <f>'Adjusted price'!F19*'Adjusted Consumption'!F36</f>
        <v>2.3482983143225313</v>
      </c>
      <c r="G20" s="310">
        <f>'Adjusted price'!G19*'Adjusted Consumption'!G36</f>
        <v>2.3935122754047975</v>
      </c>
      <c r="H20" s="310">
        <f>'Adjusted price'!H19*'Adjusted Consumption'!H36</f>
        <v>2.4029100551669473</v>
      </c>
      <c r="I20" s="310">
        <f>'Adjusted price'!I19*'Adjusted Consumption'!I36</f>
        <v>2.3950999645677955</v>
      </c>
      <c r="J20" s="310">
        <f>'Adjusted price'!J19*'Adjusted Consumption'!J36</f>
        <v>2.3903017373028637</v>
      </c>
      <c r="K20" s="310">
        <f>'Adjusted price'!K19*'Adjusted Consumption'!K36</f>
        <v>2.4208217290527183</v>
      </c>
      <c r="L20" s="310">
        <f>'Adjusted price'!L19*'Adjusted Consumption'!L36</f>
        <v>2.4755228881502451</v>
      </c>
      <c r="M20" s="310">
        <f>'Adjusted price'!M19*'Adjusted Consumption'!M36</f>
        <v>2.527966147710381</v>
      </c>
      <c r="N20" s="310">
        <f>'Adjusted price'!N19*'Adjusted Consumption'!N36</f>
        <v>2.5811511887232927</v>
      </c>
      <c r="O20" s="310">
        <f>'Adjusted price'!O19*'Adjusted Consumption'!O36</f>
        <v>2.6126129939048042</v>
      </c>
      <c r="P20" s="310">
        <f>'Adjusted price'!P19*'Adjusted Consumption'!P36</f>
        <v>2.6417217625598761</v>
      </c>
      <c r="Q20" s="310">
        <f>'Adjusted price'!Q19*'Adjusted Consumption'!Q36</f>
        <v>2.678812019446716</v>
      </c>
      <c r="R20" s="310">
        <f>'Adjusted price'!R19*'Adjusted Consumption'!R36</f>
        <v>2.73096482244422</v>
      </c>
      <c r="S20" s="310">
        <f>'Adjusted price'!S19*'Adjusted Consumption'!S36</f>
        <v>2.7686111321772531</v>
      </c>
      <c r="T20" s="310">
        <f>'Adjusted price'!T19*'Adjusted Consumption'!T36</f>
        <v>2.7886675058402277</v>
      </c>
      <c r="U20" s="310">
        <f>'Adjusted price'!U19*'Adjusted Consumption'!U36</f>
        <v>2.8046999432409137</v>
      </c>
      <c r="V20" s="310">
        <f>'Adjusted price'!V19*'Adjusted Consumption'!V36</f>
        <v>2.815072333819149</v>
      </c>
      <c r="W20" s="310">
        <f>'Adjusted price'!W19*'Adjusted Consumption'!W36</f>
        <v>2.8424349599733745</v>
      </c>
      <c r="X20" s="310">
        <f>'Adjusted price'!X19*'Adjusted Consumption'!X36</f>
        <v>2.8672290544623729</v>
      </c>
      <c r="Y20" s="310">
        <f>'Adjusted price'!Y19*'Adjusted Consumption'!Y36</f>
        <v>2.8771157608023201</v>
      </c>
      <c r="Z20" s="310">
        <f>'Adjusted price'!Z19*'Adjusted Consumption'!Z36</f>
        <v>2.8890329412622884</v>
      </c>
      <c r="AA20" s="310">
        <f>'Adjusted price'!AA19*'Adjusted Consumption'!AA36</f>
        <v>2.9091735889786539</v>
      </c>
      <c r="AB20" s="310">
        <f>'Adjusted price'!AB19*'Adjusted Consumption'!AB36</f>
        <v>2.9288225308781599</v>
      </c>
      <c r="AC20" s="310">
        <f>'Adjusted price'!AC19*'Adjusted Consumption'!AC36</f>
        <v>2.9407739873316254</v>
      </c>
      <c r="AD20" s="310">
        <f>'Adjusted price'!AD19*'Adjusted Consumption'!AD36</f>
        <v>2.9542787454179882</v>
      </c>
      <c r="AE20" s="310">
        <f>'Adjusted price'!AE19*'Adjusted Consumption'!AE36</f>
        <v>2.9623847049687346</v>
      </c>
      <c r="AF20" s="310">
        <f>'Adjusted price'!AF19*'Adjusted Consumption'!AF36</f>
        <v>2.9643162711330029</v>
      </c>
    </row>
    <row r="21" spans="1:32">
      <c r="A21" s="46" t="s">
        <v>4</v>
      </c>
      <c r="B21" s="310">
        <f t="shared" ref="B21:V21" si="2">SUM(B16:B20)</f>
        <v>3.2716743172236535</v>
      </c>
      <c r="C21" s="310">
        <f t="shared" si="2"/>
        <v>3.1623702820544963</v>
      </c>
      <c r="D21" s="310">
        <f t="shared" si="2"/>
        <v>3.220315232501608</v>
      </c>
      <c r="E21" s="310">
        <f t="shared" si="2"/>
        <v>3.2567632112171738</v>
      </c>
      <c r="F21" s="310">
        <f t="shared" si="2"/>
        <v>3.2534761339250302</v>
      </c>
      <c r="G21" s="310">
        <f t="shared" si="2"/>
        <v>3.3349248963225717</v>
      </c>
      <c r="H21" s="310">
        <f t="shared" si="2"/>
        <v>3.3678906083504563</v>
      </c>
      <c r="I21" s="310">
        <f t="shared" si="2"/>
        <v>3.3766072819914541</v>
      </c>
      <c r="J21" s="310">
        <f t="shared" si="2"/>
        <v>3.3877699288516205</v>
      </c>
      <c r="K21" s="310">
        <f t="shared" si="2"/>
        <v>3.5702055789569735</v>
      </c>
      <c r="L21" s="310">
        <f t="shared" si="2"/>
        <v>3.6260695788617978</v>
      </c>
      <c r="M21" s="310">
        <f t="shared" si="2"/>
        <v>3.7042569434678705</v>
      </c>
      <c r="N21" s="310">
        <f t="shared" si="2"/>
        <v>3.7720847506413691</v>
      </c>
      <c r="O21" s="310">
        <f t="shared" si="2"/>
        <v>3.8165300902833486</v>
      </c>
      <c r="P21" s="310">
        <f t="shared" si="2"/>
        <v>3.8532191753654956</v>
      </c>
      <c r="Q21" s="310">
        <f t="shared" si="2"/>
        <v>3.8979094206554028</v>
      </c>
      <c r="R21" s="310">
        <f t="shared" si="2"/>
        <v>3.9600834369862499</v>
      </c>
      <c r="S21" s="310">
        <f t="shared" si="2"/>
        <v>4.0047878359013858</v>
      </c>
      <c r="T21" s="310">
        <f t="shared" si="2"/>
        <v>4.0318996083853706</v>
      </c>
      <c r="U21" s="310">
        <f t="shared" si="2"/>
        <v>4.0551358862167355</v>
      </c>
      <c r="V21" s="310">
        <f t="shared" si="2"/>
        <v>4.0788143200962503</v>
      </c>
      <c r="W21" s="310">
        <f t="shared" ref="W21:AF21" si="3">SUM(W16:W20)</f>
        <v>4.1190184542923181</v>
      </c>
      <c r="X21" s="310">
        <f t="shared" si="3"/>
        <v>4.1590940295981191</v>
      </c>
      <c r="Y21" s="310">
        <f t="shared" si="3"/>
        <v>4.1838402155793126</v>
      </c>
      <c r="Z21" s="310">
        <f t="shared" si="3"/>
        <v>4.2102117430769104</v>
      </c>
      <c r="AA21" s="310">
        <f t="shared" si="3"/>
        <v>4.2467697298704481</v>
      </c>
      <c r="AB21" s="310">
        <f t="shared" si="3"/>
        <v>4.2815275709542489</v>
      </c>
      <c r="AC21" s="310">
        <f t="shared" si="3"/>
        <v>4.3089040970329995</v>
      </c>
      <c r="AD21" s="310">
        <f t="shared" si="3"/>
        <v>4.3392218324733536</v>
      </c>
      <c r="AE21" s="310">
        <f t="shared" si="3"/>
        <v>4.3618689328178366</v>
      </c>
      <c r="AF21" s="310">
        <f t="shared" si="3"/>
        <v>4.3754587029348864</v>
      </c>
    </row>
    <row r="22" spans="1:32">
      <c r="A22" s="46"/>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row>
    <row r="23" spans="1:32" s="5" customFormat="1" ht="13">
      <c r="A23" s="250" t="str">
        <f>'Adjusted price'!A21</f>
        <v xml:space="preserve"> Industrial 1/</v>
      </c>
      <c r="B23" s="380"/>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1"/>
    </row>
    <row r="24" spans="1:32" s="396" customFormat="1" ht="12.9" customHeight="1">
      <c r="A24" s="253" t="s">
        <v>6</v>
      </c>
      <c r="B24" s="253">
        <v>2020</v>
      </c>
      <c r="C24" s="253">
        <v>2021</v>
      </c>
      <c r="D24" s="253">
        <v>2022</v>
      </c>
      <c r="E24" s="253">
        <v>2023</v>
      </c>
      <c r="F24" s="253">
        <v>2024</v>
      </c>
      <c r="G24" s="253">
        <v>2025</v>
      </c>
      <c r="H24" s="253">
        <v>2026</v>
      </c>
      <c r="I24" s="253">
        <v>2027</v>
      </c>
      <c r="J24" s="253">
        <v>2028</v>
      </c>
      <c r="K24" s="253">
        <v>2029</v>
      </c>
      <c r="L24" s="253">
        <v>2030</v>
      </c>
      <c r="M24" s="253">
        <v>2031</v>
      </c>
      <c r="N24" s="253">
        <v>2032</v>
      </c>
      <c r="O24" s="253">
        <v>2033</v>
      </c>
      <c r="P24" s="253">
        <v>2034</v>
      </c>
      <c r="Q24" s="253">
        <v>2035</v>
      </c>
      <c r="R24" s="253">
        <v>2036</v>
      </c>
      <c r="S24" s="253">
        <v>2037</v>
      </c>
      <c r="T24" s="253">
        <v>2038</v>
      </c>
      <c r="U24" s="253">
        <v>2039</v>
      </c>
      <c r="V24" s="253">
        <v>2040</v>
      </c>
      <c r="W24" s="253">
        <v>2041</v>
      </c>
      <c r="X24" s="253">
        <v>2042</v>
      </c>
      <c r="Y24" s="253">
        <v>2043</v>
      </c>
      <c r="Z24" s="253">
        <v>2044</v>
      </c>
      <c r="AA24" s="253">
        <v>2045</v>
      </c>
      <c r="AB24" s="253">
        <v>2046</v>
      </c>
      <c r="AC24" s="253">
        <v>2047</v>
      </c>
      <c r="AD24" s="253">
        <v>2048</v>
      </c>
      <c r="AE24" s="253">
        <v>2049</v>
      </c>
      <c r="AF24" s="253">
        <v>2050</v>
      </c>
    </row>
    <row r="25" spans="1:32">
      <c r="A25" s="40" t="str">
        <f>'Adjusted price'!A23</f>
        <v xml:space="preserve">   Liquefied Petroleum Gases</v>
      </c>
      <c r="B25" s="310">
        <f>'Adjusted price'!B23*'Adjusted Consumption'!B48</f>
        <v>5.5102003888072057E-2</v>
      </c>
      <c r="C25" s="310">
        <f>'Adjusted price'!C23*'Adjusted Consumption'!C48</f>
        <v>5.7131058226344941E-2</v>
      </c>
      <c r="D25" s="310">
        <f>'Adjusted price'!D23*'Adjusted Consumption'!D48</f>
        <v>6.017175653353677E-2</v>
      </c>
      <c r="E25" s="310">
        <f>'Adjusted price'!E23*'Adjusted Consumption'!E48</f>
        <v>6.2440923258053373E-2</v>
      </c>
      <c r="F25" s="310">
        <f>'Adjusted price'!F23*'Adjusted Consumption'!F48</f>
        <v>6.5175395079652962E-2</v>
      </c>
      <c r="G25" s="310">
        <f>'Adjusted price'!G23*'Adjusted Consumption'!G48</f>
        <v>6.8109362283246266E-2</v>
      </c>
      <c r="H25" s="310">
        <f>'Adjusted price'!H23*'Adjusted Consumption'!H48</f>
        <v>7.0330959439017002E-2</v>
      </c>
      <c r="I25" s="310">
        <f>'Adjusted price'!I23*'Adjusted Consumption'!I48</f>
        <v>7.1819863269080506E-2</v>
      </c>
      <c r="J25" s="310">
        <f>'Adjusted price'!J23*'Adjusted Consumption'!J48</f>
        <v>7.3308549749373522E-2</v>
      </c>
      <c r="K25" s="310">
        <f>'Adjusted price'!K23*'Adjusted Consumption'!K48</f>
        <v>7.4405573993636231E-2</v>
      </c>
      <c r="L25" s="310">
        <f>'Adjusted price'!L23*'Adjusted Consumption'!L48</f>
        <v>7.5098723580415777E-2</v>
      </c>
      <c r="M25" s="310">
        <f>'Adjusted price'!M23*'Adjusted Consumption'!M48</f>
        <v>7.5943047241758002E-2</v>
      </c>
      <c r="N25" s="310">
        <f>'Adjusted price'!N23*'Adjusted Consumption'!N48</f>
        <v>7.715166437648098E-2</v>
      </c>
      <c r="O25" s="310">
        <f>'Adjusted price'!O23*'Adjusted Consumption'!O48</f>
        <v>7.8407944297487056E-2</v>
      </c>
      <c r="P25" s="310">
        <f>'Adjusted price'!P23*'Adjusted Consumption'!P48</f>
        <v>7.948024949389873E-2</v>
      </c>
      <c r="Q25" s="310">
        <f>'Adjusted price'!Q23*'Adjusted Consumption'!Q48</f>
        <v>8.0335609256112772E-2</v>
      </c>
      <c r="R25" s="310">
        <f>'Adjusted price'!R23*'Adjusted Consumption'!R48</f>
        <v>8.1167861571100244E-2</v>
      </c>
      <c r="S25" s="310">
        <f>'Adjusted price'!S23*'Adjusted Consumption'!S48</f>
        <v>8.1768769426403001E-2</v>
      </c>
      <c r="T25" s="310">
        <f>'Adjusted price'!T23*'Adjusted Consumption'!T48</f>
        <v>8.227584569803105E-2</v>
      </c>
      <c r="U25" s="310">
        <f>'Adjusted price'!U23*'Adjusted Consumption'!U48</f>
        <v>8.2711194484470951E-2</v>
      </c>
      <c r="V25" s="310">
        <f>'Adjusted price'!V23*'Adjusted Consumption'!V48</f>
        <v>8.37345942081444E-2</v>
      </c>
      <c r="W25" s="310">
        <f>'Adjusted price'!W23*'Adjusted Consumption'!W48</f>
        <v>8.4608185556155263E-2</v>
      </c>
      <c r="X25" s="310">
        <f>'Adjusted price'!X23*'Adjusted Consumption'!X48</f>
        <v>8.5417998786238056E-2</v>
      </c>
      <c r="Y25" s="310">
        <f>'Adjusted price'!Y23*'Adjusted Consumption'!Y48</f>
        <v>8.6375234960457445E-2</v>
      </c>
      <c r="Z25" s="310">
        <f>'Adjusted price'!Z23*'Adjusted Consumption'!Z48</f>
        <v>8.7450328343413611E-2</v>
      </c>
      <c r="AA25" s="310">
        <f>'Adjusted price'!AA23*'Adjusted Consumption'!AA48</f>
        <v>8.8360435508502769E-2</v>
      </c>
      <c r="AB25" s="310">
        <f>'Adjusted price'!AB23*'Adjusted Consumption'!AB48</f>
        <v>8.921290889476069E-2</v>
      </c>
      <c r="AC25" s="310">
        <f>'Adjusted price'!AC23*'Adjusted Consumption'!AC48</f>
        <v>9.0024880235762647E-2</v>
      </c>
      <c r="AD25" s="310">
        <f>'Adjusted price'!AD23*'Adjusted Consumption'!AD48</f>
        <v>9.0833904024786763E-2</v>
      </c>
      <c r="AE25" s="310">
        <f>'Adjusted price'!AE23*'Adjusted Consumption'!AE48</f>
        <v>9.1320025444805511E-2</v>
      </c>
      <c r="AF25" s="310">
        <f>'Adjusted price'!AF23*'Adjusted Consumption'!AF48</f>
        <v>9.1597903036691408E-2</v>
      </c>
    </row>
    <row r="26" spans="1:32">
      <c r="A26" s="46" t="s">
        <v>321</v>
      </c>
      <c r="B26" s="310">
        <f>'Adjusted price'!B36*'Adjusted Consumption'!B29</f>
        <v>1.3986786111650832E-2</v>
      </c>
      <c r="C26" s="310">
        <f>'Adjusted price'!C36*'Adjusted Consumption'!C29</f>
        <v>1.4819088694283241E-2</v>
      </c>
      <c r="D26" s="310">
        <f>'Adjusted price'!D36*'Adjusted Consumption'!D29</f>
        <v>1.5203867901501328E-2</v>
      </c>
      <c r="E26" s="310">
        <f>'Adjusted price'!E36*'Adjusted Consumption'!E29</f>
        <v>1.5504469395170851E-2</v>
      </c>
      <c r="F26" s="310">
        <f>'Adjusted price'!F36*'Adjusted Consumption'!F29</f>
        <v>1.7144455241160161E-2</v>
      </c>
      <c r="G26" s="310">
        <f>'Adjusted price'!G36*'Adjusted Consumption'!G29</f>
        <v>1.7192788090093548E-2</v>
      </c>
      <c r="H26" s="310">
        <f>'Adjusted price'!H36*'Adjusted Consumption'!H29</f>
        <v>1.7242709817507085E-2</v>
      </c>
      <c r="I26" s="310">
        <f>'Adjusted price'!I36*'Adjusted Consumption'!I29</f>
        <v>1.7312091198399573E-2</v>
      </c>
      <c r="J26" s="310">
        <f>'Adjusted price'!J36*'Adjusted Consumption'!J29</f>
        <v>1.7429164820242531E-2</v>
      </c>
      <c r="K26" s="310">
        <f>'Adjusted price'!K36*'Adjusted Consumption'!K29</f>
        <v>1.771749614248604E-2</v>
      </c>
      <c r="L26" s="310">
        <f>'Adjusted price'!L36*'Adjusted Consumption'!L29</f>
        <v>1.7825755501945553E-2</v>
      </c>
      <c r="M26" s="310">
        <f>'Adjusted price'!M36*'Adjusted Consumption'!M29</f>
        <v>1.8051628648670093E-2</v>
      </c>
      <c r="N26" s="310">
        <f>'Adjusted price'!N36*'Adjusted Consumption'!N29</f>
        <v>1.8157228296146535E-2</v>
      </c>
      <c r="O26" s="310">
        <f>'Adjusted price'!O36*'Adjusted Consumption'!O29</f>
        <v>1.8220427790899607E-2</v>
      </c>
      <c r="P26" s="310">
        <f>'Adjusted price'!P36*'Adjusted Consumption'!P29</f>
        <v>1.8328381480168576E-2</v>
      </c>
      <c r="Q26" s="310">
        <f>'Adjusted price'!Q36*'Adjusted Consumption'!Q29</f>
        <v>1.8403442347675443E-2</v>
      </c>
      <c r="R26" s="310">
        <f>'Adjusted price'!R36*'Adjusted Consumption'!R29</f>
        <v>1.8422107916776682E-2</v>
      </c>
      <c r="S26" s="310">
        <f>'Adjusted price'!S36*'Adjusted Consumption'!S29</f>
        <v>1.863673475209416E-2</v>
      </c>
      <c r="T26" s="310">
        <f>'Adjusted price'!T36*'Adjusted Consumption'!T29</f>
        <v>1.8693303378293148E-2</v>
      </c>
      <c r="U26" s="310">
        <f>'Adjusted price'!U36*'Adjusted Consumption'!U29</f>
        <v>1.8800892620715989E-2</v>
      </c>
      <c r="V26" s="310">
        <f>'Adjusted price'!V36*'Adjusted Consumption'!V29</f>
        <v>1.8926208975838778E-2</v>
      </c>
      <c r="W26" s="310">
        <f>'Adjusted price'!W36*'Adjusted Consumption'!W29</f>
        <v>1.9022309105244262E-2</v>
      </c>
      <c r="X26" s="310">
        <f>'Adjusted price'!X36*'Adjusted Consumption'!X29</f>
        <v>1.9093280626742978E-2</v>
      </c>
      <c r="Y26" s="310">
        <f>'Adjusted price'!Y36*'Adjusted Consumption'!Y29</f>
        <v>1.9137184274556386E-2</v>
      </c>
      <c r="Z26" s="310">
        <f>'Adjusted price'!Z36*'Adjusted Consumption'!Z29</f>
        <v>1.9179392683493376E-2</v>
      </c>
      <c r="AA26" s="310">
        <f>'Adjusted price'!AA36*'Adjusted Consumption'!AA29</f>
        <v>1.9246922707254584E-2</v>
      </c>
      <c r="AB26" s="310">
        <f>'Adjusted price'!AB36*'Adjusted Consumption'!AB29</f>
        <v>1.9196787367920316E-2</v>
      </c>
      <c r="AC26" s="310">
        <f>'Adjusted price'!AC36*'Adjusted Consumption'!AC29</f>
        <v>1.9270037959348583E-2</v>
      </c>
      <c r="AD26" s="310">
        <f>'Adjusted price'!AD36*'Adjusted Consumption'!AD29</f>
        <v>1.9370893240200651E-2</v>
      </c>
      <c r="AE26" s="310">
        <f>'Adjusted price'!AE36*'Adjusted Consumption'!AE29</f>
        <v>1.9393868487662658E-2</v>
      </c>
      <c r="AF26" s="310">
        <f>'Adjusted price'!AF36*'Adjusted Consumption'!AF29</f>
        <v>1.9450378389572805E-2</v>
      </c>
    </row>
    <row r="27" spans="1:32">
      <c r="A27" s="40" t="str">
        <f>'Adjusted price'!A24</f>
        <v xml:space="preserve">   Distillate Fuel Oil</v>
      </c>
      <c r="B27" s="310">
        <f>'Adjusted price'!B24*'Adjusted Consumption'!B50</f>
        <v>0.4271486946311025</v>
      </c>
      <c r="C27" s="310">
        <f>'Adjusted price'!C24*'Adjusted Consumption'!C50</f>
        <v>0.42612968046529087</v>
      </c>
      <c r="D27" s="310">
        <f>'Adjusted price'!D24*'Adjusted Consumption'!D50</f>
        <v>0.42352298615458095</v>
      </c>
      <c r="E27" s="310">
        <f>'Adjusted price'!E24*'Adjusted Consumption'!E50</f>
        <v>0.42571770973432305</v>
      </c>
      <c r="F27" s="310">
        <f>'Adjusted price'!F24*'Adjusted Consumption'!F50</f>
        <v>0.43546468870463562</v>
      </c>
      <c r="G27" s="310">
        <f>'Adjusted price'!G24*'Adjusted Consumption'!G50</f>
        <v>0.45210667828796292</v>
      </c>
      <c r="H27" s="310">
        <f>'Adjusted price'!H24*'Adjusted Consumption'!H50</f>
        <v>0.46601485320638747</v>
      </c>
      <c r="I27" s="310">
        <f>'Adjusted price'!I24*'Adjusted Consumption'!I50</f>
        <v>0.48438196969727348</v>
      </c>
      <c r="J27" s="310">
        <f>'Adjusted price'!J24*'Adjusted Consumption'!J50</f>
        <v>0.49550828932958185</v>
      </c>
      <c r="K27" s="310">
        <f>'Adjusted price'!K24*'Adjusted Consumption'!K50</f>
        <v>0.5122340710254808</v>
      </c>
      <c r="L27" s="310">
        <f>'Adjusted price'!L24*'Adjusted Consumption'!L50</f>
        <v>0.52036067062539348</v>
      </c>
      <c r="M27" s="310">
        <f>'Adjusted price'!M24*'Adjusted Consumption'!M50</f>
        <v>0.53116736406890042</v>
      </c>
      <c r="N27" s="310">
        <f>'Adjusted price'!N24*'Adjusted Consumption'!N50</f>
        <v>0.54324537837184428</v>
      </c>
      <c r="O27" s="310">
        <f>'Adjusted price'!O24*'Adjusted Consumption'!O50</f>
        <v>0.55353879067623701</v>
      </c>
      <c r="P27" s="310">
        <f>'Adjusted price'!P24*'Adjusted Consumption'!P50</f>
        <v>0.55886186636348867</v>
      </c>
      <c r="Q27" s="310">
        <f>'Adjusted price'!Q24*'Adjusted Consumption'!Q50</f>
        <v>0.56840453808672853</v>
      </c>
      <c r="R27" s="310">
        <f>'Adjusted price'!R24*'Adjusted Consumption'!R50</f>
        <v>0.58045397285287337</v>
      </c>
      <c r="S27" s="310">
        <f>'Adjusted price'!S24*'Adjusted Consumption'!S50</f>
        <v>0.58247936416675694</v>
      </c>
      <c r="T27" s="310">
        <f>'Adjusted price'!T24*'Adjusted Consumption'!T50</f>
        <v>0.5922017732777497</v>
      </c>
      <c r="U27" s="310">
        <f>'Adjusted price'!U24*'Adjusted Consumption'!U50</f>
        <v>0.59999808938098875</v>
      </c>
      <c r="V27" s="310">
        <f>'Adjusted price'!V24*'Adjusted Consumption'!V50</f>
        <v>0.60986701591823556</v>
      </c>
      <c r="W27" s="310">
        <f>'Adjusted price'!W24*'Adjusted Consumption'!W50</f>
        <v>0.61994657875604109</v>
      </c>
      <c r="X27" s="310">
        <f>'Adjusted price'!X24*'Adjusted Consumption'!X50</f>
        <v>0.63303578694793206</v>
      </c>
      <c r="Y27" s="310">
        <f>'Adjusted price'!Y24*'Adjusted Consumption'!Y50</f>
        <v>0.63939857973176806</v>
      </c>
      <c r="Z27" s="310">
        <f>'Adjusted price'!Z24*'Adjusted Consumption'!Z50</f>
        <v>0.64488164369887369</v>
      </c>
      <c r="AA27" s="310">
        <f>'Adjusted price'!AA24*'Adjusted Consumption'!AA50</f>
        <v>0.65310094199710722</v>
      </c>
      <c r="AB27" s="310">
        <f>'Adjusted price'!AB24*'Adjusted Consumption'!AB50</f>
        <v>0.65964540958832019</v>
      </c>
      <c r="AC27" s="310">
        <f>'Adjusted price'!AC24*'Adjusted Consumption'!AC50</f>
        <v>0.66488662724580816</v>
      </c>
      <c r="AD27" s="310">
        <f>'Adjusted price'!AD24*'Adjusted Consumption'!AD50</f>
        <v>0.67510485307884138</v>
      </c>
      <c r="AE27" s="310">
        <f>'Adjusted price'!AE24*'Adjusted Consumption'!AE50</f>
        <v>0.67997694887914151</v>
      </c>
      <c r="AF27" s="310">
        <f>'Adjusted price'!AF24*'Adjusted Consumption'!AF50</f>
        <v>0.68695754067844028</v>
      </c>
    </row>
    <row r="28" spans="1:32">
      <c r="A28" s="40" t="str">
        <f>'Adjusted price'!A25</f>
        <v xml:space="preserve">   Residual Fuel Oil</v>
      </c>
      <c r="B28" s="310">
        <f>'Adjusted price'!B25*'Adjusted Consumption'!B51</f>
        <v>3.5906489515645447E-3</v>
      </c>
      <c r="C28" s="310">
        <f>'Adjusted price'!C25*'Adjusted Consumption'!C51</f>
        <v>3.8363612037506868E-3</v>
      </c>
      <c r="D28" s="310">
        <f>'Adjusted price'!D25*'Adjusted Consumption'!D51</f>
        <v>3.967347640700971E-3</v>
      </c>
      <c r="E28" s="310">
        <f>'Adjusted price'!E25*'Adjusted Consumption'!E51</f>
        <v>4.2297301924040832E-3</v>
      </c>
      <c r="F28" s="310">
        <f>'Adjusted price'!F25*'Adjusted Consumption'!F51</f>
        <v>4.5639791882050012E-3</v>
      </c>
      <c r="G28" s="310">
        <f>'Adjusted price'!G25*'Adjusted Consumption'!G51</f>
        <v>4.7557305253938505E-3</v>
      </c>
      <c r="H28" s="310">
        <f>'Adjusted price'!H25*'Adjusted Consumption'!H51</f>
        <v>5.013649897747636E-3</v>
      </c>
      <c r="I28" s="310">
        <f>'Adjusted price'!I25*'Adjusted Consumption'!I51</f>
        <v>5.2932627882289239E-3</v>
      </c>
      <c r="J28" s="310">
        <f>'Adjusted price'!J25*'Adjusted Consumption'!J51</f>
        <v>5.4161609296505325E-3</v>
      </c>
      <c r="K28" s="310">
        <f>'Adjusted price'!K25*'Adjusted Consumption'!K51</f>
        <v>5.6258700084868031E-3</v>
      </c>
      <c r="L28" s="310">
        <f>'Adjusted price'!L25*'Adjusted Consumption'!L51</f>
        <v>5.6712698653145826E-3</v>
      </c>
      <c r="M28" s="310">
        <f>'Adjusted price'!M25*'Adjusted Consumption'!M51</f>
        <v>5.7785922215369866E-3</v>
      </c>
      <c r="N28" s="310">
        <f>'Adjusted price'!N25*'Adjusted Consumption'!N51</f>
        <v>5.8868806976899411E-3</v>
      </c>
      <c r="O28" s="310">
        <f>'Adjusted price'!O25*'Adjusted Consumption'!O51</f>
        <v>5.9581247062615705E-3</v>
      </c>
      <c r="P28" s="310">
        <f>'Adjusted price'!P25*'Adjusted Consumption'!P51</f>
        <v>6.0118918198567494E-3</v>
      </c>
      <c r="Q28" s="310">
        <f>'Adjusted price'!Q25*'Adjusted Consumption'!Q51</f>
        <v>6.0965277851780329E-3</v>
      </c>
      <c r="R28" s="310">
        <f>'Adjusted price'!R25*'Adjusted Consumption'!R51</f>
        <v>6.2222838264576362E-3</v>
      </c>
      <c r="S28" s="310">
        <f>'Adjusted price'!S25*'Adjusted Consumption'!S51</f>
        <v>6.2943427041268988E-3</v>
      </c>
      <c r="T28" s="310">
        <f>'Adjusted price'!T25*'Adjusted Consumption'!T51</f>
        <v>6.3400110590700167E-3</v>
      </c>
      <c r="U28" s="310">
        <f>'Adjusted price'!U25*'Adjusted Consumption'!U51</f>
        <v>6.4006696715193231E-3</v>
      </c>
      <c r="V28" s="310">
        <f>'Adjusted price'!V25*'Adjusted Consumption'!V51</f>
        <v>6.4491961575646722E-3</v>
      </c>
      <c r="W28" s="310">
        <f>'Adjusted price'!W25*'Adjusted Consumption'!W51</f>
        <v>6.4877315427090982E-3</v>
      </c>
      <c r="X28" s="310">
        <f>'Adjusted price'!X25*'Adjusted Consumption'!X51</f>
        <v>6.6165940490414219E-3</v>
      </c>
      <c r="Y28" s="310">
        <f>'Adjusted price'!Y25*'Adjusted Consumption'!Y51</f>
        <v>6.5955437842461218E-3</v>
      </c>
      <c r="Z28" s="310">
        <f>'Adjusted price'!Z25*'Adjusted Consumption'!Z51</f>
        <v>6.536072344366743E-3</v>
      </c>
      <c r="AA28" s="310">
        <f>'Adjusted price'!AA25*'Adjusted Consumption'!AA51</f>
        <v>6.5180004666736844E-3</v>
      </c>
      <c r="AB28" s="310">
        <f>'Adjusted price'!AB25*'Adjusted Consumption'!AB51</f>
        <v>6.5025686112734644E-3</v>
      </c>
      <c r="AC28" s="310">
        <f>'Adjusted price'!AC25*'Adjusted Consumption'!AC51</f>
        <v>6.4868830322503037E-3</v>
      </c>
      <c r="AD28" s="310">
        <f>'Adjusted price'!AD25*'Adjusted Consumption'!AD51</f>
        <v>6.4703955884667244E-3</v>
      </c>
      <c r="AE28" s="310">
        <f>'Adjusted price'!AE25*'Adjusted Consumption'!AE51</f>
        <v>6.4241998072594626E-3</v>
      </c>
      <c r="AF28" s="310">
        <f>'Adjusted price'!AF25*'Adjusted Consumption'!AF51</f>
        <v>6.4098151758359726E-3</v>
      </c>
    </row>
    <row r="29" spans="1:32">
      <c r="A29" s="46" t="s">
        <v>337</v>
      </c>
      <c r="B29" s="310">
        <f>'Adjusted price'!B25*'Adjusted Consumption'!B53</f>
        <v>0.79912545971664828</v>
      </c>
      <c r="C29" s="310">
        <f>'Adjusted price'!C25*'Adjusted Consumption'!C53</f>
        <v>0.78171036447417142</v>
      </c>
      <c r="D29" s="310">
        <f>'Adjusted price'!D25*'Adjusted Consumption'!D53</f>
        <v>0.74439769066114181</v>
      </c>
      <c r="E29" s="310">
        <f>'Adjusted price'!E25*'Adjusted Consumption'!E53</f>
        <v>0.73633176734937333</v>
      </c>
      <c r="F29" s="310">
        <f>'Adjusted price'!F25*'Adjusted Consumption'!F53</f>
        <v>0.75509791820641425</v>
      </c>
      <c r="G29" s="310">
        <f>'Adjusted price'!G25*'Adjusted Consumption'!G53</f>
        <v>0.75659094585475228</v>
      </c>
      <c r="H29" s="310">
        <f>'Adjusted price'!H25*'Adjusted Consumption'!H53</f>
        <v>0.73431476229405901</v>
      </c>
      <c r="I29" s="310">
        <f>'Adjusted price'!I25*'Adjusted Consumption'!I53</f>
        <v>0.71259019448600169</v>
      </c>
      <c r="J29" s="310">
        <f>'Adjusted price'!J25*'Adjusted Consumption'!J53</f>
        <v>0.6990092368630787</v>
      </c>
      <c r="K29" s="310">
        <f>'Adjusted price'!K25*'Adjusted Consumption'!K53</f>
        <v>0.67843892809568662</v>
      </c>
      <c r="L29" s="310">
        <f>'Adjusted price'!L25*'Adjusted Consumption'!L53</f>
        <v>0.66553807407471999</v>
      </c>
      <c r="M29" s="310">
        <f>'Adjusted price'!M25*'Adjusted Consumption'!M53</f>
        <v>0.65892695418820224</v>
      </c>
      <c r="N29" s="310">
        <f>'Adjusted price'!N25*'Adjusted Consumption'!N53</f>
        <v>0.66599854697510152</v>
      </c>
      <c r="O29" s="310">
        <f>'Adjusted price'!O25*'Adjusted Consumption'!O53</f>
        <v>0.67358911208785366</v>
      </c>
      <c r="P29" s="310">
        <f>'Adjusted price'!P25*'Adjusted Consumption'!P53</f>
        <v>0.69723626820857354</v>
      </c>
      <c r="Q29" s="310">
        <f>'Adjusted price'!Q25*'Adjusted Consumption'!Q53</f>
        <v>0.71307013384514095</v>
      </c>
      <c r="R29" s="310">
        <f>'Adjusted price'!R25*'Adjusted Consumption'!R53</f>
        <v>0.71988946540768239</v>
      </c>
      <c r="S29" s="310">
        <f>'Adjusted price'!S25*'Adjusted Consumption'!S53</f>
        <v>0.72934348409592631</v>
      </c>
      <c r="T29" s="310">
        <f>'Adjusted price'!T25*'Adjusted Consumption'!T53</f>
        <v>0.73766759998939946</v>
      </c>
      <c r="U29" s="310">
        <f>'Adjusted price'!U25*'Adjusted Consumption'!U53</f>
        <v>0.77010858825451556</v>
      </c>
      <c r="V29" s="310">
        <f>'Adjusted price'!V25*'Adjusted Consumption'!V53</f>
        <v>0.77701538953033611</v>
      </c>
      <c r="W29" s="310">
        <f>'Adjusted price'!W25*'Adjusted Consumption'!W53</f>
        <v>0.79208579968226545</v>
      </c>
      <c r="X29" s="310">
        <f>'Adjusted price'!X25*'Adjusted Consumption'!X53</f>
        <v>0.81657614074908069</v>
      </c>
      <c r="Y29" s="310">
        <f>'Adjusted price'!Y25*'Adjusted Consumption'!Y53</f>
        <v>0.83532937241717731</v>
      </c>
      <c r="Z29" s="310">
        <f>'Adjusted price'!Z25*'Adjusted Consumption'!Z53</f>
        <v>0.8334235323839142</v>
      </c>
      <c r="AA29" s="310">
        <f>'Adjusted price'!AA25*'Adjusted Consumption'!AA53</f>
        <v>0.86272273904668195</v>
      </c>
      <c r="AB29" s="310">
        <f>'Adjusted price'!AB25*'Adjusted Consumption'!AB53</f>
        <v>0.87477238145437031</v>
      </c>
      <c r="AC29" s="310">
        <f>'Adjusted price'!AC25*'Adjusted Consumption'!AC53</f>
        <v>0.8884706431976318</v>
      </c>
      <c r="AD29" s="310">
        <f>'Adjusted price'!AD25*'Adjusted Consumption'!AD53</f>
        <v>0.90546110947109515</v>
      </c>
      <c r="AE29" s="310">
        <f>'Adjusted price'!AE25*'Adjusted Consumption'!AE53</f>
        <v>0.91821089039768822</v>
      </c>
      <c r="AF29" s="310">
        <f>'Adjusted price'!AF25*'Adjusted Consumption'!AF53</f>
        <v>0.94646332303722336</v>
      </c>
    </row>
    <row r="30" spans="1:32">
      <c r="A30" s="40" t="str">
        <f>'Adjusted price'!A26</f>
        <v xml:space="preserve">   Natural Gas 2/</v>
      </c>
      <c r="B30" s="310">
        <f>'Adjusted price'!B26*'Adjusted Consumption'!B57</f>
        <v>0.41952579669326895</v>
      </c>
      <c r="C30" s="310">
        <f>'Adjusted price'!C26*'Adjusted Consumption'!C57</f>
        <v>0.42275831172509409</v>
      </c>
      <c r="D30" s="310">
        <f>'Adjusted price'!D26*'Adjusted Consumption'!D57</f>
        <v>0.43873694423096032</v>
      </c>
      <c r="E30" s="310">
        <f>'Adjusted price'!E26*'Adjusted Consumption'!E57</f>
        <v>0.4558556411947996</v>
      </c>
      <c r="F30" s="310">
        <f>'Adjusted price'!F26*'Adjusted Consumption'!F57</f>
        <v>0.51098171411474591</v>
      </c>
      <c r="G30" s="310">
        <f>'Adjusted price'!G26*'Adjusted Consumption'!G57</f>
        <v>0.53254182120563698</v>
      </c>
      <c r="H30" s="310">
        <f>'Adjusted price'!H26*'Adjusted Consumption'!H57</f>
        <v>0.55814818231015995</v>
      </c>
      <c r="I30" s="310">
        <f>'Adjusted price'!I26*'Adjusted Consumption'!I57</f>
        <v>0.54153014769680041</v>
      </c>
      <c r="J30" s="310">
        <f>'Adjusted price'!J26*'Adjusted Consumption'!J57</f>
        <v>0.54307474080545692</v>
      </c>
      <c r="K30" s="310">
        <f>'Adjusted price'!K26*'Adjusted Consumption'!K57</f>
        <v>0.49754402347532956</v>
      </c>
      <c r="L30" s="310">
        <f>'Adjusted price'!L26*'Adjusted Consumption'!L57</f>
        <v>0.50270603251350965</v>
      </c>
      <c r="M30" s="310">
        <f>'Adjusted price'!M26*'Adjusted Consumption'!M57</f>
        <v>0.49630205020875595</v>
      </c>
      <c r="N30" s="310">
        <f>'Adjusted price'!N26*'Adjusted Consumption'!N57</f>
        <v>0.50261593162771834</v>
      </c>
      <c r="O30" s="310">
        <f>'Adjusted price'!O26*'Adjusted Consumption'!O57</f>
        <v>0.50434368236346727</v>
      </c>
      <c r="P30" s="310">
        <f>'Adjusted price'!P26*'Adjusted Consumption'!P57</f>
        <v>0.51351470229126162</v>
      </c>
      <c r="Q30" s="310">
        <f>'Adjusted price'!Q26*'Adjusted Consumption'!Q57</f>
        <v>0.51859233953219919</v>
      </c>
      <c r="R30" s="310">
        <f>'Adjusted price'!R26*'Adjusted Consumption'!R57</f>
        <v>0.52921345234870154</v>
      </c>
      <c r="S30" s="310">
        <f>'Adjusted price'!S26*'Adjusted Consumption'!S57</f>
        <v>0.53599482388122754</v>
      </c>
      <c r="T30" s="310">
        <f>'Adjusted price'!T26*'Adjusted Consumption'!T57</f>
        <v>0.54464805225152391</v>
      </c>
      <c r="U30" s="310">
        <f>'Adjusted price'!U26*'Adjusted Consumption'!U57</f>
        <v>0.55056567543813983</v>
      </c>
      <c r="V30" s="310">
        <f>'Adjusted price'!V26*'Adjusted Consumption'!V57</f>
        <v>0.56225297704731636</v>
      </c>
      <c r="W30" s="310">
        <f>'Adjusted price'!W26*'Adjusted Consumption'!W57</f>
        <v>0.56946565538944061</v>
      </c>
      <c r="X30" s="310">
        <f>'Adjusted price'!X26*'Adjusted Consumption'!X57</f>
        <v>0.5750037075427854</v>
      </c>
      <c r="Y30" s="310">
        <f>'Adjusted price'!Y26*'Adjusted Consumption'!Y57</f>
        <v>0.58961109235110876</v>
      </c>
      <c r="Z30" s="310">
        <f>'Adjusted price'!Z26*'Adjusted Consumption'!Z57</f>
        <v>0.6112546663193249</v>
      </c>
      <c r="AA30" s="310">
        <f>'Adjusted price'!AA26*'Adjusted Consumption'!AA57</f>
        <v>0.63939092645670925</v>
      </c>
      <c r="AB30" s="310">
        <f>'Adjusted price'!AB26*'Adjusted Consumption'!AB57</f>
        <v>0.65140595678147295</v>
      </c>
      <c r="AC30" s="310">
        <f>'Adjusted price'!AC26*'Adjusted Consumption'!AC57</f>
        <v>0.67152942796537118</v>
      </c>
      <c r="AD30" s="310">
        <f>'Adjusted price'!AD26*'Adjusted Consumption'!AD57</f>
        <v>0.69830635188711909</v>
      </c>
      <c r="AE30" s="310">
        <f>'Adjusted price'!AE26*'Adjusted Consumption'!AE57</f>
        <v>0.71906536791426257</v>
      </c>
      <c r="AF30" s="310">
        <f>'Adjusted price'!AF26*'Adjusted Consumption'!AF57</f>
        <v>0.73673639288934789</v>
      </c>
    </row>
    <row r="31" spans="1:32">
      <c r="A31" s="40" t="str">
        <f>'Adjusted price'!A27</f>
        <v xml:space="preserve">   Metallurgical Coal</v>
      </c>
      <c r="B31" s="310">
        <f>'Adjusted price'!B28*'Adjusted Consumption'!B59</f>
        <v>9.0520027383967586E-3</v>
      </c>
      <c r="C31" s="310">
        <f>'Adjusted price'!C28*'Adjusted Consumption'!C59</f>
        <v>9.6179349025137216E-3</v>
      </c>
      <c r="D31" s="310">
        <f>'Adjusted price'!D28*'Adjusted Consumption'!D59</f>
        <v>1.0077642434284589E-2</v>
      </c>
      <c r="E31" s="310">
        <f>'Adjusted price'!E28*'Adjusted Consumption'!E59</f>
        <v>1.0461724482935151E-2</v>
      </c>
      <c r="F31" s="310">
        <f>'Adjusted price'!F28*'Adjusted Consumption'!F59</f>
        <v>1.0806393939588986E-2</v>
      </c>
      <c r="G31" s="310">
        <f>'Adjusted price'!G28*'Adjusted Consumption'!G59</f>
        <v>1.1106184980405663E-2</v>
      </c>
      <c r="H31" s="310">
        <f>'Adjusted price'!H28*'Adjusted Consumption'!H59</f>
        <v>1.1229199769972349E-2</v>
      </c>
      <c r="I31" s="310">
        <f>'Adjusted price'!I28*'Adjusted Consumption'!I59</f>
        <v>1.1239381319281608E-2</v>
      </c>
      <c r="J31" s="310">
        <f>'Adjusted price'!J28*'Adjusted Consumption'!J59</f>
        <v>1.1160240312938772E-2</v>
      </c>
      <c r="K31" s="310">
        <f>'Adjusted price'!K28*'Adjusted Consumption'!K59</f>
        <v>1.0999048123409905E-2</v>
      </c>
      <c r="L31" s="310">
        <f>'Adjusted price'!L28*'Adjusted Consumption'!L59</f>
        <v>1.0685618026081315E-2</v>
      </c>
      <c r="M31" s="310">
        <f>'Adjusted price'!M28*'Adjusted Consumption'!M59</f>
        <v>1.02783433254527E-2</v>
      </c>
      <c r="N31" s="310">
        <f>'Adjusted price'!N28*'Adjusted Consumption'!N59</f>
        <v>9.7151362631792398E-3</v>
      </c>
      <c r="O31" s="310">
        <f>'Adjusted price'!O28*'Adjusted Consumption'!O59</f>
        <v>9.0952485752716639E-3</v>
      </c>
      <c r="P31" s="310">
        <f>'Adjusted price'!P28*'Adjusted Consumption'!P59</f>
        <v>8.5197232632222095E-3</v>
      </c>
      <c r="Q31" s="310">
        <f>'Adjusted price'!Q28*'Adjusted Consumption'!Q59</f>
        <v>7.9499224413381621E-3</v>
      </c>
      <c r="R31" s="310">
        <f>'Adjusted price'!R28*'Adjusted Consumption'!R59</f>
        <v>7.4851158720942741E-3</v>
      </c>
      <c r="S31" s="310">
        <f>'Adjusted price'!S28*'Adjusted Consumption'!S59</f>
        <v>7.0071454729400918E-3</v>
      </c>
      <c r="T31" s="310">
        <f>'Adjusted price'!T28*'Adjusted Consumption'!T59</f>
        <v>6.5455447108456466E-3</v>
      </c>
      <c r="U31" s="310">
        <f>'Adjusted price'!U28*'Adjusted Consumption'!U59</f>
        <v>6.0757967546969842E-3</v>
      </c>
      <c r="V31" s="310">
        <f>'Adjusted price'!V28*'Adjusted Consumption'!V59</f>
        <v>6.0830418847560045E-3</v>
      </c>
      <c r="W31" s="310">
        <f>'Adjusted price'!W28*'Adjusted Consumption'!W59</f>
        <v>6.0984496882643983E-3</v>
      </c>
      <c r="X31" s="310">
        <f>'Adjusted price'!X28*'Adjusted Consumption'!X59</f>
        <v>6.1061075877830769E-3</v>
      </c>
      <c r="Y31" s="310">
        <f>'Adjusted price'!Y28*'Adjusted Consumption'!Y59</f>
        <v>6.1213647179343966E-3</v>
      </c>
      <c r="Z31" s="310">
        <f>'Adjusted price'!Z28*'Adjusted Consumption'!Z59</f>
        <v>6.143625373431146E-3</v>
      </c>
      <c r="AA31" s="310">
        <f>'Adjusted price'!AA28*'Adjusted Consumption'!AA59</f>
        <v>6.1867052211415658E-3</v>
      </c>
      <c r="AB31" s="310">
        <f>'Adjusted price'!AB28*'Adjusted Consumption'!AB59</f>
        <v>6.2336612320384732E-3</v>
      </c>
      <c r="AC31" s="310">
        <f>'Adjusted price'!AC28*'Adjusted Consumption'!AC59</f>
        <v>6.2653142470588882E-3</v>
      </c>
      <c r="AD31" s="310">
        <f>'Adjusted price'!AD28*'Adjusted Consumption'!AD59</f>
        <v>6.3146086188012032E-3</v>
      </c>
      <c r="AE31" s="310">
        <f>'Adjusted price'!AE28*'Adjusted Consumption'!AE59</f>
        <v>6.3727267251600314E-3</v>
      </c>
      <c r="AF31" s="310">
        <f>'Adjusted price'!AF28*'Adjusted Consumption'!AF59</f>
        <v>6.4184030691052186E-3</v>
      </c>
    </row>
    <row r="32" spans="1:32">
      <c r="A32" s="40" t="str">
        <f>'Adjusted price'!A28</f>
        <v xml:space="preserve">   Other Industrial Coal</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row>
    <row r="33" spans="1:32">
      <c r="A33" s="40" t="str">
        <f>'Adjusted price'!A29</f>
        <v xml:space="preserve">   Coal to Liquids</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row>
    <row r="34" spans="1:32">
      <c r="A34" s="40" t="str">
        <f>'Adjusted price'!A30</f>
        <v xml:space="preserve">   Electricity</v>
      </c>
      <c r="B34" s="310">
        <f>'Adjusted price'!B30*'Adjusted Consumption'!B65</f>
        <v>0.99242770487645671</v>
      </c>
      <c r="C34" s="310">
        <f>'Adjusted price'!C30*'Adjusted Consumption'!C65</f>
        <v>0.96375077798140041</v>
      </c>
      <c r="D34" s="310">
        <f>'Adjusted price'!D30*'Adjusted Consumption'!D65</f>
        <v>1.0238362335311213</v>
      </c>
      <c r="E34" s="310">
        <f>'Adjusted price'!E30*'Adjusted Consumption'!E65</f>
        <v>1.049998811173015</v>
      </c>
      <c r="F34" s="310">
        <f>'Adjusted price'!F30*'Adjusted Consumption'!F65</f>
        <v>1.0558286784927695</v>
      </c>
      <c r="G34" s="310">
        <f>'Adjusted price'!G30*'Adjusted Consumption'!G65</f>
        <v>1.1133747187181668</v>
      </c>
      <c r="H34" s="310">
        <f>'Adjusted price'!H30*'Adjusted Consumption'!H65</f>
        <v>1.1357720067804862</v>
      </c>
      <c r="I34" s="310">
        <f>'Adjusted price'!I30*'Adjusted Consumption'!I65</f>
        <v>1.1522652347508333</v>
      </c>
      <c r="J34" s="310">
        <f>'Adjusted price'!J30*'Adjusted Consumption'!J65</f>
        <v>1.1697381702498839</v>
      </c>
      <c r="K34" s="310">
        <f>'Adjusted price'!K30*'Adjusted Consumption'!K65</f>
        <v>1.2065969731349224</v>
      </c>
      <c r="L34" s="310">
        <f>'Adjusted price'!L30*'Adjusted Consumption'!L65</f>
        <v>1.245232156498185</v>
      </c>
      <c r="M34" s="310">
        <f>'Adjusted price'!M30*'Adjusted Consumption'!M65</f>
        <v>1.2630705379316918</v>
      </c>
      <c r="N34" s="310">
        <f>'Adjusted price'!N30*'Adjusted Consumption'!N65</f>
        <v>1.2934906184947454</v>
      </c>
      <c r="O34" s="310">
        <f>'Adjusted price'!O30*'Adjusted Consumption'!O65</f>
        <v>1.3122299293906392</v>
      </c>
      <c r="P34" s="310">
        <f>'Adjusted price'!P30*'Adjusted Consumption'!P65</f>
        <v>1.3311588722891832</v>
      </c>
      <c r="Q34" s="310">
        <f>'Adjusted price'!Q30*'Adjusted Consumption'!Q65</f>
        <v>1.3531837072781685</v>
      </c>
      <c r="R34" s="310">
        <f>'Adjusted price'!R30*'Adjusted Consumption'!R65</f>
        <v>1.3848775131003115</v>
      </c>
      <c r="S34" s="310">
        <f>'Adjusted price'!S30*'Adjusted Consumption'!S65</f>
        <v>1.4024459452219793</v>
      </c>
      <c r="T34" s="310">
        <f>'Adjusted price'!T30*'Adjusted Consumption'!T65</f>
        <v>1.4150302182682255</v>
      </c>
      <c r="U34" s="310">
        <f>'Adjusted price'!U30*'Adjusted Consumption'!U65</f>
        <v>1.4253896730397515</v>
      </c>
      <c r="V34" s="310">
        <f>'Adjusted price'!V30*'Adjusted Consumption'!V65</f>
        <v>1.4346775919195693</v>
      </c>
      <c r="W34" s="310">
        <f>'Adjusted price'!W30*'Adjusted Consumption'!W65</f>
        <v>1.4542292444579925</v>
      </c>
      <c r="X34" s="310">
        <f>'Adjusted price'!X30*'Adjusted Consumption'!X65</f>
        <v>1.468335610175743</v>
      </c>
      <c r="Y34" s="310">
        <f>'Adjusted price'!Y30*'Adjusted Consumption'!Y65</f>
        <v>1.4790757292521652</v>
      </c>
      <c r="Z34" s="310">
        <f>'Adjusted price'!Z30*'Adjusted Consumption'!Z65</f>
        <v>1.4904306288171889</v>
      </c>
      <c r="AA34" s="310">
        <f>'Adjusted price'!AA30*'Adjusted Consumption'!AA65</f>
        <v>1.5049970335128005</v>
      </c>
      <c r="AB34" s="310">
        <f>'Adjusted price'!AB30*'Adjusted Consumption'!AB65</f>
        <v>1.5199533347192824</v>
      </c>
      <c r="AC34" s="310">
        <f>'Adjusted price'!AC30*'Adjusted Consumption'!AC65</f>
        <v>1.5319910203415166</v>
      </c>
      <c r="AD34" s="310">
        <f>'Adjusted price'!AD30*'Adjusted Consumption'!AD65</f>
        <v>1.5458309252023061</v>
      </c>
      <c r="AE34" s="310">
        <f>'Adjusted price'!AE30*'Adjusted Consumption'!AE65</f>
        <v>1.5562815094151767</v>
      </c>
      <c r="AF34" s="310">
        <f>'Adjusted price'!AF30*'Adjusted Consumption'!AF65</f>
        <v>1.5648255344975608</v>
      </c>
    </row>
    <row r="35" spans="1:32">
      <c r="A35" s="46" t="s">
        <v>4</v>
      </c>
      <c r="B35" s="310">
        <f t="shared" ref="B35:V35" si="4">SUM(B25:B34)</f>
        <v>2.7199590976071608</v>
      </c>
      <c r="C35" s="310">
        <f t="shared" si="4"/>
        <v>2.6797535776728494</v>
      </c>
      <c r="D35" s="310">
        <f t="shared" si="4"/>
        <v>2.7199144690878279</v>
      </c>
      <c r="E35" s="310">
        <f t="shared" si="4"/>
        <v>2.7605407767800747</v>
      </c>
      <c r="F35" s="310">
        <f t="shared" si="4"/>
        <v>2.8550632229671722</v>
      </c>
      <c r="G35" s="310">
        <f t="shared" si="4"/>
        <v>2.9557782299456585</v>
      </c>
      <c r="H35" s="310">
        <f t="shared" si="4"/>
        <v>2.9980663235153369</v>
      </c>
      <c r="I35" s="310">
        <f t="shared" si="4"/>
        <v>2.9964321452058997</v>
      </c>
      <c r="J35" s="310">
        <f t="shared" si="4"/>
        <v>3.0146445530602071</v>
      </c>
      <c r="K35" s="310">
        <f t="shared" si="4"/>
        <v>3.0035619839994383</v>
      </c>
      <c r="L35" s="310">
        <f t="shared" si="4"/>
        <v>3.0431183006855651</v>
      </c>
      <c r="M35" s="310">
        <f t="shared" si="4"/>
        <v>3.059518517834968</v>
      </c>
      <c r="N35" s="310">
        <f t="shared" si="4"/>
        <v>3.1162613851029066</v>
      </c>
      <c r="O35" s="310">
        <f t="shared" si="4"/>
        <v>3.1553832598881169</v>
      </c>
      <c r="P35" s="310">
        <f t="shared" si="4"/>
        <v>3.2131119552096532</v>
      </c>
      <c r="Q35" s="310">
        <f t="shared" si="4"/>
        <v>3.2660362205725413</v>
      </c>
      <c r="R35" s="310">
        <f t="shared" si="4"/>
        <v>3.3277317728959979</v>
      </c>
      <c r="S35" s="310">
        <f t="shared" si="4"/>
        <v>3.3639706097214543</v>
      </c>
      <c r="T35" s="310">
        <f t="shared" si="4"/>
        <v>3.4034023486331382</v>
      </c>
      <c r="U35" s="310">
        <f t="shared" si="4"/>
        <v>3.4600505796447991</v>
      </c>
      <c r="V35" s="310">
        <f t="shared" si="4"/>
        <v>3.4990060156417613</v>
      </c>
      <c r="W35" s="310">
        <f t="shared" ref="W35:AF35" si="5">SUM(W25:W34)</f>
        <v>3.551943954178113</v>
      </c>
      <c r="X35" s="310">
        <f t="shared" si="5"/>
        <v>3.6101852264653469</v>
      </c>
      <c r="Y35" s="310">
        <f t="shared" si="5"/>
        <v>3.6616441014894137</v>
      </c>
      <c r="Z35" s="310">
        <f t="shared" si="5"/>
        <v>3.6992998899640064</v>
      </c>
      <c r="AA35" s="310">
        <f t="shared" si="5"/>
        <v>3.7805237049168716</v>
      </c>
      <c r="AB35" s="310">
        <f t="shared" si="5"/>
        <v>3.8269230086494384</v>
      </c>
      <c r="AC35" s="310">
        <f t="shared" si="5"/>
        <v>3.878924834224748</v>
      </c>
      <c r="AD35" s="310">
        <f t="shared" si="5"/>
        <v>3.9476930411116173</v>
      </c>
      <c r="AE35" s="310">
        <f t="shared" si="5"/>
        <v>3.9970455370711564</v>
      </c>
      <c r="AF35" s="310">
        <f t="shared" si="5"/>
        <v>4.0588592907737775</v>
      </c>
    </row>
    <row r="36" spans="1:32">
      <c r="A36" s="46"/>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row>
    <row r="37" spans="1:32" s="5" customFormat="1" ht="13">
      <c r="A37" s="250" t="str">
        <f>'Adjusted price'!A32</f>
        <v xml:space="preserve"> Transportation</v>
      </c>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1"/>
    </row>
    <row r="38" spans="1:32" s="396" customFormat="1" ht="12.9" customHeight="1">
      <c r="A38" s="253" t="s">
        <v>6</v>
      </c>
      <c r="B38" s="253">
        <v>2020</v>
      </c>
      <c r="C38" s="253">
        <v>2021</v>
      </c>
      <c r="D38" s="253">
        <v>2022</v>
      </c>
      <c r="E38" s="253">
        <v>2023</v>
      </c>
      <c r="F38" s="253">
        <v>2024</v>
      </c>
      <c r="G38" s="253">
        <v>2025</v>
      </c>
      <c r="H38" s="253">
        <v>2026</v>
      </c>
      <c r="I38" s="253">
        <v>2027</v>
      </c>
      <c r="J38" s="253">
        <v>2028</v>
      </c>
      <c r="K38" s="253">
        <v>2029</v>
      </c>
      <c r="L38" s="253">
        <v>2030</v>
      </c>
      <c r="M38" s="253">
        <v>2031</v>
      </c>
      <c r="N38" s="253">
        <v>2032</v>
      </c>
      <c r="O38" s="253">
        <v>2033</v>
      </c>
      <c r="P38" s="253">
        <v>2034</v>
      </c>
      <c r="Q38" s="253">
        <v>2035</v>
      </c>
      <c r="R38" s="253">
        <v>2036</v>
      </c>
      <c r="S38" s="253">
        <v>2037</v>
      </c>
      <c r="T38" s="253">
        <v>2038</v>
      </c>
      <c r="U38" s="253">
        <v>2039</v>
      </c>
      <c r="V38" s="253">
        <v>2040</v>
      </c>
      <c r="W38" s="253">
        <v>2041</v>
      </c>
      <c r="X38" s="253">
        <v>2042</v>
      </c>
      <c r="Y38" s="253">
        <v>2043</v>
      </c>
      <c r="Z38" s="253">
        <v>2044</v>
      </c>
      <c r="AA38" s="253">
        <v>2045</v>
      </c>
      <c r="AB38" s="253">
        <v>2046</v>
      </c>
      <c r="AC38" s="253">
        <v>2047</v>
      </c>
      <c r="AD38" s="253">
        <v>2048</v>
      </c>
      <c r="AE38" s="253">
        <v>2049</v>
      </c>
      <c r="AF38" s="253">
        <v>2050</v>
      </c>
    </row>
    <row r="39" spans="1:32">
      <c r="A39" s="40" t="str">
        <f>'Adjusted price'!A34</f>
        <v xml:space="preserve">   Liquefied Petroleum Gases 3/</v>
      </c>
      <c r="B39" s="310">
        <f>'Adjusted price'!B34*'Adjusted Consumption'!B70</f>
        <v>4.1760962864551519E-3</v>
      </c>
      <c r="C39" s="310">
        <f>'Adjusted price'!C34*'Adjusted Consumption'!C70</f>
        <v>4.2359808332608911E-3</v>
      </c>
      <c r="D39" s="310">
        <f>'Adjusted price'!D34*'Adjusted Consumption'!D70</f>
        <v>4.2554984420988366E-3</v>
      </c>
      <c r="E39" s="310">
        <f>'Adjusted price'!E34*'Adjusted Consumption'!E70</f>
        <v>4.2829971379870577E-3</v>
      </c>
      <c r="F39" s="310">
        <f>'Adjusted price'!F34*'Adjusted Consumption'!F70</f>
        <v>4.7000089346417627E-3</v>
      </c>
      <c r="G39" s="310">
        <f>'Adjusted price'!G34*'Adjusted Consumption'!G70</f>
        <v>4.6375772472272018E-3</v>
      </c>
      <c r="H39" s="310">
        <f>'Adjusted price'!H34*'Adjusted Consumption'!H70</f>
        <v>4.6013238162486078E-3</v>
      </c>
      <c r="I39" s="310">
        <f>'Adjusted price'!I34*'Adjusted Consumption'!I70</f>
        <v>4.5845391165707161E-3</v>
      </c>
      <c r="J39" s="310">
        <f>'Adjusted price'!J34*'Adjusted Consumption'!J70</f>
        <v>4.5606612299661353E-3</v>
      </c>
      <c r="K39" s="310">
        <f>'Adjusted price'!K34*'Adjusted Consumption'!K70</f>
        <v>4.650784530488233E-3</v>
      </c>
      <c r="L39" s="310">
        <f>'Adjusted price'!L34*'Adjusted Consumption'!L70</f>
        <v>4.6555203713208705E-3</v>
      </c>
      <c r="M39" s="310">
        <f>'Adjusted price'!M34*'Adjusted Consumption'!M70</f>
        <v>4.6822572445104384E-3</v>
      </c>
      <c r="N39" s="310">
        <f>'Adjusted price'!N34*'Adjusted Consumption'!N70</f>
        <v>4.7454883578625729E-3</v>
      </c>
      <c r="O39" s="310">
        <f>'Adjusted price'!O34*'Adjusted Consumption'!O70</f>
        <v>4.8041732955169374E-3</v>
      </c>
      <c r="P39" s="310">
        <f>'Adjusted price'!P34*'Adjusted Consumption'!P70</f>
        <v>4.8646486994538638E-3</v>
      </c>
      <c r="Q39" s="310">
        <f>'Adjusted price'!Q34*'Adjusted Consumption'!Q70</f>
        <v>4.9371224133863681E-3</v>
      </c>
      <c r="R39" s="310">
        <f>'Adjusted price'!R34*'Adjusted Consumption'!R70</f>
        <v>5.0451086875104309E-3</v>
      </c>
      <c r="S39" s="310">
        <f>'Adjusted price'!S34*'Adjusted Consumption'!S70</f>
        <v>5.1288624362422191E-3</v>
      </c>
      <c r="T39" s="310">
        <f>'Adjusted price'!T34*'Adjusted Consumption'!T70</f>
        <v>5.2792964389705051E-3</v>
      </c>
      <c r="U39" s="310">
        <f>'Adjusted price'!U34*'Adjusted Consumption'!U70</f>
        <v>5.3940993626664839E-3</v>
      </c>
      <c r="V39" s="310">
        <f>'Adjusted price'!V34*'Adjusted Consumption'!V70</f>
        <v>5.5069362511458615E-3</v>
      </c>
      <c r="W39" s="310">
        <f>'Adjusted price'!W34*'Adjusted Consumption'!W70</f>
        <v>5.6461843409766578E-3</v>
      </c>
      <c r="X39" s="310">
        <f>'Adjusted price'!X34*'Adjusted Consumption'!X70</f>
        <v>5.7774581021146363E-3</v>
      </c>
      <c r="Y39" s="310">
        <f>'Adjusted price'!Y34*'Adjusted Consumption'!Y70</f>
        <v>5.9145356869540521E-3</v>
      </c>
      <c r="Z39" s="310">
        <f>'Adjusted price'!Z34*'Adjusted Consumption'!Z70</f>
        <v>6.0464779236823691E-3</v>
      </c>
      <c r="AA39" s="310">
        <f>'Adjusted price'!AA34*'Adjusted Consumption'!AA70</f>
        <v>6.1983739457010384E-3</v>
      </c>
      <c r="AB39" s="310">
        <f>'Adjusted price'!AB34*'Adjusted Consumption'!AB70</f>
        <v>6.3454438454861465E-3</v>
      </c>
      <c r="AC39" s="310">
        <f>'Adjusted price'!AC34*'Adjusted Consumption'!AC70</f>
        <v>6.5149063552059098E-3</v>
      </c>
      <c r="AD39" s="310">
        <f>'Adjusted price'!AD34*'Adjusted Consumption'!AD70</f>
        <v>6.6810880482466931E-3</v>
      </c>
      <c r="AE39" s="310">
        <f>'Adjusted price'!AE34*'Adjusted Consumption'!AE70</f>
        <v>6.8558156066441901E-3</v>
      </c>
      <c r="AF39" s="310">
        <f>'Adjusted price'!AF34*'Adjusted Consumption'!AF70</f>
        <v>7.0342066012890553E-3</v>
      </c>
    </row>
    <row r="40" spans="1:32">
      <c r="A40" s="40" t="str">
        <f>'Adjusted price'!A35</f>
        <v xml:space="preserve">   E85 4/</v>
      </c>
      <c r="B40" s="310">
        <f>'Adjusted price'!B35*'Adjusted Consumption'!B71</f>
        <v>4.99631843193169E-2</v>
      </c>
      <c r="C40" s="310">
        <f>'Adjusted price'!C35*'Adjusted Consumption'!C71</f>
        <v>6.2514614570322619E-2</v>
      </c>
      <c r="D40" s="310">
        <f>'Adjusted price'!D35*'Adjusted Consumption'!D71</f>
        <v>6.9644611455408859E-2</v>
      </c>
      <c r="E40" s="310">
        <f>'Adjusted price'!E35*'Adjusted Consumption'!E71</f>
        <v>7.2147642799671771E-2</v>
      </c>
      <c r="F40" s="310">
        <f>'Adjusted price'!F35*'Adjusted Consumption'!F71</f>
        <v>9.9601370660236055E-2</v>
      </c>
      <c r="G40" s="310">
        <f>'Adjusted price'!G35*'Adjusted Consumption'!G71</f>
        <v>0.12278109386266754</v>
      </c>
      <c r="H40" s="310">
        <f>'Adjusted price'!H35*'Adjusted Consumption'!H71</f>
        <v>0.12372616777857814</v>
      </c>
      <c r="I40" s="310">
        <f>'Adjusted price'!I35*'Adjusted Consumption'!I71</f>
        <v>0.13507887208668978</v>
      </c>
      <c r="J40" s="310">
        <f>'Adjusted price'!J35*'Adjusted Consumption'!J71</f>
        <v>0.1445027538993181</v>
      </c>
      <c r="K40" s="310">
        <f>'Adjusted price'!K35*'Adjusted Consumption'!K71</f>
        <v>0.17993485825845276</v>
      </c>
      <c r="L40" s="310">
        <f>'Adjusted price'!L35*'Adjusted Consumption'!L71</f>
        <v>0.1932471679791336</v>
      </c>
      <c r="M40" s="310">
        <f>'Adjusted price'!M35*'Adjusted Consumption'!M71</f>
        <v>0.20790557828441864</v>
      </c>
      <c r="N40" s="310">
        <f>'Adjusted price'!N35*'Adjusted Consumption'!N71</f>
        <v>0.21131460891690107</v>
      </c>
      <c r="O40" s="310">
        <f>'Adjusted price'!O35*'Adjusted Consumption'!O71</f>
        <v>0.21306035721903924</v>
      </c>
      <c r="P40" s="310">
        <f>'Adjusted price'!P35*'Adjusted Consumption'!P71</f>
        <v>0.22050905500800716</v>
      </c>
      <c r="Q40" s="310">
        <f>'Adjusted price'!Q35*'Adjusted Consumption'!Q71</f>
        <v>0.22039969928324363</v>
      </c>
      <c r="R40" s="310">
        <f>'Adjusted price'!R35*'Adjusted Consumption'!R71</f>
        <v>0.22849649940107195</v>
      </c>
      <c r="S40" s="310">
        <f>'Adjusted price'!S35*'Adjusted Consumption'!S71</f>
        <v>0.23782807517169846</v>
      </c>
      <c r="T40" s="310">
        <f>'Adjusted price'!T35*'Adjusted Consumption'!T71</f>
        <v>0.24397364058853233</v>
      </c>
      <c r="U40" s="310">
        <f>'Adjusted price'!U35*'Adjusted Consumption'!U71</f>
        <v>0.24726790982619706</v>
      </c>
      <c r="V40" s="310">
        <f>'Adjusted price'!V35*'Adjusted Consumption'!V71</f>
        <v>0.25174444620771125</v>
      </c>
      <c r="W40" s="310">
        <f>'Adjusted price'!W35*'Adjusted Consumption'!W71</f>
        <v>0.25041218801721488</v>
      </c>
      <c r="X40" s="310">
        <f>'Adjusted price'!X35*'Adjusted Consumption'!X71</f>
        <v>0.24857696065873464</v>
      </c>
      <c r="Y40" s="310">
        <f>'Adjusted price'!Y35*'Adjusted Consumption'!Y71</f>
        <v>0.23990839697109728</v>
      </c>
      <c r="Z40" s="310">
        <f>'Adjusted price'!Z35*'Adjusted Consumption'!Z71</f>
        <v>0.2341323930616574</v>
      </c>
      <c r="AA40" s="310">
        <f>'Adjusted price'!AA35*'Adjusted Consumption'!AA71</f>
        <v>0.22514509293773882</v>
      </c>
      <c r="AB40" s="310">
        <f>'Adjusted price'!AB35*'Adjusted Consumption'!AB71</f>
        <v>0.19917680541151569</v>
      </c>
      <c r="AC40" s="310">
        <f>'Adjusted price'!AC35*'Adjusted Consumption'!AC71</f>
        <v>0.16533328402659089</v>
      </c>
      <c r="AD40" s="310">
        <f>'Adjusted price'!AD35*'Adjusted Consumption'!AD71</f>
        <v>0.15021582746150558</v>
      </c>
      <c r="AE40" s="310">
        <f>'Adjusted price'!AE35*'Adjusted Consumption'!AE71</f>
        <v>0.15592873798658996</v>
      </c>
      <c r="AF40" s="310">
        <f>'Adjusted price'!AF35*'Adjusted Consumption'!AF71</f>
        <v>0.15571411492925227</v>
      </c>
    </row>
    <row r="41" spans="1:32">
      <c r="A41" s="40" t="str">
        <f>'Adjusted price'!A36</f>
        <v xml:space="preserve">   Motor Gasoline 5/</v>
      </c>
      <c r="B41" s="310">
        <f>'Adjusted price'!B36*'Adjusted Consumption'!B72</f>
        <v>7.7775087660395785</v>
      </c>
      <c r="C41" s="310">
        <f>'Adjusted price'!C36*'Adjusted Consumption'!C72</f>
        <v>8.1059766240398421</v>
      </c>
      <c r="D41" s="310">
        <f>'Adjusted price'!D36*'Adjusted Consumption'!D72</f>
        <v>8.163613126494111</v>
      </c>
      <c r="E41" s="310">
        <f>'Adjusted price'!E36*'Adjusted Consumption'!E72</f>
        <v>8.1741091908924588</v>
      </c>
      <c r="F41" s="310">
        <f>'Adjusted price'!F36*'Adjusted Consumption'!F72</f>
        <v>8.8959267299209177</v>
      </c>
      <c r="G41" s="310">
        <f>'Adjusted price'!G36*'Adjusted Consumption'!G72</f>
        <v>8.721490135541913</v>
      </c>
      <c r="H41" s="310">
        <f>'Adjusted price'!H36*'Adjusted Consumption'!H72</f>
        <v>8.5762482049772615</v>
      </c>
      <c r="I41" s="310">
        <f>'Adjusted price'!I36*'Adjusted Consumption'!I72</f>
        <v>8.4458305057205472</v>
      </c>
      <c r="J41" s="310">
        <f>'Adjusted price'!J36*'Adjusted Consumption'!J72</f>
        <v>8.3454419085326581</v>
      </c>
      <c r="K41" s="310">
        <f>'Adjusted price'!K36*'Adjusted Consumption'!K72</f>
        <v>8.3212983929344553</v>
      </c>
      <c r="L41" s="310">
        <f>'Adjusted price'!L36*'Adjusted Consumption'!L72</f>
        <v>8.2243796076247797</v>
      </c>
      <c r="M41" s="310">
        <f>'Adjusted price'!M36*'Adjusted Consumption'!M72</f>
        <v>8.1848187075752357</v>
      </c>
      <c r="N41" s="310">
        <f>'Adjusted price'!N36*'Adjusted Consumption'!N72</f>
        <v>8.110782527234905</v>
      </c>
      <c r="O41" s="310">
        <f>'Adjusted price'!O36*'Adjusted Consumption'!O72</f>
        <v>8.020757282164757</v>
      </c>
      <c r="P41" s="310">
        <f>'Adjusted price'!P36*'Adjusted Consumption'!P72</f>
        <v>7.9559741598597977</v>
      </c>
      <c r="Q41" s="310">
        <f>'Adjusted price'!Q36*'Adjusted Consumption'!Q72</f>
        <v>7.89334429506909</v>
      </c>
      <c r="R41" s="310">
        <f>'Adjusted price'!R36*'Adjusted Consumption'!R72</f>
        <v>7.818891856339806</v>
      </c>
      <c r="S41" s="310">
        <f>'Adjusted price'!S36*'Adjusted Consumption'!S72</f>
        <v>7.8464260383707698</v>
      </c>
      <c r="T41" s="310">
        <f>'Adjusted price'!T36*'Adjusted Consumption'!T72</f>
        <v>7.8199538859525299</v>
      </c>
      <c r="U41" s="310">
        <f>'Adjusted price'!U36*'Adjusted Consumption'!U72</f>
        <v>7.8307275992077532</v>
      </c>
      <c r="V41" s="310">
        <f>'Adjusted price'!V36*'Adjusted Consumption'!V72</f>
        <v>7.8557515287234132</v>
      </c>
      <c r="W41" s="310">
        <f>'Adjusted price'!W36*'Adjusted Consumption'!W72</f>
        <v>7.8816618472339508</v>
      </c>
      <c r="X41" s="310">
        <f>'Adjusted price'!X36*'Adjusted Consumption'!X72</f>
        <v>7.8985187340075287</v>
      </c>
      <c r="Y41" s="310">
        <f>'Adjusted price'!Y36*'Adjusted Consumption'!Y72</f>
        <v>7.9122262332514959</v>
      </c>
      <c r="Z41" s="310">
        <f>'Adjusted price'!Z36*'Adjusted Consumption'!Z72</f>
        <v>7.9290373024151481</v>
      </c>
      <c r="AA41" s="310">
        <f>'Adjusted price'!AA36*'Adjusted Consumption'!AA72</f>
        <v>7.9552771499190671</v>
      </c>
      <c r="AB41" s="310">
        <f>'Adjusted price'!AB36*'Adjusted Consumption'!AB72</f>
        <v>7.9450201625624688</v>
      </c>
      <c r="AC41" s="310">
        <f>'Adjusted price'!AC36*'Adjusted Consumption'!AC72</f>
        <v>7.9940643451966693</v>
      </c>
      <c r="AD41" s="310">
        <f>'Adjusted price'!AD36*'Adjusted Consumption'!AD72</f>
        <v>8.0451732645157836</v>
      </c>
      <c r="AE41" s="310">
        <f>'Adjusted price'!AE36*'Adjusted Consumption'!AE72</f>
        <v>8.050504456033126</v>
      </c>
      <c r="AF41" s="310">
        <f>'Adjusted price'!AF36*'Adjusted Consumption'!AF72</f>
        <v>8.0674130409674447</v>
      </c>
    </row>
    <row r="42" spans="1:32">
      <c r="A42" s="40" t="str">
        <f>'Adjusted price'!A37</f>
        <v xml:space="preserve">   Jet Fuel 6/</v>
      </c>
      <c r="B42" s="310">
        <f>'Adjusted price'!B37*'Adjusted Consumption'!B73</f>
        <v>1.7458529388529571</v>
      </c>
      <c r="C42" s="310">
        <f>'Adjusted price'!C37*'Adjusted Consumption'!C73</f>
        <v>1.9305237057409335</v>
      </c>
      <c r="D42" s="310">
        <f>'Adjusted price'!D37*'Adjusted Consumption'!D73</f>
        <v>2.017366709780648</v>
      </c>
      <c r="E42" s="310">
        <f>'Adjusted price'!E37*'Adjusted Consumption'!E73</f>
        <v>2.0919096441037439</v>
      </c>
      <c r="F42" s="310">
        <f>'Adjusted price'!F37*'Adjusted Consumption'!F73</f>
        <v>2.1729504098725854</v>
      </c>
      <c r="G42" s="310">
        <f>'Adjusted price'!G37*'Adjusted Consumption'!G73</f>
        <v>2.2108432946241763</v>
      </c>
      <c r="H42" s="310">
        <f>'Adjusted price'!H37*'Adjusted Consumption'!H73</f>
        <v>2.2465071596117872</v>
      </c>
      <c r="I42" s="310">
        <f>'Adjusted price'!I37*'Adjusted Consumption'!I73</f>
        <v>2.3071836882724801</v>
      </c>
      <c r="J42" s="310">
        <f>'Adjusted price'!J37*'Adjusted Consumption'!J73</f>
        <v>2.3723336157007</v>
      </c>
      <c r="K42" s="310">
        <f>'Adjusted price'!K37*'Adjusted Consumption'!K73</f>
        <v>2.4616776022045608</v>
      </c>
      <c r="L42" s="310">
        <f>'Adjusted price'!L37*'Adjusted Consumption'!L73</f>
        <v>2.5136504311133878</v>
      </c>
      <c r="M42" s="310">
        <f>'Adjusted price'!M37*'Adjusted Consumption'!M73</f>
        <v>2.5878143253766703</v>
      </c>
      <c r="N42" s="310">
        <f>'Adjusted price'!N37*'Adjusted Consumption'!N73</f>
        <v>2.643442050593543</v>
      </c>
      <c r="O42" s="310">
        <f>'Adjusted price'!O37*'Adjusted Consumption'!O73</f>
        <v>2.7108637502579125</v>
      </c>
      <c r="P42" s="310">
        <f>'Adjusted price'!P37*'Adjusted Consumption'!P73</f>
        <v>2.7671356167879257</v>
      </c>
      <c r="Q42" s="310">
        <f>'Adjusted price'!Q37*'Adjusted Consumption'!Q73</f>
        <v>2.8204126761489476</v>
      </c>
      <c r="R42" s="310">
        <f>'Adjusted price'!R37*'Adjusted Consumption'!R73</f>
        <v>2.8729370702559573</v>
      </c>
      <c r="S42" s="310">
        <f>'Adjusted price'!S37*'Adjusted Consumption'!S73</f>
        <v>2.9648210036270481</v>
      </c>
      <c r="T42" s="310">
        <f>'Adjusted price'!T37*'Adjusted Consumption'!T73</f>
        <v>3.028681758875865</v>
      </c>
      <c r="U42" s="310">
        <f>'Adjusted price'!U37*'Adjusted Consumption'!U73</f>
        <v>3.0835851093936206</v>
      </c>
      <c r="V42" s="310">
        <f>'Adjusted price'!V37*'Adjusted Consumption'!V73</f>
        <v>3.1397721467336814</v>
      </c>
      <c r="W42" s="310">
        <f>'Adjusted price'!W37*'Adjusted Consumption'!W73</f>
        <v>3.2008183234239209</v>
      </c>
      <c r="X42" s="310">
        <f>'Adjusted price'!X37*'Adjusted Consumption'!X73</f>
        <v>3.2465951508569075</v>
      </c>
      <c r="Y42" s="310">
        <f>'Adjusted price'!Y37*'Adjusted Consumption'!Y73</f>
        <v>3.3065691256538039</v>
      </c>
      <c r="Z42" s="310">
        <f>'Adjusted price'!Z37*'Adjusted Consumption'!Z73</f>
        <v>3.3631524087488978</v>
      </c>
      <c r="AA42" s="310">
        <f>'Adjusted price'!AA37*'Adjusted Consumption'!AA73</f>
        <v>3.4174042608326012</v>
      </c>
      <c r="AB42" s="310">
        <f>'Adjusted price'!AB37*'Adjusted Consumption'!AB73</f>
        <v>3.4619432706259325</v>
      </c>
      <c r="AC42" s="310">
        <f>'Adjusted price'!AC37*'Adjusted Consumption'!AC73</f>
        <v>3.5195222419422669</v>
      </c>
      <c r="AD42" s="310">
        <f>'Adjusted price'!AD37*'Adjusted Consumption'!AD73</f>
        <v>3.586457356605977</v>
      </c>
      <c r="AE42" s="310">
        <f>'Adjusted price'!AE37*'Adjusted Consumption'!AE73</f>
        <v>3.6577316384821441</v>
      </c>
      <c r="AF42" s="310">
        <f>'Adjusted price'!AF37*'Adjusted Consumption'!AF73</f>
        <v>3.7011947003647538</v>
      </c>
    </row>
    <row r="43" spans="1:32">
      <c r="A43" s="40" t="str">
        <f>'Adjusted price'!A38</f>
        <v xml:space="preserve">   Diesel Fuel (distillate fuel oil) 7/</v>
      </c>
      <c r="B43" s="310">
        <f>'Adjusted price'!B38*'Adjusted Consumption'!B74</f>
        <v>3.3856220135993933</v>
      </c>
      <c r="C43" s="310">
        <f>'Adjusted price'!C38*'Adjusted Consumption'!C74</f>
        <v>3.5540075998356881</v>
      </c>
      <c r="D43" s="310">
        <f>'Adjusted price'!D38*'Adjusted Consumption'!D74</f>
        <v>3.5306732412020971</v>
      </c>
      <c r="E43" s="310">
        <f>'Adjusted price'!E38*'Adjusted Consumption'!E74</f>
        <v>3.5772283159664946</v>
      </c>
      <c r="F43" s="310">
        <f>'Adjusted price'!F38*'Adjusted Consumption'!F74</f>
        <v>3.9737181895118838</v>
      </c>
      <c r="G43" s="310">
        <f>'Adjusted price'!G38*'Adjusted Consumption'!G74</f>
        <v>4.0232850779300033</v>
      </c>
      <c r="H43" s="310">
        <f>'Adjusted price'!H38*'Adjusted Consumption'!H74</f>
        <v>4.0533663605687558</v>
      </c>
      <c r="I43" s="310">
        <f>'Adjusted price'!I38*'Adjusted Consumption'!I74</f>
        <v>4.0854468272825981</v>
      </c>
      <c r="J43" s="310">
        <f>'Adjusted price'!J38*'Adjusted Consumption'!J74</f>
        <v>4.1220964068360226</v>
      </c>
      <c r="K43" s="310">
        <f>'Adjusted price'!K38*'Adjusted Consumption'!K74</f>
        <v>4.1970428309886056</v>
      </c>
      <c r="L43" s="310">
        <f>'Adjusted price'!L38*'Adjusted Consumption'!L74</f>
        <v>4.2349064013963025</v>
      </c>
      <c r="M43" s="310">
        <f>'Adjusted price'!M38*'Adjusted Consumption'!M74</f>
        <v>4.2767171663877903</v>
      </c>
      <c r="N43" s="310">
        <f>'Adjusted price'!N38*'Adjusted Consumption'!N74</f>
        <v>4.2880750771382301</v>
      </c>
      <c r="O43" s="310">
        <f>'Adjusted price'!O38*'Adjusted Consumption'!O74</f>
        <v>4.3210053191079485</v>
      </c>
      <c r="P43" s="310">
        <f>'Adjusted price'!P38*'Adjusted Consumption'!P74</f>
        <v>4.353918169163256</v>
      </c>
      <c r="Q43" s="310">
        <f>'Adjusted price'!Q38*'Adjusted Consumption'!Q74</f>
        <v>4.4008944301521433</v>
      </c>
      <c r="R43" s="310">
        <f>'Adjusted price'!R38*'Adjusted Consumption'!R74</f>
        <v>4.4253289989961955</v>
      </c>
      <c r="S43" s="310">
        <f>'Adjusted price'!S38*'Adjusted Consumption'!S74</f>
        <v>4.4945480418259116</v>
      </c>
      <c r="T43" s="310">
        <f>'Adjusted price'!T38*'Adjusted Consumption'!T74</f>
        <v>4.5321842149195612</v>
      </c>
      <c r="U43" s="310">
        <f>'Adjusted price'!U38*'Adjusted Consumption'!U74</f>
        <v>4.5675141713251923</v>
      </c>
      <c r="V43" s="310">
        <f>'Adjusted price'!V38*'Adjusted Consumption'!V74</f>
        <v>4.599043875433571</v>
      </c>
      <c r="W43" s="310">
        <f>'Adjusted price'!W38*'Adjusted Consumption'!W74</f>
        <v>4.6376164220263902</v>
      </c>
      <c r="X43" s="310">
        <f>'Adjusted price'!X38*'Adjusted Consumption'!X74</f>
        <v>4.6502531339796569</v>
      </c>
      <c r="Y43" s="310">
        <f>'Adjusted price'!Y38*'Adjusted Consumption'!Y74</f>
        <v>4.6691075904804578</v>
      </c>
      <c r="Z43" s="310">
        <f>'Adjusted price'!Z38*'Adjusted Consumption'!Z74</f>
        <v>4.7089195114351554</v>
      </c>
      <c r="AA43" s="310">
        <f>'Adjusted price'!AA38*'Adjusted Consumption'!AA74</f>
        <v>4.7404135342098224</v>
      </c>
      <c r="AB43" s="310">
        <f>'Adjusted price'!AB38*'Adjusted Consumption'!AB74</f>
        <v>4.7602744622681437</v>
      </c>
      <c r="AC43" s="310">
        <f>'Adjusted price'!AC38*'Adjusted Consumption'!AC74</f>
        <v>4.7937072083670724</v>
      </c>
      <c r="AD43" s="310">
        <f>'Adjusted price'!AD38*'Adjusted Consumption'!AD74</f>
        <v>4.8244711199746106</v>
      </c>
      <c r="AE43" s="310">
        <f>'Adjusted price'!AE38*'Adjusted Consumption'!AE74</f>
        <v>4.819836244335904</v>
      </c>
      <c r="AF43" s="310">
        <f>'Adjusted price'!AF38*'Adjusted Consumption'!AF74</f>
        <v>4.8499339732529192</v>
      </c>
    </row>
    <row r="44" spans="1:32">
      <c r="A44" s="40" t="str">
        <f>'Adjusted price'!A39</f>
        <v xml:space="preserve">   Residual Fuel Oil</v>
      </c>
      <c r="B44" s="310">
        <f>'Adjusted price'!B39*'Adjusted Consumption'!B75</f>
        <v>0.53991392211282219</v>
      </c>
      <c r="C44" s="310">
        <f>'Adjusted price'!C39*'Adjusted Consumption'!C75</f>
        <v>0.71146003957063486</v>
      </c>
      <c r="D44" s="310">
        <f>'Adjusted price'!D39*'Adjusted Consumption'!D75</f>
        <v>1.044162854960732</v>
      </c>
      <c r="E44" s="310">
        <f>'Adjusted price'!E39*'Adjusted Consumption'!E75</f>
        <v>1.1173215679047401</v>
      </c>
      <c r="F44" s="310">
        <f>'Adjusted price'!F39*'Adjusted Consumption'!F75</f>
        <v>1.1410026592479525</v>
      </c>
      <c r="G44" s="310">
        <f>'Adjusted price'!G39*'Adjusted Consumption'!G75</f>
        <v>1.1652908479262087</v>
      </c>
      <c r="H44" s="310">
        <f>'Adjusted price'!H39*'Adjusted Consumption'!H75</f>
        <v>1.1694867668691997</v>
      </c>
      <c r="I44" s="310">
        <f>'Adjusted price'!I39*'Adjusted Consumption'!I75</f>
        <v>1.1608513917903018</v>
      </c>
      <c r="J44" s="310">
        <f>'Adjusted price'!J39*'Adjusted Consumption'!J75</f>
        <v>1.1603757901586467</v>
      </c>
      <c r="K44" s="310">
        <f>'Adjusted price'!K39*'Adjusted Consumption'!K75</f>
        <v>1.1830842451930339</v>
      </c>
      <c r="L44" s="310">
        <f>'Adjusted price'!L39*'Adjusted Consumption'!L75</f>
        <v>1.1534807735595269</v>
      </c>
      <c r="M44" s="310">
        <f>'Adjusted price'!M39*'Adjusted Consumption'!M75</f>
        <v>1.1627291171305156</v>
      </c>
      <c r="N44" s="310">
        <f>'Adjusted price'!N39*'Adjusted Consumption'!N75</f>
        <v>1.1683758938795279</v>
      </c>
      <c r="O44" s="310">
        <f>'Adjusted price'!O39*'Adjusted Consumption'!O75</f>
        <v>1.1759711830627424</v>
      </c>
      <c r="P44" s="310">
        <f>'Adjusted price'!P39*'Adjusted Consumption'!P75</f>
        <v>1.1785582234609624</v>
      </c>
      <c r="Q44" s="310">
        <f>'Adjusted price'!Q39*'Adjusted Consumption'!Q75</f>
        <v>1.111252269672135</v>
      </c>
      <c r="R44" s="310">
        <f>'Adjusted price'!R39*'Adjusted Consumption'!R75</f>
        <v>1.1107433352956917</v>
      </c>
      <c r="S44" s="310">
        <f>'Adjusted price'!S39*'Adjusted Consumption'!S75</f>
        <v>1.1113367898236999</v>
      </c>
      <c r="T44" s="310">
        <f>'Adjusted price'!T39*'Adjusted Consumption'!T75</f>
        <v>1.111582228433539</v>
      </c>
      <c r="U44" s="310">
        <f>'Adjusted price'!U39*'Adjusted Consumption'!U75</f>
        <v>1.1139139087981582</v>
      </c>
      <c r="V44" s="310">
        <f>'Adjusted price'!V39*'Adjusted Consumption'!V75</f>
        <v>1.1170071031939925</v>
      </c>
      <c r="W44" s="310">
        <f>'Adjusted price'!W39*'Adjusted Consumption'!W75</f>
        <v>1.1205535247870004</v>
      </c>
      <c r="X44" s="310">
        <f>'Adjusted price'!X39*'Adjusted Consumption'!X75</f>
        <v>1.1116846887558747</v>
      </c>
      <c r="Y44" s="310">
        <f>'Adjusted price'!Y39*'Adjusted Consumption'!Y75</f>
        <v>1.1481377794533589</v>
      </c>
      <c r="Z44" s="310">
        <f>'Adjusted price'!Z39*'Adjusted Consumption'!Z75</f>
        <v>1.1092857399232365</v>
      </c>
      <c r="AA44" s="310">
        <f>'Adjusted price'!AA39*'Adjusted Consumption'!AA75</f>
        <v>1.1091386614888772</v>
      </c>
      <c r="AB44" s="310">
        <f>'Adjusted price'!AB39*'Adjusted Consumption'!AB75</f>
        <v>1.084268050705087</v>
      </c>
      <c r="AC44" s="310">
        <f>'Adjusted price'!AC39*'Adjusted Consumption'!AC75</f>
        <v>1.0848417046733898</v>
      </c>
      <c r="AD44" s="310">
        <f>'Adjusted price'!AD39*'Adjusted Consumption'!AD75</f>
        <v>1.0888230005039692</v>
      </c>
      <c r="AE44" s="310">
        <f>'Adjusted price'!AE39*'Adjusted Consumption'!AE75</f>
        <v>1.0913246476489336</v>
      </c>
      <c r="AF44" s="310">
        <f>'Adjusted price'!AF39*'Adjusted Consumption'!AF75</f>
        <v>1.0924647546265511</v>
      </c>
    </row>
    <row r="45" spans="1:32">
      <c r="A45" s="40" t="str">
        <f>'Adjusted price'!A40</f>
        <v xml:space="preserve">   Natural Gas 8/</v>
      </c>
      <c r="B45" s="310">
        <f>'Adjusted price'!B40*('Adjusted Consumption'!B77+'Adjusted Consumption'!B78)</f>
        <v>0.20845322724522228</v>
      </c>
      <c r="C45" s="310">
        <f>'Adjusted price'!C40*('Adjusted Consumption'!C77+'Adjusted Consumption'!C78)</f>
        <v>0.23551707622007462</v>
      </c>
      <c r="D45" s="310">
        <f>'Adjusted price'!D40*('Adjusted Consumption'!D77+'Adjusted Consumption'!D78)</f>
        <v>0.22448476669871037</v>
      </c>
      <c r="E45" s="310">
        <f>'Adjusted price'!E40*('Adjusted Consumption'!E77+'Adjusted Consumption'!E78)</f>
        <v>0.22981971459912823</v>
      </c>
      <c r="F45" s="310">
        <f>'Adjusted price'!F40*('Adjusted Consumption'!F77+'Adjusted Consumption'!F78)</f>
        <v>0.27618601500756251</v>
      </c>
      <c r="G45" s="310">
        <f>'Adjusted price'!G40*('Adjusted Consumption'!G77+'Adjusted Consumption'!G78)</f>
        <v>0.28049145969983874</v>
      </c>
      <c r="H45" s="310">
        <f>'Adjusted price'!H40*('Adjusted Consumption'!H77+'Adjusted Consumption'!H78)</f>
        <v>0.28656512084132285</v>
      </c>
      <c r="I45" s="310">
        <f>'Adjusted price'!I40*('Adjusted Consumption'!I77+'Adjusted Consumption'!I78)</f>
        <v>0.29688194025436321</v>
      </c>
      <c r="J45" s="310">
        <f>'Adjusted price'!J40*('Adjusted Consumption'!J77+'Adjusted Consumption'!J78)</f>
        <v>0.30204400928784236</v>
      </c>
      <c r="K45" s="310">
        <f>'Adjusted price'!K40*('Adjusted Consumption'!K77+'Adjusted Consumption'!K78)</f>
        <v>0.30705577995033301</v>
      </c>
      <c r="L45" s="310">
        <f>'Adjusted price'!L40*('Adjusted Consumption'!L77+'Adjusted Consumption'!L78)</f>
        <v>0.31555303960715458</v>
      </c>
      <c r="M45" s="310">
        <f>'Adjusted price'!M40*('Adjusted Consumption'!M77+'Adjusted Consumption'!M78)</f>
        <v>0.32249885839177167</v>
      </c>
      <c r="N45" s="310">
        <f>'Adjusted price'!N40*('Adjusted Consumption'!N77+'Adjusted Consumption'!N78)</f>
        <v>0.32996558561914291</v>
      </c>
      <c r="O45" s="310">
        <f>'Adjusted price'!O40*('Adjusted Consumption'!O77+'Adjusted Consumption'!O78)</f>
        <v>0.33491975866231977</v>
      </c>
      <c r="P45" s="310">
        <f>'Adjusted price'!P40*('Adjusted Consumption'!P77+'Adjusted Consumption'!P78)</f>
        <v>0.34175483939878443</v>
      </c>
      <c r="Q45" s="310">
        <f>'Adjusted price'!Q40*('Adjusted Consumption'!Q77+'Adjusted Consumption'!Q78)</f>
        <v>0.35695109828565247</v>
      </c>
      <c r="R45" s="310">
        <f>'Adjusted price'!R40*('Adjusted Consumption'!R77+'Adjusted Consumption'!R78)</f>
        <v>0.3667230724429848</v>
      </c>
      <c r="S45" s="310">
        <f>'Adjusted price'!S40*('Adjusted Consumption'!S77+'Adjusted Consumption'!S78)</f>
        <v>0.37426094067855031</v>
      </c>
      <c r="T45" s="310">
        <f>'Adjusted price'!T40*('Adjusted Consumption'!T77+'Adjusted Consumption'!T78)</f>
        <v>0.38366146126194051</v>
      </c>
      <c r="U45" s="310">
        <f>'Adjusted price'!U40*('Adjusted Consumption'!U77+'Adjusted Consumption'!U78)</f>
        <v>0.39343865173468312</v>
      </c>
      <c r="V45" s="310">
        <f>'Adjusted price'!V40*('Adjusted Consumption'!V77+'Adjusted Consumption'!V78)</f>
        <v>0.4020298015784568</v>
      </c>
      <c r="W45" s="310">
        <f>'Adjusted price'!W40*('Adjusted Consumption'!W77+'Adjusted Consumption'!W78)</f>
        <v>0.41169848701420797</v>
      </c>
      <c r="X45" s="310">
        <f>'Adjusted price'!X40*('Adjusted Consumption'!X77+'Adjusted Consumption'!X78)</f>
        <v>0.4241929331749128</v>
      </c>
      <c r="Y45" s="310">
        <f>'Adjusted price'!Y40*('Adjusted Consumption'!Y77+'Adjusted Consumption'!Y78)</f>
        <v>0.42669846269476008</v>
      </c>
      <c r="Z45" s="310">
        <f>'Adjusted price'!Z40*('Adjusted Consumption'!Z77+'Adjusted Consumption'!Z78)</f>
        <v>0.43671891968014215</v>
      </c>
      <c r="AA45" s="310">
        <f>'Adjusted price'!AA40*('Adjusted Consumption'!AA77+'Adjusted Consumption'!AA78)</f>
        <v>0.44471986828612203</v>
      </c>
      <c r="AB45" s="310">
        <f>'Adjusted price'!AB40*('Adjusted Consumption'!AB77+'Adjusted Consumption'!AB78)</f>
        <v>0.45349776703581673</v>
      </c>
      <c r="AC45" s="310">
        <f>'Adjusted price'!AC40*('Adjusted Consumption'!AC77+'Adjusted Consumption'!AC78)</f>
        <v>0.46069994863250585</v>
      </c>
      <c r="AD45" s="310">
        <f>'Adjusted price'!AD40*('Adjusted Consumption'!AD77+'Adjusted Consumption'!AD78)</f>
        <v>0.46730703417170039</v>
      </c>
      <c r="AE45" s="310">
        <f>'Adjusted price'!AE40*('Adjusted Consumption'!AE77+'Adjusted Consumption'!AE78)</f>
        <v>0.47289002743440722</v>
      </c>
      <c r="AF45" s="310">
        <f>'Adjusted price'!AF40*('Adjusted Consumption'!AF77+'Adjusted Consumption'!AF78)</f>
        <v>0.48105680607424778</v>
      </c>
    </row>
    <row r="46" spans="1:32">
      <c r="A46" s="40" t="str">
        <f>'Adjusted price'!A41</f>
        <v xml:space="preserve">   Electricity</v>
      </c>
      <c r="B46" s="310">
        <f>'Adjusted price'!B41*'Adjusted Consumption'!B80</f>
        <v>5.0085171938694786E-2</v>
      </c>
      <c r="C46" s="310">
        <f>'Adjusted price'!C41*'Adjusted Consumption'!C80</f>
        <v>6.7381658088238691E-2</v>
      </c>
      <c r="D46" s="310">
        <f>'Adjusted price'!D41*'Adjusted Consumption'!D80</f>
        <v>8.7109368070043977E-2</v>
      </c>
      <c r="E46" s="310">
        <f>'Adjusted price'!E41*'Adjusted Consumption'!E80</f>
        <v>0.11080044256272176</v>
      </c>
      <c r="F46" s="310">
        <f>'Adjusted price'!F41*'Adjusted Consumption'!F80</f>
        <v>0.13219725884470035</v>
      </c>
      <c r="G46" s="310">
        <f>'Adjusted price'!G41*'Adjusted Consumption'!G80</f>
        <v>0.15691399700722397</v>
      </c>
      <c r="H46" s="310">
        <f>'Adjusted price'!H41*'Adjusted Consumption'!H80</f>
        <v>0.18141768763748492</v>
      </c>
      <c r="I46" s="310">
        <f>'Adjusted price'!I41*'Adjusted Consumption'!I80</f>
        <v>0.20313293915359137</v>
      </c>
      <c r="J46" s="310">
        <f>'Adjusted price'!J41*'Adjusted Consumption'!J80</f>
        <v>0.22430121504194947</v>
      </c>
      <c r="K46" s="310">
        <f>'Adjusted price'!K41*'Adjusted Consumption'!K80</f>
        <v>0.24521317936229986</v>
      </c>
      <c r="L46" s="310">
        <f>'Adjusted price'!L41*'Adjusted Consumption'!L80</f>
        <v>0.26567812320921341</v>
      </c>
      <c r="M46" s="310">
        <f>'Adjusted price'!M41*'Adjusted Consumption'!M80</f>
        <v>0.28283667336016199</v>
      </c>
      <c r="N46" s="310">
        <f>'Adjusted price'!N41*'Adjusted Consumption'!N80</f>
        <v>0.29805830109553799</v>
      </c>
      <c r="O46" s="310">
        <f>'Adjusted price'!O41*'Adjusted Consumption'!O80</f>
        <v>0.31018823717043342</v>
      </c>
      <c r="P46" s="310">
        <f>'Adjusted price'!P41*'Adjusted Consumption'!P80</f>
        <v>0.32191297911893274</v>
      </c>
      <c r="Q46" s="310">
        <f>'Adjusted price'!Q41*'Adjusted Consumption'!Q80</f>
        <v>0.32950826092782742</v>
      </c>
      <c r="R46" s="310">
        <f>'Adjusted price'!R41*'Adjusted Consumption'!R80</f>
        <v>0.34349500596867999</v>
      </c>
      <c r="S46" s="310">
        <f>'Adjusted price'!S41*'Adjusted Consumption'!S80</f>
        <v>0.35459288746457951</v>
      </c>
      <c r="T46" s="310">
        <f>'Adjusted price'!T41*'Adjusted Consumption'!T80</f>
        <v>0.36494822989599685</v>
      </c>
      <c r="U46" s="310">
        <f>'Adjusted price'!U41*'Adjusted Consumption'!U80</f>
        <v>0.37463059119634207</v>
      </c>
      <c r="V46" s="310">
        <f>'Adjusted price'!V41*'Adjusted Consumption'!V80</f>
        <v>0.38392453298990536</v>
      </c>
      <c r="W46" s="310">
        <f>'Adjusted price'!W41*'Adjusted Consumption'!W80</f>
        <v>0.39348762241146801</v>
      </c>
      <c r="X46" s="310">
        <f>'Adjusted price'!X41*'Adjusted Consumption'!X80</f>
        <v>0.40333408383739677</v>
      </c>
      <c r="Y46" s="310">
        <f>'Adjusted price'!Y41*'Adjusted Consumption'!Y80</f>
        <v>0.41219762001825216</v>
      </c>
      <c r="Z46" s="310">
        <f>'Adjusted price'!Z41*'Adjusted Consumption'!Z80</f>
        <v>0.42054999507453161</v>
      </c>
      <c r="AA46" s="310">
        <f>'Adjusted price'!AA41*'Adjusted Consumption'!AA80</f>
        <v>0.43063505386199807</v>
      </c>
      <c r="AB46" s="310">
        <f>'Adjusted price'!AB41*'Adjusted Consumption'!AB80</f>
        <v>0.43971006991633915</v>
      </c>
      <c r="AC46" s="310">
        <f>'Adjusted price'!AC41*'Adjusted Consumption'!AC80</f>
        <v>0.44814164625158137</v>
      </c>
      <c r="AD46" s="310">
        <f>'Adjusted price'!AD41*'Adjusted Consumption'!AD80</f>
        <v>0.45569546394002181</v>
      </c>
      <c r="AE46" s="310">
        <f>'Adjusted price'!AE41*'Adjusted Consumption'!AE80</f>
        <v>0.4629534115778221</v>
      </c>
      <c r="AF46" s="310">
        <f>'Adjusted price'!AF41*'Adjusted Consumption'!AF80</f>
        <v>0.47007142006928637</v>
      </c>
    </row>
    <row r="47" spans="1:32">
      <c r="A47" s="46" t="s">
        <v>4</v>
      </c>
      <c r="B47" s="310">
        <f t="shared" ref="B47:V47" si="6">SUM(B39:B46)</f>
        <v>13.76157532039444</v>
      </c>
      <c r="C47" s="310">
        <f t="shared" si="6"/>
        <v>14.671617298898997</v>
      </c>
      <c r="D47" s="310">
        <f t="shared" si="6"/>
        <v>15.141310177103849</v>
      </c>
      <c r="E47" s="310">
        <f t="shared" si="6"/>
        <v>15.377619515966945</v>
      </c>
      <c r="F47" s="310">
        <f t="shared" si="6"/>
        <v>16.696282642000483</v>
      </c>
      <c r="G47" s="310">
        <f t="shared" si="6"/>
        <v>16.685733483839257</v>
      </c>
      <c r="H47" s="310">
        <f t="shared" si="6"/>
        <v>16.64191879210064</v>
      </c>
      <c r="I47" s="310">
        <f t="shared" si="6"/>
        <v>16.638990703677141</v>
      </c>
      <c r="J47" s="310">
        <f t="shared" si="6"/>
        <v>16.675656360687107</v>
      </c>
      <c r="K47" s="310">
        <f t="shared" si="6"/>
        <v>16.899957673422229</v>
      </c>
      <c r="L47" s="310">
        <f t="shared" si="6"/>
        <v>16.90555106486082</v>
      </c>
      <c r="M47" s="310">
        <f t="shared" si="6"/>
        <v>17.030002683751071</v>
      </c>
      <c r="N47" s="310">
        <f t="shared" si="6"/>
        <v>17.05475953283565</v>
      </c>
      <c r="O47" s="310">
        <f t="shared" si="6"/>
        <v>17.091570060940668</v>
      </c>
      <c r="P47" s="310">
        <f t="shared" si="6"/>
        <v>17.144627691497121</v>
      </c>
      <c r="Q47" s="310">
        <f t="shared" si="6"/>
        <v>17.137699851952426</v>
      </c>
      <c r="R47" s="310">
        <f t="shared" si="6"/>
        <v>17.171660947387895</v>
      </c>
      <c r="S47" s="310">
        <f t="shared" si="6"/>
        <v>17.3889426393985</v>
      </c>
      <c r="T47" s="310">
        <f t="shared" si="6"/>
        <v>17.490264716366937</v>
      </c>
      <c r="U47" s="310">
        <f t="shared" si="6"/>
        <v>17.616472040844613</v>
      </c>
      <c r="V47" s="310">
        <f t="shared" si="6"/>
        <v>17.754780371111877</v>
      </c>
      <c r="W47" s="310">
        <f t="shared" ref="W47:AF47" si="7">SUM(W39:W46)</f>
        <v>17.901894599255126</v>
      </c>
      <c r="X47" s="310">
        <f t="shared" si="7"/>
        <v>17.988933143373128</v>
      </c>
      <c r="Y47" s="310">
        <f t="shared" si="7"/>
        <v>18.120759744210179</v>
      </c>
      <c r="Z47" s="310">
        <f t="shared" si="7"/>
        <v>18.207842748262451</v>
      </c>
      <c r="AA47" s="310">
        <f t="shared" si="7"/>
        <v>18.328931995481927</v>
      </c>
      <c r="AB47" s="310">
        <f t="shared" si="7"/>
        <v>18.350236032370788</v>
      </c>
      <c r="AC47" s="310">
        <f t="shared" si="7"/>
        <v>18.472825285445285</v>
      </c>
      <c r="AD47" s="310">
        <f t="shared" si="7"/>
        <v>18.624824155221813</v>
      </c>
      <c r="AE47" s="310">
        <f t="shared" si="7"/>
        <v>18.718024979105568</v>
      </c>
      <c r="AF47" s="310">
        <f t="shared" si="7"/>
        <v>18.824883016885742</v>
      </c>
    </row>
    <row r="48" spans="1:32">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row>
    <row r="49" spans="1:32" s="5" customFormat="1" ht="13">
      <c r="A49" s="250" t="s">
        <v>1272</v>
      </c>
      <c r="B49" s="380"/>
      <c r="C49" s="380"/>
      <c r="D49" s="380"/>
      <c r="E49" s="380"/>
      <c r="F49" s="380"/>
      <c r="G49" s="380"/>
      <c r="H49" s="380"/>
      <c r="I49" s="380"/>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1"/>
    </row>
    <row r="50" spans="1:32" s="396" customFormat="1" ht="12.9" customHeight="1">
      <c r="A50" s="253" t="s">
        <v>6</v>
      </c>
      <c r="B50" s="253">
        <v>2020</v>
      </c>
      <c r="C50" s="253">
        <v>2021</v>
      </c>
      <c r="D50" s="253">
        <v>2022</v>
      </c>
      <c r="E50" s="253">
        <v>2023</v>
      </c>
      <c r="F50" s="253">
        <v>2024</v>
      </c>
      <c r="G50" s="253">
        <v>2025</v>
      </c>
      <c r="H50" s="253">
        <v>2026</v>
      </c>
      <c r="I50" s="253">
        <v>2027</v>
      </c>
      <c r="J50" s="253">
        <v>2028</v>
      </c>
      <c r="K50" s="253">
        <v>2029</v>
      </c>
      <c r="L50" s="253">
        <v>2030</v>
      </c>
      <c r="M50" s="253">
        <v>2031</v>
      </c>
      <c r="N50" s="253">
        <v>2032</v>
      </c>
      <c r="O50" s="253">
        <v>2033</v>
      </c>
      <c r="P50" s="253">
        <v>2034</v>
      </c>
      <c r="Q50" s="253">
        <v>2035</v>
      </c>
      <c r="R50" s="253">
        <v>2036</v>
      </c>
      <c r="S50" s="253">
        <v>2037</v>
      </c>
      <c r="T50" s="253">
        <v>2038</v>
      </c>
      <c r="U50" s="253">
        <v>2039</v>
      </c>
      <c r="V50" s="253">
        <v>2040</v>
      </c>
      <c r="W50" s="253">
        <v>2041</v>
      </c>
      <c r="X50" s="253">
        <v>2042</v>
      </c>
      <c r="Y50" s="253">
        <v>2043</v>
      </c>
      <c r="Z50" s="253">
        <v>2044</v>
      </c>
      <c r="AA50" s="253">
        <v>2045</v>
      </c>
      <c r="AB50" s="253">
        <v>2046</v>
      </c>
      <c r="AC50" s="253">
        <v>2047</v>
      </c>
      <c r="AD50" s="253">
        <v>2048</v>
      </c>
      <c r="AE50" s="253">
        <v>2049</v>
      </c>
      <c r="AF50" s="253">
        <v>2050</v>
      </c>
    </row>
    <row r="51" spans="1:32">
      <c r="A51" s="40" t="s">
        <v>338</v>
      </c>
      <c r="B51" s="274">
        <f t="shared" ref="B51:AF51" si="8">B47+B35+B21+B12</f>
        <v>24.200778853024374</v>
      </c>
      <c r="C51" s="274">
        <f t="shared" si="8"/>
        <v>24.780707930342011</v>
      </c>
      <c r="D51" s="274">
        <f t="shared" si="8"/>
        <v>25.342459697314258</v>
      </c>
      <c r="E51" s="274">
        <f t="shared" si="8"/>
        <v>25.715857498763967</v>
      </c>
      <c r="F51" s="274">
        <f t="shared" si="8"/>
        <v>27.101190422582157</v>
      </c>
      <c r="G51" s="274">
        <f t="shared" si="8"/>
        <v>27.322595306248694</v>
      </c>
      <c r="H51" s="274">
        <f t="shared" si="8"/>
        <v>27.421295477560243</v>
      </c>
      <c r="I51" s="274">
        <f t="shared" si="8"/>
        <v>27.417655272012162</v>
      </c>
      <c r="J51" s="274">
        <f t="shared" si="8"/>
        <v>27.470270449925881</v>
      </c>
      <c r="K51" s="274">
        <f t="shared" si="8"/>
        <v>28.073335120647943</v>
      </c>
      <c r="L51" s="274">
        <f t="shared" si="8"/>
        <v>28.214635077897036</v>
      </c>
      <c r="M51" s="274">
        <f t="shared" si="8"/>
        <v>28.515242226930994</v>
      </c>
      <c r="N51" s="274">
        <f t="shared" si="8"/>
        <v>28.724657505035552</v>
      </c>
      <c r="O51" s="274">
        <f t="shared" si="8"/>
        <v>28.884229716769021</v>
      </c>
      <c r="P51" s="274">
        <f t="shared" si="8"/>
        <v>29.066294766884887</v>
      </c>
      <c r="Q51" s="274">
        <f t="shared" si="8"/>
        <v>29.19373006349683</v>
      </c>
      <c r="R51" s="274">
        <f t="shared" si="8"/>
        <v>29.396738325473979</v>
      </c>
      <c r="S51" s="274">
        <f t="shared" si="8"/>
        <v>29.730062653460664</v>
      </c>
      <c r="T51" s="274">
        <f t="shared" si="8"/>
        <v>29.911257651165137</v>
      </c>
      <c r="U51" s="274">
        <f t="shared" si="8"/>
        <v>30.128021608243426</v>
      </c>
      <c r="V51" s="274">
        <f t="shared" si="8"/>
        <v>30.343336838579692</v>
      </c>
      <c r="W51" s="274">
        <f t="shared" si="8"/>
        <v>30.610593202692691</v>
      </c>
      <c r="X51" s="274">
        <f t="shared" si="8"/>
        <v>30.826812142796957</v>
      </c>
      <c r="Y51" s="274">
        <f t="shared" si="8"/>
        <v>31.051469815782617</v>
      </c>
      <c r="Z51" s="274">
        <f t="shared" si="8"/>
        <v>31.224159129372438</v>
      </c>
      <c r="AA51" s="274">
        <f t="shared" si="8"/>
        <v>31.49513393094206</v>
      </c>
      <c r="AB51" s="274">
        <f t="shared" si="8"/>
        <v>31.629120763248526</v>
      </c>
      <c r="AC51" s="274">
        <f t="shared" si="8"/>
        <v>31.85625769522516</v>
      </c>
      <c r="AD51" s="274">
        <f t="shared" si="8"/>
        <v>32.133396435841391</v>
      </c>
      <c r="AE51" s="274">
        <f t="shared" si="8"/>
        <v>32.318636658249936</v>
      </c>
      <c r="AF51" s="274">
        <f t="shared" si="8"/>
        <v>32.511255052194024</v>
      </c>
    </row>
    <row r="52" spans="1:32">
      <c r="A52" s="40" t="s">
        <v>1005</v>
      </c>
      <c r="B52" s="274">
        <f>B51-'Baseline expend'!B51</f>
        <v>0.55166260327480643</v>
      </c>
      <c r="C52" s="274">
        <f>C51-'Baseline expend'!C51</f>
        <v>0.61342698234427218</v>
      </c>
      <c r="D52" s="274">
        <f>D51-'Baseline expend'!D51</f>
        <v>0.6141375639796216</v>
      </c>
      <c r="E52" s="274">
        <f>E51-'Baseline expend'!E51</f>
        <v>0.64217807690080875</v>
      </c>
      <c r="F52" s="274">
        <f>F51-'Baseline expend'!F51</f>
        <v>0.60912080728599705</v>
      </c>
      <c r="G52" s="274">
        <f>G51-'Baseline expend'!G51</f>
        <v>0.51855257953980427</v>
      </c>
      <c r="H52" s="274">
        <f>H51-'Baseline expend'!H51</f>
        <v>0.45744832803339719</v>
      </c>
      <c r="I52" s="274">
        <f>I51-'Baseline expend'!I51</f>
        <v>0.4024479314967877</v>
      </c>
      <c r="J52" s="274">
        <f>J51-'Baseline expend'!J51</f>
        <v>0.32817792278556013</v>
      </c>
      <c r="K52" s="274">
        <f>K51-'Baseline expend'!K51</f>
        <v>0.22317756322743421</v>
      </c>
      <c r="L52" s="274">
        <f>L51-'Baseline expend'!L51</f>
        <v>0.21323934606323292</v>
      </c>
      <c r="M52" s="274">
        <f>M51-'Baseline expend'!M51</f>
        <v>0.19041560783752232</v>
      </c>
      <c r="N52" s="274">
        <f>N51-'Baseline expend'!N51</f>
        <v>0.16986114707073341</v>
      </c>
      <c r="O52" s="274">
        <f>O51-'Baseline expend'!O51</f>
        <v>0.13829087991929967</v>
      </c>
      <c r="P52" s="274">
        <f>P51-'Baseline expend'!P51</f>
        <v>8.5378376962783165E-2</v>
      </c>
      <c r="Q52" s="274">
        <f>Q51-'Baseline expend'!Q51</f>
        <v>3.4957186157416942E-2</v>
      </c>
      <c r="R52" s="274">
        <f>R51-'Baseline expend'!R51</f>
        <v>-1.474659034408532E-2</v>
      </c>
      <c r="S52" s="274">
        <f>S51-'Baseline expend'!S51</f>
        <v>-6.6472458101550558E-2</v>
      </c>
      <c r="T52" s="274">
        <f>T51-'Baseline expend'!T51</f>
        <v>-0.11805831817741108</v>
      </c>
      <c r="U52" s="274">
        <f>U51-'Baseline expend'!U51</f>
        <v>-0.18115839660111277</v>
      </c>
      <c r="V52" s="274">
        <f>V51-'Baseline expend'!V51</f>
        <v>-0.21509045353221623</v>
      </c>
      <c r="W52" s="274">
        <f>W51-'Baseline expend'!W51</f>
        <v>-0.2613159029859986</v>
      </c>
      <c r="X52" s="274">
        <f>X51-'Baseline expend'!X51</f>
        <v>-0.30982554989991939</v>
      </c>
      <c r="Y52" s="274">
        <f>Y51-'Baseline expend'!Y51</f>
        <v>-0.35200907887003652</v>
      </c>
      <c r="Z52" s="274">
        <f>Z51-'Baseline expend'!Z51</f>
        <v>-0.38198298232003225</v>
      </c>
      <c r="AA52" s="274">
        <f>AA51-'Baseline expend'!AA51</f>
        <v>-0.42847149139758756</v>
      </c>
      <c r="AB52" s="274">
        <f>AB51-'Baseline expend'!AB51</f>
        <v>-0.46611119471846152</v>
      </c>
      <c r="AC52" s="274">
        <f>AC51-'Baseline expend'!AC51</f>
        <v>-0.50312956694653366</v>
      </c>
      <c r="AD52" s="274">
        <f>AD51-'Baseline expend'!AD51</f>
        <v>-0.53967447818902059</v>
      </c>
      <c r="AE52" s="274">
        <f>AE51-'Baseline expend'!AE51</f>
        <v>-0.57809869273824432</v>
      </c>
      <c r="AF52" s="274">
        <f>AF51-'Baseline expend'!AF51</f>
        <v>-0.62304665727088349</v>
      </c>
    </row>
    <row r="53" spans="1:32">
      <c r="A53" s="40" t="s">
        <v>1006</v>
      </c>
      <c r="B53" s="274">
        <f>Revenue!B84/1000</f>
        <v>0.61326206546993323</v>
      </c>
      <c r="C53" s="274">
        <f>Revenue!C84/1000</f>
        <v>0.78849844989432949</v>
      </c>
      <c r="D53" s="274">
        <f>Revenue!D84/1000</f>
        <v>0.93056183595226138</v>
      </c>
      <c r="E53" s="274">
        <f>Revenue!E84/1000</f>
        <v>1.0644138790761504</v>
      </c>
      <c r="F53" s="274">
        <f>Revenue!F84/1000</f>
        <v>1.1941010316559793</v>
      </c>
      <c r="G53" s="274">
        <f>Revenue!G84/1000</f>
        <v>1.2973212869024642</v>
      </c>
      <c r="H53" s="274">
        <f>Revenue!H84/1000</f>
        <v>1.4355747657501978</v>
      </c>
      <c r="I53" s="274">
        <f>Revenue!I84/1000</f>
        <v>1.5530636777299287</v>
      </c>
      <c r="J53" s="274">
        <f>Revenue!J84/1000</f>
        <v>1.6749399990990375</v>
      </c>
      <c r="K53" s="274">
        <f>Revenue!K84/1000</f>
        <v>1.779818679682371</v>
      </c>
      <c r="L53" s="274">
        <f>Revenue!L84/1000</f>
        <v>1.8973984487874171</v>
      </c>
      <c r="M53" s="274">
        <f>Revenue!M84/1000</f>
        <v>2.0096997391418645</v>
      </c>
      <c r="N53" s="274">
        <f>Revenue!N84/1000</f>
        <v>2.1204542308785386</v>
      </c>
      <c r="O53" s="274">
        <f>Revenue!O84/1000</f>
        <v>2.222424242828057</v>
      </c>
      <c r="P53" s="274">
        <f>Revenue!P84/1000</f>
        <v>2.2470618630854533</v>
      </c>
      <c r="Q53" s="274">
        <f>Revenue!Q84/1000</f>
        <v>2.2333039223277265</v>
      </c>
      <c r="R53" s="274">
        <f>Revenue!R84/1000</f>
        <v>2.2164229631694981</v>
      </c>
      <c r="S53" s="274">
        <f>Revenue!S84/1000</f>
        <v>2.2035666214416061</v>
      </c>
      <c r="T53" s="274">
        <f>Revenue!T84/1000</f>
        <v>2.1929549668903543</v>
      </c>
      <c r="U53" s="274">
        <f>Revenue!U84/1000</f>
        <v>2.1863310874182069</v>
      </c>
      <c r="V53" s="274">
        <f>Revenue!V84/1000</f>
        <v>2.178634049587894</v>
      </c>
      <c r="W53" s="274">
        <f>Revenue!W84/1000</f>
        <v>2.1743099131615882</v>
      </c>
      <c r="X53" s="274">
        <f>Revenue!X84/1000</f>
        <v>2.1673020872864917</v>
      </c>
      <c r="Y53" s="274">
        <f>Revenue!Y84/1000</f>
        <v>2.1626973162937593</v>
      </c>
      <c r="Z53" s="274">
        <f>Revenue!Z84/1000</f>
        <v>2.1608026099937141</v>
      </c>
      <c r="AA53" s="274">
        <f>Revenue!AA84/1000</f>
        <v>2.1634859999910314</v>
      </c>
      <c r="AB53" s="274">
        <f>Revenue!AB84/1000</f>
        <v>2.1733713717276926</v>
      </c>
      <c r="AC53" s="274">
        <f>Revenue!AC84/1000</f>
        <v>2.1852249787621179</v>
      </c>
      <c r="AD53" s="274">
        <f>Revenue!AD84/1000</f>
        <v>2.1978682260330951</v>
      </c>
      <c r="AE53" s="274">
        <f>Revenue!AE84/1000</f>
        <v>2.2066634865576527</v>
      </c>
      <c r="AF53" s="274">
        <f>Revenue!AF84/1000</f>
        <v>2.217653795155651</v>
      </c>
    </row>
    <row r="54" spans="1:32">
      <c r="A54" s="40" t="s">
        <v>1007</v>
      </c>
      <c r="B54" s="274">
        <f t="shared" ref="B54:V54" si="9">B53-B52</f>
        <v>6.1599462195126797E-2</v>
      </c>
      <c r="C54" s="274">
        <f t="shared" si="9"/>
        <v>0.17507146755005731</v>
      </c>
      <c r="D54" s="274">
        <f t="shared" si="9"/>
        <v>0.31642427197263978</v>
      </c>
      <c r="E54" s="274">
        <f t="shared" si="9"/>
        <v>0.42223580217534162</v>
      </c>
      <c r="F54" s="274">
        <f t="shared" si="9"/>
        <v>0.5849802243699822</v>
      </c>
      <c r="G54" s="274">
        <f t="shared" si="9"/>
        <v>0.77876870736265991</v>
      </c>
      <c r="H54" s="274">
        <f t="shared" si="9"/>
        <v>0.97812643771680063</v>
      </c>
      <c r="I54" s="274">
        <f t="shared" si="9"/>
        <v>1.150615746233141</v>
      </c>
      <c r="J54" s="274">
        <f t="shared" si="9"/>
        <v>1.3467620763134773</v>
      </c>
      <c r="K54" s="274">
        <f t="shared" si="9"/>
        <v>1.5566411164549367</v>
      </c>
      <c r="L54" s="274">
        <f t="shared" si="9"/>
        <v>1.6841591027241842</v>
      </c>
      <c r="M54" s="274">
        <f t="shared" si="9"/>
        <v>1.8192841313043422</v>
      </c>
      <c r="N54" s="274">
        <f t="shared" si="9"/>
        <v>1.9505930838078052</v>
      </c>
      <c r="O54" s="274">
        <f t="shared" si="9"/>
        <v>2.0841333629087573</v>
      </c>
      <c r="P54" s="274">
        <f t="shared" si="9"/>
        <v>2.1616834861226701</v>
      </c>
      <c r="Q54" s="274">
        <f t="shared" si="9"/>
        <v>2.1983467361703095</v>
      </c>
      <c r="R54" s="274">
        <f t="shared" si="9"/>
        <v>2.2311695535135834</v>
      </c>
      <c r="S54" s="274">
        <f t="shared" si="9"/>
        <v>2.2700390795431566</v>
      </c>
      <c r="T54" s="274">
        <f t="shared" si="9"/>
        <v>2.3110132850677654</v>
      </c>
      <c r="U54" s="274">
        <f t="shared" si="9"/>
        <v>2.3674894840193197</v>
      </c>
      <c r="V54" s="274">
        <f t="shared" si="9"/>
        <v>2.3937245031201102</v>
      </c>
      <c r="W54" s="274">
        <f t="shared" ref="W54:AF54" si="10">W53-W52</f>
        <v>2.4356258161475868</v>
      </c>
      <c r="X54" s="274">
        <f t="shared" si="10"/>
        <v>2.477127637186411</v>
      </c>
      <c r="Y54" s="274">
        <f t="shared" si="10"/>
        <v>2.5147063951637958</v>
      </c>
      <c r="Z54" s="274">
        <f t="shared" si="10"/>
        <v>2.5427855923137463</v>
      </c>
      <c r="AA54" s="274">
        <f t="shared" si="10"/>
        <v>2.591957491388619</v>
      </c>
      <c r="AB54" s="274">
        <f t="shared" si="10"/>
        <v>2.6394825664461541</v>
      </c>
      <c r="AC54" s="274">
        <f t="shared" si="10"/>
        <v>2.6883545457086515</v>
      </c>
      <c r="AD54" s="274">
        <f t="shared" si="10"/>
        <v>2.7375427042221157</v>
      </c>
      <c r="AE54" s="274">
        <f t="shared" si="10"/>
        <v>2.784762179295897</v>
      </c>
      <c r="AF54" s="274">
        <f t="shared" si="10"/>
        <v>2.8407004524265345</v>
      </c>
    </row>
    <row r="55" spans="1:32">
      <c r="W55" s="340"/>
      <c r="X55" s="340"/>
      <c r="Y55" s="340"/>
      <c r="Z55" s="340"/>
      <c r="AA55" s="340"/>
      <c r="AB55" s="340"/>
      <c r="AC55" s="340"/>
      <c r="AD55" s="340"/>
      <c r="AE55" s="340"/>
      <c r="AF55" s="340"/>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F0"/>
  </sheetPr>
  <dimension ref="A1:AG108"/>
  <sheetViews>
    <sheetView workbookViewId="0">
      <selection activeCell="L4" sqref="L4"/>
    </sheetView>
  </sheetViews>
  <sheetFormatPr defaultColWidth="9.33203125" defaultRowHeight="12"/>
  <cols>
    <col min="1" max="1" width="31.33203125" style="15" customWidth="1"/>
    <col min="2" max="8" width="9.33203125" style="15" customWidth="1"/>
    <col min="9" max="22" width="8.88671875" style="15" customWidth="1"/>
    <col min="23" max="16384" width="9.33203125" style="15"/>
  </cols>
  <sheetData>
    <row r="1" spans="1:33" s="280" customFormat="1" ht="26.15" customHeight="1">
      <c r="A1" s="281" t="s">
        <v>198</v>
      </c>
    </row>
    <row r="2" spans="1:33" s="280" customFormat="1" ht="12.9" customHeight="1">
      <c r="A2" s="43" t="s">
        <v>359</v>
      </c>
    </row>
    <row r="3" spans="1:33" s="280" customFormat="1" ht="12.9" customHeight="1">
      <c r="A3" s="43" t="s">
        <v>360</v>
      </c>
      <c r="B3" s="328" t="s">
        <v>918</v>
      </c>
    </row>
    <row r="4" spans="1:33" s="280" customFormat="1" ht="12.9" customHeight="1">
      <c r="A4" s="43" t="s">
        <v>357</v>
      </c>
      <c r="B4" s="328" t="str">
        <f>dashboard!I46</f>
        <v>million 2018 dollars</v>
      </c>
    </row>
    <row r="5" spans="1:33" s="280" customFormat="1" ht="12.9" customHeight="1"/>
    <row r="6" spans="1:33" s="5" customFormat="1" ht="13">
      <c r="A6" s="250" t="s">
        <v>21</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1"/>
    </row>
    <row r="7" spans="1:33" s="280" customFormat="1" ht="12.9" customHeight="1">
      <c r="A7" s="253" t="s">
        <v>199</v>
      </c>
      <c r="B7" s="253">
        <v>2020</v>
      </c>
      <c r="C7" s="253">
        <v>2021</v>
      </c>
      <c r="D7" s="253">
        <v>2022</v>
      </c>
      <c r="E7" s="253">
        <v>2023</v>
      </c>
      <c r="F7" s="253">
        <v>2024</v>
      </c>
      <c r="G7" s="253">
        <v>2025</v>
      </c>
      <c r="H7" s="253">
        <v>2026</v>
      </c>
      <c r="I7" s="253">
        <v>2027</v>
      </c>
      <c r="J7" s="253">
        <v>2028</v>
      </c>
      <c r="K7" s="253">
        <v>2029</v>
      </c>
      <c r="L7" s="253">
        <v>2030</v>
      </c>
      <c r="M7" s="253">
        <v>2031</v>
      </c>
      <c r="N7" s="253">
        <v>2032</v>
      </c>
      <c r="O7" s="253">
        <v>2033</v>
      </c>
      <c r="P7" s="253">
        <v>2034</v>
      </c>
      <c r="Q7" s="253">
        <v>2035</v>
      </c>
      <c r="R7" s="253">
        <v>2036</v>
      </c>
      <c r="S7" s="253">
        <v>2037</v>
      </c>
      <c r="T7" s="253">
        <v>2038</v>
      </c>
      <c r="U7" s="253">
        <v>2039</v>
      </c>
      <c r="V7" s="253">
        <v>2040</v>
      </c>
      <c r="W7" s="253">
        <v>2041</v>
      </c>
      <c r="X7" s="253">
        <v>2042</v>
      </c>
      <c r="Y7" s="253">
        <v>2043</v>
      </c>
      <c r="Z7" s="253">
        <v>2044</v>
      </c>
      <c r="AA7" s="253">
        <v>2045</v>
      </c>
      <c r="AB7" s="253">
        <v>2046</v>
      </c>
      <c r="AC7" s="253">
        <v>2047</v>
      </c>
      <c r="AD7" s="253">
        <v>2048</v>
      </c>
      <c r="AE7" s="253">
        <v>2049</v>
      </c>
      <c r="AF7" s="253">
        <v>2050</v>
      </c>
    </row>
    <row r="8" spans="1:33">
      <c r="A8" s="15" t="s">
        <v>22</v>
      </c>
      <c r="B8" s="306">
        <f>'Adjusted Consumption'!B8*ramps!C21*1000</f>
        <v>3.8076223093672192</v>
      </c>
      <c r="C8" s="306">
        <f>'Adjusted Consumption'!C8*ramps!D21*1000</f>
        <v>4.8167110548036174</v>
      </c>
      <c r="D8" s="306">
        <f>'Adjusted Consumption'!D8*ramps!E21*1000</f>
        <v>5.7843838339901827</v>
      </c>
      <c r="E8" s="306">
        <f>'Adjusted Consumption'!E8*ramps!F21*1000</f>
        <v>6.7184221880425143</v>
      </c>
      <c r="F8" s="306">
        <f>'Adjusted Consumption'!F8*ramps!G21*1000</f>
        <v>7.6176203469798915</v>
      </c>
      <c r="G8" s="306">
        <f>'Adjusted Consumption'!G8*ramps!H21*1000</f>
        <v>8.4888440462874168</v>
      </c>
      <c r="H8" s="306">
        <f>'Adjusted Consumption'!H8*ramps!I21*1000</f>
        <v>9.329491569732566</v>
      </c>
      <c r="I8" s="306">
        <f>'Adjusted Consumption'!I8*ramps!J21*1000</f>
        <v>10.153127019815296</v>
      </c>
      <c r="J8" s="306">
        <f>'Adjusted Consumption'!J8*ramps!K21*1000</f>
        <v>10.972649285109361</v>
      </c>
      <c r="K8" s="306">
        <f>'Adjusted Consumption'!K8*ramps!L21*1000</f>
        <v>11.727537641551994</v>
      </c>
      <c r="L8" s="306">
        <f>'Adjusted Consumption'!L8*ramps!M21*1000</f>
        <v>12.501043540183399</v>
      </c>
      <c r="M8" s="306">
        <f>'Adjusted Consumption'!M8*ramps!N21*1000</f>
        <v>13.281462842045515</v>
      </c>
      <c r="N8" s="306">
        <f>'Adjusted Consumption'!N8*ramps!O21*1000</f>
        <v>14.059130160692122</v>
      </c>
      <c r="O8" s="306">
        <f>'Adjusted Consumption'!O8*ramps!P21*1000</f>
        <v>14.827026775244274</v>
      </c>
      <c r="P8" s="306">
        <f>'Adjusted Consumption'!P8*ramps!Q21*1000</f>
        <v>15.006221498569271</v>
      </c>
      <c r="Q8" s="306">
        <f>'Adjusted Consumption'!Q8*ramps!R21*1000</f>
        <v>14.902067402519842</v>
      </c>
      <c r="R8" s="306">
        <f>'Adjusted Consumption'!R8*ramps!S21*1000</f>
        <v>14.810662623364237</v>
      </c>
      <c r="S8" s="306">
        <f>'Adjusted Consumption'!S8*ramps!T21*1000</f>
        <v>14.727156160089629</v>
      </c>
      <c r="T8" s="306">
        <f>'Adjusted Consumption'!T8*ramps!U21*1000</f>
        <v>14.656497619060708</v>
      </c>
      <c r="U8" s="306">
        <f>'Adjusted Consumption'!U8*ramps!V21*1000</f>
        <v>14.596449688673099</v>
      </c>
      <c r="V8" s="306">
        <f>'Adjusted Consumption'!V8*ramps!W21*1000</f>
        <v>14.569461371744616</v>
      </c>
      <c r="W8" s="306">
        <f>'Adjusted Consumption'!W8*ramps!X21*1000</f>
        <v>14.552293379567717</v>
      </c>
      <c r="X8" s="306">
        <f>'Adjusted Consumption'!X8*ramps!Y21*1000</f>
        <v>14.533170370320796</v>
      </c>
      <c r="Y8" s="306">
        <f>'Adjusted Consumption'!Y8*ramps!Z21*1000</f>
        <v>14.517896235153776</v>
      </c>
      <c r="Z8" s="306">
        <f>'Adjusted Consumption'!Z8*ramps!AA21*1000</f>
        <v>14.503924681095516</v>
      </c>
      <c r="AA8" s="306">
        <f>'Adjusted Consumption'!AA8*ramps!AB21*1000</f>
        <v>14.50076735488771</v>
      </c>
      <c r="AB8" s="306">
        <f>'Adjusted Consumption'!AB8*ramps!AC21*1000</f>
        <v>14.505522388953256</v>
      </c>
      <c r="AC8" s="306">
        <f>'Adjusted Consumption'!AC8*ramps!AD21*1000</f>
        <v>14.516914636525025</v>
      </c>
      <c r="AD8" s="306">
        <f>'Adjusted Consumption'!AD8*ramps!AE21*1000</f>
        <v>14.532010727239612</v>
      </c>
      <c r="AE8" s="306">
        <f>'Adjusted Consumption'!AE8*ramps!AF21*1000</f>
        <v>14.554818670265874</v>
      </c>
      <c r="AF8" s="306">
        <f>'Adjusted Consumption'!AF8*ramps!AG21*1000</f>
        <v>14.584543094039025</v>
      </c>
    </row>
    <row r="9" spans="1:33">
      <c r="A9" s="15" t="s">
        <v>54</v>
      </c>
      <c r="B9" s="306">
        <f>'Adjusted Consumption'!B9*ramps!C19*1000</f>
        <v>1.7303320847911918E-2</v>
      </c>
      <c r="C9" s="306">
        <f>'Adjusted Consumption'!C9*ramps!D19*1000</f>
        <v>2.1298464427848302E-2</v>
      </c>
      <c r="D9" s="306">
        <f>'Adjusted Consumption'!D9*ramps!E19*1000</f>
        <v>2.479582571598454E-2</v>
      </c>
      <c r="E9" s="306">
        <f>'Adjusted Consumption'!E9*ramps!F19*1000</f>
        <v>2.8058631925594206E-2</v>
      </c>
      <c r="F9" s="306">
        <f>'Adjusted Consumption'!F9*ramps!G19*1000</f>
        <v>3.0699845878612533E-2</v>
      </c>
      <c r="G9" s="306">
        <f>'Adjusted Consumption'!G9*ramps!H19*1000</f>
        <v>3.314142534916166E-2</v>
      </c>
      <c r="H9" s="306">
        <f>'Adjusted Consumption'!H9*ramps!I19*1000</f>
        <v>3.5496474437127681E-2</v>
      </c>
      <c r="I9" s="306">
        <f>'Adjusted Consumption'!I9*ramps!J19*1000</f>
        <v>3.7623628819304318E-2</v>
      </c>
      <c r="J9" s="306">
        <f>'Adjusted Consumption'!J9*ramps!K19*1000</f>
        <v>3.9411092583330018E-2</v>
      </c>
      <c r="K9" s="306">
        <f>'Adjusted Consumption'!K9*ramps!L19*1000</f>
        <v>4.0890083459028337E-2</v>
      </c>
      <c r="L9" s="306">
        <f>'Adjusted Consumption'!L9*ramps!M19*1000</f>
        <v>4.2183209527509792E-2</v>
      </c>
      <c r="M9" s="306">
        <f>'Adjusted Consumption'!M9*ramps!N19*1000</f>
        <v>4.3177140187514583E-2</v>
      </c>
      <c r="N9" s="306">
        <f>'Adjusted Consumption'!N9*ramps!O19*1000</f>
        <v>4.4219110169914679E-2</v>
      </c>
      <c r="O9" s="306">
        <f>'Adjusted Consumption'!O9*ramps!P19*1000</f>
        <v>4.4795956768033572E-2</v>
      </c>
      <c r="P9" s="306">
        <f>'Adjusted Consumption'!P9*ramps!Q19*1000</f>
        <v>4.3624828501764683E-2</v>
      </c>
      <c r="Q9" s="306">
        <f>'Adjusted Consumption'!Q9*ramps!R19*1000</f>
        <v>4.1592639012750933E-2</v>
      </c>
      <c r="R9" s="306">
        <f>'Adjusted Consumption'!R9*ramps!S19*1000</f>
        <v>3.9778715584178725E-2</v>
      </c>
      <c r="S9" s="306">
        <f>'Adjusted Consumption'!S9*ramps!T19*1000</f>
        <v>3.7944253735826251E-2</v>
      </c>
      <c r="T9" s="306">
        <f>'Adjusted Consumption'!T9*ramps!U19*1000</f>
        <v>3.6127394084239435E-2</v>
      </c>
      <c r="U9" s="306">
        <f>'Adjusted Consumption'!U9*ramps!V19*1000</f>
        <v>3.4515210211268597E-2</v>
      </c>
      <c r="V9" s="306">
        <f>'Adjusted Consumption'!V9*ramps!W19*1000</f>
        <v>3.2992014472045458E-2</v>
      </c>
      <c r="W9" s="306">
        <f>'Adjusted Consumption'!W9*ramps!X19*1000</f>
        <v>3.1660680439697289E-2</v>
      </c>
      <c r="X9" s="306">
        <f>'Adjusted Consumption'!X9*ramps!Y19*1000</f>
        <v>3.011733634778414E-2</v>
      </c>
      <c r="Y9" s="306">
        <f>'Adjusted Consumption'!Y9*ramps!Z19*1000</f>
        <v>2.8942239668155529E-2</v>
      </c>
      <c r="Z9" s="306">
        <f>'Adjusted Consumption'!Z9*ramps!AA19*1000</f>
        <v>2.7559107934774646E-2</v>
      </c>
      <c r="AA9" s="306">
        <f>'Adjusted Consumption'!AA9*ramps!AB19*1000</f>
        <v>2.6369914673988002E-2</v>
      </c>
      <c r="AB9" s="306">
        <f>'Adjusted Consumption'!AB9*ramps!AC19*1000</f>
        <v>2.5174032411388086E-2</v>
      </c>
      <c r="AC9" s="306">
        <f>'Adjusted Consumption'!AC9*ramps!AD19*1000</f>
        <v>2.3974085914879626E-2</v>
      </c>
      <c r="AD9" s="306">
        <f>'Adjusted Consumption'!AD9*ramps!AE19*1000</f>
        <v>2.2773710237354573E-2</v>
      </c>
      <c r="AE9" s="306">
        <f>'Adjusted Consumption'!AE9*ramps!AF19*1000</f>
        <v>2.1761331537255048E-2</v>
      </c>
      <c r="AF9" s="306">
        <f>'Adjusted Consumption'!AF9*ramps!AG19*1000</f>
        <v>2.0748731575101886E-2</v>
      </c>
      <c r="AG9" s="329" t="s">
        <v>1111</v>
      </c>
    </row>
    <row r="10" spans="1:33">
      <c r="A10" s="15" t="s">
        <v>23</v>
      </c>
      <c r="B10" s="306">
        <f>'Adjusted Consumption'!B10*ramps!C19*1000</f>
        <v>1.8348119592867791</v>
      </c>
      <c r="C10" s="306">
        <f>'Adjusted Consumption'!C10*ramps!D19*1000</f>
        <v>2.3154813499375591</v>
      </c>
      <c r="D10" s="306">
        <f>'Adjusted Consumption'!D10*ramps!E19*1000</f>
        <v>2.769108784253302</v>
      </c>
      <c r="E10" s="306">
        <f>'Adjusted Consumption'!E10*ramps!F19*1000</f>
        <v>3.1938010040617084</v>
      </c>
      <c r="F10" s="306">
        <f>'Adjusted Consumption'!F10*ramps!G19*1000</f>
        <v>3.5841817643772638</v>
      </c>
      <c r="G10" s="306">
        <f>'Adjusted Consumption'!G10*ramps!H19*1000</f>
        <v>3.9515513684713905</v>
      </c>
      <c r="H10" s="306">
        <f>'Adjusted Consumption'!H10*ramps!I19*1000</f>
        <v>4.2958744531712005</v>
      </c>
      <c r="I10" s="306">
        <f>'Adjusted Consumption'!I10*ramps!J19*1000</f>
        <v>4.6166867407086558</v>
      </c>
      <c r="J10" s="306">
        <f>'Adjusted Consumption'!J10*ramps!K19*1000</f>
        <v>4.9250298596167328</v>
      </c>
      <c r="K10" s="306">
        <f>'Adjusted Consumption'!K10*ramps!L19*1000</f>
        <v>5.2101154627140449</v>
      </c>
      <c r="L10" s="306">
        <f>'Adjusted Consumption'!L10*ramps!M19*1000</f>
        <v>5.4864997559060011</v>
      </c>
      <c r="M10" s="306">
        <f>'Adjusted Consumption'!M10*ramps!N19*1000</f>
        <v>5.7478354710710962</v>
      </c>
      <c r="N10" s="306">
        <f>'Adjusted Consumption'!N10*ramps!O19*1000</f>
        <v>5.9846592065807922</v>
      </c>
      <c r="O10" s="306">
        <f>'Adjusted Consumption'!O10*ramps!P19*1000</f>
        <v>6.2021872323891944</v>
      </c>
      <c r="P10" s="306">
        <f>'Adjusted Consumption'!P10*ramps!Q19*1000</f>
        <v>6.1695235913053592</v>
      </c>
      <c r="Q10" s="306">
        <f>'Adjusted Consumption'!Q10*ramps!R19*1000</f>
        <v>6.0202328837112216</v>
      </c>
      <c r="R10" s="306">
        <f>'Adjusted Consumption'!R10*ramps!S19*1000</f>
        <v>5.8717606449446134</v>
      </c>
      <c r="S10" s="306">
        <f>'Adjusted Consumption'!S10*ramps!T19*1000</f>
        <v>5.7268864452008001</v>
      </c>
      <c r="T10" s="306">
        <f>'Adjusted Consumption'!T10*ramps!U19*1000</f>
        <v>5.5912021509451897</v>
      </c>
      <c r="U10" s="306">
        <f>'Adjusted Consumption'!U10*ramps!V19*1000</f>
        <v>5.4585708081813014</v>
      </c>
      <c r="V10" s="306">
        <f>'Adjusted Consumption'!V10*ramps!W19*1000</f>
        <v>5.3449605333229435</v>
      </c>
      <c r="W10" s="306">
        <f>'Adjusted Consumption'!W10*ramps!X19*1000</f>
        <v>5.2320669452691924</v>
      </c>
      <c r="X10" s="306">
        <f>'Adjusted Consumption'!X10*ramps!Y19*1000</f>
        <v>5.1186457782437733</v>
      </c>
      <c r="Y10" s="306">
        <f>'Adjusted Consumption'!Y10*ramps!Z19*1000</f>
        <v>5.0064261013139841</v>
      </c>
      <c r="Z10" s="306">
        <f>'Adjusted Consumption'!Z10*ramps!AA19*1000</f>
        <v>4.894974227830394</v>
      </c>
      <c r="AA10" s="306">
        <f>'Adjusted Consumption'!AA10*ramps!AB19*1000</f>
        <v>4.7881124184646549</v>
      </c>
      <c r="AB10" s="306">
        <f>'Adjusted Consumption'!AB10*ramps!AC19*1000</f>
        <v>4.6838534784518426</v>
      </c>
      <c r="AC10" s="306">
        <f>'Adjusted Consumption'!AC10*ramps!AD19*1000</f>
        <v>4.5795792281790719</v>
      </c>
      <c r="AD10" s="306">
        <f>'Adjusted Consumption'!AD10*ramps!AE19*1000</f>
        <v>4.4749025899665327</v>
      </c>
      <c r="AE10" s="306">
        <f>'Adjusted Consumption'!AE10*ramps!AF19*1000</f>
        <v>4.3725463035018262</v>
      </c>
      <c r="AF10" s="306">
        <f>'Adjusted Consumption'!AF10*ramps!AG19*1000</f>
        <v>4.2727372881980736</v>
      </c>
      <c r="AG10" s="329"/>
    </row>
    <row r="11" spans="1:33">
      <c r="A11" s="15" t="s">
        <v>24</v>
      </c>
      <c r="B11" s="306">
        <f>'Adjusted Consumption'!B11*ramps!C16*1000</f>
        <v>44.841034244770576</v>
      </c>
      <c r="C11" s="306">
        <f>'Adjusted Consumption'!C11*ramps!D16*1000</f>
        <v>57.947578357862334</v>
      </c>
      <c r="D11" s="306">
        <f>'Adjusted Consumption'!D11*ramps!E16*1000</f>
        <v>70.846892973358166</v>
      </c>
      <c r="E11" s="306">
        <f>'Adjusted Consumption'!E11*ramps!F16*1000</f>
        <v>83.504554653257131</v>
      </c>
      <c r="F11" s="306">
        <f>'Adjusted Consumption'!F11*ramps!G16*1000</f>
        <v>96.861230476149245</v>
      </c>
      <c r="G11" s="306">
        <f>'Adjusted Consumption'!G11*ramps!H16*1000</f>
        <v>109.49155331521462</v>
      </c>
      <c r="H11" s="306">
        <f>'Adjusted Consumption'!H11*ramps!I16*1000</f>
        <v>121.24146827443533</v>
      </c>
      <c r="I11" s="306">
        <f>'Adjusted Consumption'!I11*ramps!J16*1000</f>
        <v>132.31032277654327</v>
      </c>
      <c r="J11" s="306">
        <f>'Adjusted Consumption'!J11*ramps!K16*1000</f>
        <v>143.06398646382101</v>
      </c>
      <c r="K11" s="306">
        <f>'Adjusted Consumption'!K11*ramps!L16*1000</f>
        <v>153.77021787210694</v>
      </c>
      <c r="L11" s="306">
        <f>'Adjusted Consumption'!L11*ramps!M16*1000</f>
        <v>163.40603047777162</v>
      </c>
      <c r="M11" s="306">
        <f>'Adjusted Consumption'!M11*ramps!N16*1000</f>
        <v>173.27077672979908</v>
      </c>
      <c r="N11" s="306">
        <f>'Adjusted Consumption'!N11*ramps!O16*1000</f>
        <v>182.9256651437353</v>
      </c>
      <c r="O11" s="306">
        <f>'Adjusted Consumption'!O11*ramps!P16*1000</f>
        <v>192.26226228089757</v>
      </c>
      <c r="P11" s="306">
        <f>'Adjusted Consumption'!P11*ramps!Q16*1000</f>
        <v>194.36208906480903</v>
      </c>
      <c r="Q11" s="306">
        <f>'Adjusted Consumption'!Q11*ramps!R16*1000</f>
        <v>192.97764221645477</v>
      </c>
      <c r="R11" s="306">
        <f>'Adjusted Consumption'!R11*ramps!S16*1000</f>
        <v>191.67943891501187</v>
      </c>
      <c r="S11" s="306">
        <f>'Adjusted Consumption'!S11*ramps!T16*1000</f>
        <v>190.3032511391761</v>
      </c>
      <c r="T11" s="306">
        <f>'Adjusted Consumption'!T11*ramps!U16*1000</f>
        <v>188.88221938647823</v>
      </c>
      <c r="U11" s="306">
        <f>'Adjusted Consumption'!U11*ramps!V16*1000</f>
        <v>187.4405027425164</v>
      </c>
      <c r="V11" s="306">
        <f>'Adjusted Consumption'!V11*ramps!W16*1000</f>
        <v>186.76229786053568</v>
      </c>
      <c r="W11" s="306">
        <f>'Adjusted Consumption'!W11*ramps!X16*1000</f>
        <v>186.06933205481573</v>
      </c>
      <c r="X11" s="306">
        <f>'Adjusted Consumption'!X11*ramps!Y16*1000</f>
        <v>185.29540831917822</v>
      </c>
      <c r="Y11" s="306">
        <f>'Adjusted Consumption'!Y11*ramps!Z16*1000</f>
        <v>184.48295593953236</v>
      </c>
      <c r="Z11" s="306">
        <f>'Adjusted Consumption'!Z11*ramps!AA16*1000</f>
        <v>183.59724466492904</v>
      </c>
      <c r="AA11" s="306">
        <f>'Adjusted Consumption'!AA11*ramps!AB16*1000</f>
        <v>182.73680781335949</v>
      </c>
      <c r="AB11" s="306">
        <f>'Adjusted Consumption'!AB11*ramps!AC16*1000</f>
        <v>181.86577768425389</v>
      </c>
      <c r="AC11" s="306">
        <f>'Adjusted Consumption'!AC11*ramps!AD16*1000</f>
        <v>180.9849078639987</v>
      </c>
      <c r="AD11" s="306">
        <f>'Adjusted Consumption'!AD11*ramps!AE16*1000</f>
        <v>180.02737485931354</v>
      </c>
      <c r="AE11" s="306">
        <f>'Adjusted Consumption'!AE11*ramps!AF16*1000</f>
        <v>179.03916265931412</v>
      </c>
      <c r="AF11" s="306">
        <f>'Adjusted Consumption'!AF11*ramps!AG16*1000</f>
        <v>177.98850316021785</v>
      </c>
      <c r="AG11" s="329"/>
    </row>
    <row r="12" spans="1:33">
      <c r="A12" s="15" t="s">
        <v>1121</v>
      </c>
      <c r="B12" s="306">
        <v>0</v>
      </c>
      <c r="C12" s="306">
        <v>0</v>
      </c>
      <c r="D12" s="306">
        <v>0</v>
      </c>
      <c r="E12" s="306">
        <v>0</v>
      </c>
      <c r="F12" s="306">
        <v>0</v>
      </c>
      <c r="G12" s="306">
        <v>0</v>
      </c>
      <c r="H12" s="306">
        <v>0</v>
      </c>
      <c r="I12" s="306">
        <v>0</v>
      </c>
      <c r="J12" s="306">
        <v>0</v>
      </c>
      <c r="K12" s="306">
        <v>0</v>
      </c>
      <c r="L12" s="306">
        <v>0</v>
      </c>
      <c r="M12" s="306">
        <v>0</v>
      </c>
      <c r="N12" s="306">
        <v>0</v>
      </c>
      <c r="O12" s="306">
        <v>0</v>
      </c>
      <c r="P12" s="306">
        <v>0</v>
      </c>
      <c r="Q12" s="306">
        <v>0</v>
      </c>
      <c r="R12" s="306">
        <v>0</v>
      </c>
      <c r="S12" s="306">
        <v>0</v>
      </c>
      <c r="T12" s="306">
        <v>0</v>
      </c>
      <c r="U12" s="306">
        <v>0</v>
      </c>
      <c r="V12" s="306">
        <v>0</v>
      </c>
      <c r="W12" s="306">
        <v>0</v>
      </c>
      <c r="X12" s="306">
        <v>0</v>
      </c>
      <c r="Y12" s="306">
        <v>0</v>
      </c>
      <c r="Z12" s="306">
        <v>0</v>
      </c>
      <c r="AA12" s="306">
        <v>0</v>
      </c>
      <c r="AB12" s="306">
        <v>0</v>
      </c>
      <c r="AC12" s="306">
        <v>0</v>
      </c>
      <c r="AD12" s="306">
        <v>0</v>
      </c>
      <c r="AE12" s="306">
        <v>0</v>
      </c>
      <c r="AF12" s="306">
        <v>0</v>
      </c>
      <c r="AG12" s="329"/>
    </row>
    <row r="13" spans="1:33">
      <c r="A13" s="15" t="s">
        <v>25</v>
      </c>
      <c r="B13" s="306">
        <f>B80*'Adjusted Consumption'!B220</f>
        <v>35.973000194995969</v>
      </c>
      <c r="C13" s="306">
        <f>C80*'Adjusted Consumption'!C220</f>
        <v>45.817810403078006</v>
      </c>
      <c r="D13" s="306">
        <f>D80*'Adjusted Consumption'!D220</f>
        <v>46.879049863037508</v>
      </c>
      <c r="E13" s="306">
        <f>E80*'Adjusted Consumption'!E220</f>
        <v>45.758230718408939</v>
      </c>
      <c r="F13" s="306">
        <f>F80*'Adjusted Consumption'!F220</f>
        <v>39.57878880284499</v>
      </c>
      <c r="G13" s="306">
        <f>G80*'Adjusted Consumption'!G220</f>
        <v>29.156872211309945</v>
      </c>
      <c r="H13" s="306">
        <f>H80*'Adjusted Consumption'!H220</f>
        <v>33.856499787464863</v>
      </c>
      <c r="I13" s="306">
        <f>I80*'Adjusted Consumption'!I220</f>
        <v>36.099339411001182</v>
      </c>
      <c r="J13" s="306">
        <f>J80*'Adjusted Consumption'!J220</f>
        <v>39.225567486502449</v>
      </c>
      <c r="K13" s="306">
        <f>K80*'Adjusted Consumption'!K220</f>
        <v>43.322512348137082</v>
      </c>
      <c r="L13" s="306">
        <f>L80*'Adjusted Consumption'!L220</f>
        <v>45.986857916932848</v>
      </c>
      <c r="M13" s="306">
        <f>M80*'Adjusted Consumption'!M220</f>
        <v>48.68706303272517</v>
      </c>
      <c r="N13" s="306">
        <f>N80*'Adjusted Consumption'!N220</f>
        <v>50.074026729324203</v>
      </c>
      <c r="O13" s="306">
        <f>O80*'Adjusted Consumption'!O220</f>
        <v>49.262752520480547</v>
      </c>
      <c r="P13" s="306">
        <f>P80*'Adjusted Consumption'!P220</f>
        <v>46.163862858004897</v>
      </c>
      <c r="Q13" s="306">
        <f>Q80*'Adjusted Consumption'!Q220</f>
        <v>42.066259754441553</v>
      </c>
      <c r="R13" s="306">
        <f>R80*'Adjusted Consumption'!R220</f>
        <v>37.827652274545919</v>
      </c>
      <c r="S13" s="306">
        <f>S80*'Adjusted Consumption'!S220</f>
        <v>33.647091279073422</v>
      </c>
      <c r="T13" s="306">
        <f>T80*'Adjusted Consumption'!T220</f>
        <v>29.460416800181964</v>
      </c>
      <c r="U13" s="306">
        <f>U80*'Adjusted Consumption'!U220</f>
        <v>25.267646589038989</v>
      </c>
      <c r="V13" s="306">
        <f>V80*'Adjusted Consumption'!V220</f>
        <v>21.068786416122276</v>
      </c>
      <c r="W13" s="306">
        <f>W80*'Adjusted Consumption'!W220</f>
        <v>16.865149197319912</v>
      </c>
      <c r="X13" s="306">
        <f>X80*'Adjusted Consumption'!X220</f>
        <v>12.656022853927212</v>
      </c>
      <c r="Y13" s="306">
        <f>Y80*'Adjusted Consumption'!Y220</f>
        <v>8.4418260135293011</v>
      </c>
      <c r="Z13" s="306">
        <f>Z80*'Adjusted Consumption'!Z220</f>
        <v>4.2230469456634721</v>
      </c>
      <c r="AA13" s="306">
        <f>AA80*'Adjusted Consumption'!AA220</f>
        <v>0</v>
      </c>
      <c r="AB13" s="306">
        <f>AB80*'Adjusted Consumption'!AB220</f>
        <v>0</v>
      </c>
      <c r="AC13" s="306">
        <f>AC80*'Adjusted Consumption'!AC220</f>
        <v>0</v>
      </c>
      <c r="AD13" s="306">
        <f>AD80*'Adjusted Consumption'!AD220</f>
        <v>0</v>
      </c>
      <c r="AE13" s="306">
        <f>AE80*'Adjusted Consumption'!AE220</f>
        <v>0</v>
      </c>
      <c r="AF13" s="306">
        <f>AF80*'Adjusted Consumption'!AF220</f>
        <v>0</v>
      </c>
      <c r="AG13" s="329"/>
    </row>
    <row r="14" spans="1:33">
      <c r="A14" s="15" t="s">
        <v>26</v>
      </c>
      <c r="B14" s="306">
        <f t="shared" ref="B14:V14" si="0">SUM(B8:B13)</f>
        <v>86.473772029268446</v>
      </c>
      <c r="C14" s="306">
        <f t="shared" si="0"/>
        <v>110.91887963010936</v>
      </c>
      <c r="D14" s="306">
        <f t="shared" si="0"/>
        <v>126.30423128035514</v>
      </c>
      <c r="E14" s="306">
        <f t="shared" si="0"/>
        <v>139.20306719569589</v>
      </c>
      <c r="F14" s="306">
        <f t="shared" si="0"/>
        <v>147.67252123623001</v>
      </c>
      <c r="G14" s="306">
        <f t="shared" si="0"/>
        <v>151.12196236663254</v>
      </c>
      <c r="H14" s="306">
        <f t="shared" si="0"/>
        <v>168.75883055924109</v>
      </c>
      <c r="I14" s="306">
        <f t="shared" si="0"/>
        <v>183.2170995768877</v>
      </c>
      <c r="J14" s="306">
        <f t="shared" si="0"/>
        <v>198.2266441876329</v>
      </c>
      <c r="K14" s="306">
        <f t="shared" si="0"/>
        <v>214.0712734079691</v>
      </c>
      <c r="L14" s="306">
        <f t="shared" si="0"/>
        <v>227.42261490032138</v>
      </c>
      <c r="M14" s="306">
        <f t="shared" si="0"/>
        <v>241.03031521582838</v>
      </c>
      <c r="N14" s="306">
        <f t="shared" si="0"/>
        <v>253.08770035050233</v>
      </c>
      <c r="O14" s="306">
        <f t="shared" si="0"/>
        <v>262.59902476577963</v>
      </c>
      <c r="P14" s="306">
        <f t="shared" si="0"/>
        <v>261.74532184119033</v>
      </c>
      <c r="Q14" s="306">
        <f t="shared" si="0"/>
        <v>256.00779489614013</v>
      </c>
      <c r="R14" s="306">
        <f t="shared" si="0"/>
        <v>250.22929317345083</v>
      </c>
      <c r="S14" s="306">
        <f t="shared" si="0"/>
        <v>244.4423292772758</v>
      </c>
      <c r="T14" s="306">
        <f t="shared" si="0"/>
        <v>238.62646335075033</v>
      </c>
      <c r="U14" s="306">
        <f t="shared" si="0"/>
        <v>232.79768503862107</v>
      </c>
      <c r="V14" s="306">
        <f t="shared" si="0"/>
        <v>227.77849819619755</v>
      </c>
      <c r="W14" s="306">
        <f t="shared" ref="W14:AF14" si="1">SUM(W8:W13)</f>
        <v>222.75050225741225</v>
      </c>
      <c r="X14" s="306">
        <f t="shared" si="1"/>
        <v>217.6333646580178</v>
      </c>
      <c r="Y14" s="306">
        <f t="shared" si="1"/>
        <v>212.47804652919757</v>
      </c>
      <c r="Z14" s="306">
        <f t="shared" si="1"/>
        <v>207.2467496274532</v>
      </c>
      <c r="AA14" s="306">
        <f t="shared" si="1"/>
        <v>202.05205750138583</v>
      </c>
      <c r="AB14" s="306">
        <f t="shared" si="1"/>
        <v>201.08032758407037</v>
      </c>
      <c r="AC14" s="306">
        <f t="shared" si="1"/>
        <v>200.10537581461767</v>
      </c>
      <c r="AD14" s="306">
        <f t="shared" si="1"/>
        <v>199.05706188675703</v>
      </c>
      <c r="AE14" s="306">
        <f t="shared" si="1"/>
        <v>197.98828896461907</v>
      </c>
      <c r="AF14" s="306">
        <f t="shared" si="1"/>
        <v>196.86653227403005</v>
      </c>
      <c r="AG14" s="329"/>
    </row>
    <row r="15" spans="1:33">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29"/>
    </row>
    <row r="16" spans="1:33" s="5" customFormat="1" ht="13">
      <c r="A16" s="250" t="s">
        <v>27</v>
      </c>
      <c r="B16" s="380"/>
      <c r="C16" s="380"/>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1"/>
    </row>
    <row r="17" spans="1:33" s="396" customFormat="1" ht="12.9" customHeight="1">
      <c r="A17" s="253" t="s">
        <v>199</v>
      </c>
      <c r="B17" s="253">
        <v>2020</v>
      </c>
      <c r="C17" s="253">
        <v>2021</v>
      </c>
      <c r="D17" s="253">
        <v>2022</v>
      </c>
      <c r="E17" s="253">
        <v>2023</v>
      </c>
      <c r="F17" s="253">
        <v>2024</v>
      </c>
      <c r="G17" s="253">
        <v>2025</v>
      </c>
      <c r="H17" s="253">
        <v>2026</v>
      </c>
      <c r="I17" s="253">
        <v>2027</v>
      </c>
      <c r="J17" s="253">
        <v>2028</v>
      </c>
      <c r="K17" s="253">
        <v>2029</v>
      </c>
      <c r="L17" s="253">
        <v>2030</v>
      </c>
      <c r="M17" s="253">
        <v>2031</v>
      </c>
      <c r="N17" s="253">
        <v>2032</v>
      </c>
      <c r="O17" s="253">
        <v>2033</v>
      </c>
      <c r="P17" s="253">
        <v>2034</v>
      </c>
      <c r="Q17" s="253">
        <v>2035</v>
      </c>
      <c r="R17" s="253">
        <v>2036</v>
      </c>
      <c r="S17" s="253">
        <v>2037</v>
      </c>
      <c r="T17" s="253">
        <v>2038</v>
      </c>
      <c r="U17" s="253">
        <v>2039</v>
      </c>
      <c r="V17" s="253">
        <v>2040</v>
      </c>
      <c r="W17" s="253">
        <v>2041</v>
      </c>
      <c r="X17" s="253">
        <v>2042</v>
      </c>
      <c r="Y17" s="253">
        <v>2043</v>
      </c>
      <c r="Z17" s="253">
        <v>2044</v>
      </c>
      <c r="AA17" s="253">
        <v>2045</v>
      </c>
      <c r="AB17" s="253">
        <v>2046</v>
      </c>
      <c r="AC17" s="253">
        <v>2047</v>
      </c>
      <c r="AD17" s="253">
        <v>2048</v>
      </c>
      <c r="AE17" s="253">
        <v>2049</v>
      </c>
      <c r="AF17" s="253">
        <v>2050</v>
      </c>
    </row>
    <row r="18" spans="1:33">
      <c r="A18" s="15" t="s">
        <v>22</v>
      </c>
      <c r="B18" s="306">
        <f>'Adjusted Consumption'!B28*ramps!C21*1000</f>
        <v>2.2495146454580954</v>
      </c>
      <c r="C18" s="306">
        <f>'Adjusted Consumption'!C28*ramps!D21*1000</f>
        <v>2.949427791319795</v>
      </c>
      <c r="D18" s="306">
        <f>'Adjusted Consumption'!D28*ramps!E21*1000</f>
        <v>3.6491578295911538</v>
      </c>
      <c r="E18" s="306">
        <f>'Adjusted Consumption'!E28*ramps!F21*1000</f>
        <v>4.3623376981011477</v>
      </c>
      <c r="F18" s="306">
        <f>'Adjusted Consumption'!F28*ramps!G21*1000</f>
        <v>5.0747544399556821</v>
      </c>
      <c r="G18" s="306">
        <f>'Adjusted Consumption'!G28*ramps!H21*1000</f>
        <v>5.7897710539161702</v>
      </c>
      <c r="H18" s="306">
        <f>'Adjusted Consumption'!H28*ramps!I21*1000</f>
        <v>6.5184223327757289</v>
      </c>
      <c r="I18" s="306">
        <f>'Adjusted Consumption'!I28*ramps!J21*1000</f>
        <v>7.2626356850111318</v>
      </c>
      <c r="J18" s="306">
        <f>'Adjusted Consumption'!J28*ramps!K21*1000</f>
        <v>8.0207630940688919</v>
      </c>
      <c r="K18" s="306">
        <f>'Adjusted Consumption'!K28*ramps!L21*1000</f>
        <v>8.636995782889958</v>
      </c>
      <c r="L18" s="306">
        <f>'Adjusted Consumption'!L28*ramps!M21*1000</f>
        <v>9.4149119347111991</v>
      </c>
      <c r="M18" s="306">
        <f>'Adjusted Consumption'!M28*ramps!N21*1000</f>
        <v>10.178858006242491</v>
      </c>
      <c r="N18" s="306">
        <f>'Adjusted Consumption'!N28*ramps!O21*1000</f>
        <v>10.958067357275961</v>
      </c>
      <c r="O18" s="306">
        <f>'Adjusted Consumption'!O28*ramps!P21*1000</f>
        <v>11.735998304164408</v>
      </c>
      <c r="P18" s="306">
        <f>'Adjusted Consumption'!P28*ramps!Q21*1000</f>
        <v>12.054938890467854</v>
      </c>
      <c r="Q18" s="306">
        <f>'Adjusted Consumption'!Q28*ramps!R21*1000</f>
        <v>12.143264194566665</v>
      </c>
      <c r="R18" s="306">
        <f>'Adjusted Consumption'!R28*ramps!S21*1000</f>
        <v>12.231223365661267</v>
      </c>
      <c r="S18" s="306">
        <f>'Adjusted Consumption'!S28*ramps!T21*1000</f>
        <v>12.323489783356488</v>
      </c>
      <c r="T18" s="306">
        <f>'Adjusted Consumption'!T28*ramps!U21*1000</f>
        <v>12.418170954913482</v>
      </c>
      <c r="U18" s="306">
        <f>'Adjusted Consumption'!U28*ramps!V21*1000</f>
        <v>12.513344760785088</v>
      </c>
      <c r="V18" s="306">
        <f>'Adjusted Consumption'!V28*ramps!W21*1000</f>
        <v>12.634990764560373</v>
      </c>
      <c r="W18" s="306">
        <f>'Adjusted Consumption'!W28*ramps!X21*1000</f>
        <v>12.761467410140893</v>
      </c>
      <c r="X18" s="306">
        <f>'Adjusted Consumption'!X28*ramps!Y21*1000</f>
        <v>12.875704152185513</v>
      </c>
      <c r="Y18" s="306">
        <f>'Adjusted Consumption'!Y28*ramps!Z21*1000</f>
        <v>12.984648059717321</v>
      </c>
      <c r="Z18" s="306">
        <f>'Adjusted Consumption'!Z28*ramps!AA21*1000</f>
        <v>13.08992613975937</v>
      </c>
      <c r="AA18" s="306">
        <f>'Adjusted Consumption'!AA28*ramps!AB21*1000</f>
        <v>13.195137790259841</v>
      </c>
      <c r="AB18" s="306">
        <f>'Adjusted Consumption'!AB28*ramps!AC21*1000</f>
        <v>13.300105464365901</v>
      </c>
      <c r="AC18" s="306">
        <f>'Adjusted Consumption'!AC28*ramps!AD21*1000</f>
        <v>13.402571283397069</v>
      </c>
      <c r="AD18" s="306">
        <f>'Adjusted Consumption'!AD28*ramps!AE21*1000</f>
        <v>13.502835282196394</v>
      </c>
      <c r="AE18" s="306">
        <f>'Adjusted Consumption'!AE28*ramps!AF21*1000</f>
        <v>13.603578883228687</v>
      </c>
      <c r="AF18" s="306">
        <f>'Adjusted Consumption'!AF28*ramps!AG21*1000</f>
        <v>13.705312618608255</v>
      </c>
      <c r="AG18" s="329"/>
    </row>
    <row r="19" spans="1:33">
      <c r="A19" s="15" t="s">
        <v>1122</v>
      </c>
      <c r="B19" s="306">
        <f>'Adjusted Consumption'!B29*ramps!C15*1000</f>
        <v>0.38674799969821477</v>
      </c>
      <c r="C19" s="306">
        <f>'Adjusted Consumption'!C29*ramps!D15*1000</f>
        <v>0.50150432182384708</v>
      </c>
      <c r="D19" s="306">
        <f>'Adjusted Consumption'!D29*ramps!E15*1000</f>
        <v>0.61511958108961029</v>
      </c>
      <c r="E19" s="306">
        <f>'Adjusted Consumption'!E29*ramps!F15*1000</f>
        <v>0.72732002474748347</v>
      </c>
      <c r="F19" s="306">
        <f>'Adjusted Consumption'!F29*ramps!G15*1000</f>
        <v>0.83904482135825786</v>
      </c>
      <c r="G19" s="306">
        <f>'Adjusted Consumption'!G29*ramps!H15*1000</f>
        <v>0.94801875277303094</v>
      </c>
      <c r="H19" s="306">
        <f>'Adjusted Consumption'!H29*ramps!I15*1000</f>
        <v>1.0548257684554465</v>
      </c>
      <c r="I19" s="306">
        <f>'Adjusted Consumption'!I29*ramps!J15*1000</f>
        <v>1.1592675483001358</v>
      </c>
      <c r="J19" s="306">
        <f>'Adjusted Consumption'!J29*ramps!K15*1000</f>
        <v>1.2612589965197127</v>
      </c>
      <c r="K19" s="306">
        <f>'Adjusted Consumption'!K29*ramps!L15*1000</f>
        <v>1.3612582084559373</v>
      </c>
      <c r="L19" s="306">
        <f>'Adjusted Consumption'!L29*ramps!M15*1000</f>
        <v>1.4656656202980207</v>
      </c>
      <c r="M19" s="306">
        <f>'Adjusted Consumption'!M29*ramps!N15*1000</f>
        <v>1.569884044805312</v>
      </c>
      <c r="N19" s="306">
        <f>'Adjusted Consumption'!N29*ramps!O15*1000</f>
        <v>1.6727032440072807</v>
      </c>
      <c r="O19" s="306">
        <f>'Adjusted Consumption'!O29*ramps!P15*1000</f>
        <v>1.7744166218278119</v>
      </c>
      <c r="P19" s="306">
        <f>'Adjusted Consumption'!P29*ramps!Q15*1000</f>
        <v>1.8087565272724251</v>
      </c>
      <c r="Q19" s="306">
        <f>'Adjusted Consumption'!Q29*ramps!R15*1000</f>
        <v>1.8092947695750492</v>
      </c>
      <c r="R19" s="306">
        <f>'Adjusted Consumption'!R29*ramps!S15*1000</f>
        <v>1.8094279202704078</v>
      </c>
      <c r="S19" s="306">
        <f>'Adjusted Consumption'!S29*ramps!T15*1000</f>
        <v>1.8109393920221004</v>
      </c>
      <c r="T19" s="306">
        <f>'Adjusted Consumption'!T29*ramps!U15*1000</f>
        <v>1.8113318657074122</v>
      </c>
      <c r="U19" s="306">
        <f>'Adjusted Consumption'!U29*ramps!V15*1000</f>
        <v>1.81207166621946</v>
      </c>
      <c r="V19" s="306">
        <f>'Adjusted Consumption'!V29*ramps!W15*1000</f>
        <v>1.8129225343850404</v>
      </c>
      <c r="W19" s="306">
        <f>'Adjusted Consumption'!W29*ramps!X15*1000</f>
        <v>1.8135672767337772</v>
      </c>
      <c r="X19" s="306">
        <f>'Adjusted Consumption'!X29*ramps!Y15*1000</f>
        <v>1.8140391753552316</v>
      </c>
      <c r="Y19" s="306">
        <f>'Adjusted Consumption'!Y29*ramps!Z15*1000</f>
        <v>1.8143293070072055</v>
      </c>
      <c r="Z19" s="306">
        <f>'Adjusted Consumption'!Z29*ramps!AA15*1000</f>
        <v>1.8146069571401675</v>
      </c>
      <c r="AA19" s="306">
        <f>'Adjusted Consumption'!AA29*ramps!AB15*1000</f>
        <v>1.8150485886744405</v>
      </c>
      <c r="AB19" s="306">
        <f>'Adjusted Consumption'!AB29*ramps!AC15*1000</f>
        <v>1.8147210179353321</v>
      </c>
      <c r="AC19" s="306">
        <f>'Adjusted Consumption'!AC29*ramps!AD15*1000</f>
        <v>1.8151990312645705</v>
      </c>
      <c r="AD19" s="306">
        <f>'Adjusted Consumption'!AD29*ramps!AE15*1000</f>
        <v>1.8158511453729402</v>
      </c>
      <c r="AE19" s="306">
        <f>'Adjusted Consumption'!AE29*ramps!AF15*1000</f>
        <v>1.8159987311376824</v>
      </c>
      <c r="AF19" s="306">
        <f>'Adjusted Consumption'!AF29*ramps!AG15*1000</f>
        <v>1.8163602182927931</v>
      </c>
      <c r="AG19" s="329"/>
    </row>
    <row r="20" spans="1:33">
      <c r="A20" s="15" t="s">
        <v>54</v>
      </c>
      <c r="B20" s="306">
        <f>'Adjusted Consumption'!B30*ramps!C19*1000</f>
        <v>4.7883839290287437E-2</v>
      </c>
      <c r="C20" s="306">
        <f>'Adjusted Consumption'!C30*ramps!D19*1000</f>
        <v>4.597028499571483E-2</v>
      </c>
      <c r="D20" s="306">
        <f>'Adjusted Consumption'!D30*ramps!E19*1000</f>
        <v>3.8211885419896494E-2</v>
      </c>
      <c r="E20" s="306">
        <f>'Adjusted Consumption'!E30*ramps!F19*1000</f>
        <v>4.6974589007136726E-2</v>
      </c>
      <c r="F20" s="306">
        <f>'Adjusted Consumption'!F30*ramps!G19*1000</f>
        <v>5.2171972753983213E-2</v>
      </c>
      <c r="G20" s="306">
        <f>'Adjusted Consumption'!G30*ramps!H19*1000</f>
        <v>6.2235380165884806E-2</v>
      </c>
      <c r="H20" s="306">
        <f>'Adjusted Consumption'!H30*ramps!I19*1000</f>
        <v>7.2978377929267035E-2</v>
      </c>
      <c r="I20" s="306">
        <f>'Adjusted Consumption'!I30*ramps!J19*1000</f>
        <v>8.3522519339893395E-2</v>
      </c>
      <c r="J20" s="306">
        <f>'Adjusted Consumption'!J30*ramps!K19*1000</f>
        <v>9.4777592242086997E-2</v>
      </c>
      <c r="K20" s="306">
        <f>'Adjusted Consumption'!K30*ramps!L19*1000</f>
        <v>0.10442233096369162</v>
      </c>
      <c r="L20" s="306">
        <f>'Adjusted Consumption'!L30*ramps!M19*1000</f>
        <v>0.11687040618971742</v>
      </c>
      <c r="M20" s="306">
        <f>'Adjusted Consumption'!M30*ramps!N19*1000</f>
        <v>0.12900710972216409</v>
      </c>
      <c r="N20" s="306">
        <f>'Adjusted Consumption'!N30*ramps!O19*1000</f>
        <v>0.14213015237802407</v>
      </c>
      <c r="O20" s="306">
        <f>'Adjusted Consumption'!O30*ramps!P19*1000</f>
        <v>0.15498885712077476</v>
      </c>
      <c r="P20" s="306">
        <f>'Adjusted Consumption'!P30*ramps!Q19*1000</f>
        <v>0.16198107565954373</v>
      </c>
      <c r="Q20" s="306">
        <f>'Adjusted Consumption'!Q30*ramps!R19*1000</f>
        <v>0.16663118802567964</v>
      </c>
      <c r="R20" s="306">
        <f>'Adjusted Consumption'!R30*ramps!S19*1000</f>
        <v>0.17133001548917545</v>
      </c>
      <c r="S20" s="306">
        <f>'Adjusted Consumption'!S30*ramps!T19*1000</f>
        <v>0.17349201733493738</v>
      </c>
      <c r="T20" s="306">
        <f>'Adjusted Consumption'!T30*ramps!U19*1000</f>
        <v>0.17742629600712437</v>
      </c>
      <c r="U20" s="306">
        <f>'Adjusted Consumption'!U30*ramps!V19*1000</f>
        <v>0.18136410948368564</v>
      </c>
      <c r="V20" s="306">
        <f>'Adjusted Consumption'!V30*ramps!W19*1000</f>
        <v>0.18605624876980512</v>
      </c>
      <c r="W20" s="306">
        <f>'Adjusted Consumption'!W30*ramps!X19*1000</f>
        <v>0.19040324963597025</v>
      </c>
      <c r="X20" s="306">
        <f>'Adjusted Consumption'!X30*ramps!Y19*1000</f>
        <v>0.19535471689236397</v>
      </c>
      <c r="Y20" s="306">
        <f>'Adjusted Consumption'!Y30*ramps!Z19*1000</f>
        <v>0.19948601282186534</v>
      </c>
      <c r="Z20" s="306">
        <f>'Adjusted Consumption'!Z30*ramps!AA19*1000</f>
        <v>0.20351333211381226</v>
      </c>
      <c r="AA20" s="306">
        <f>'Adjusted Consumption'!AA30*ramps!AB19*1000</f>
        <v>0.20786936129748271</v>
      </c>
      <c r="AB20" s="306">
        <f>'Adjusted Consumption'!AB30*ramps!AC19*1000</f>
        <v>0.21282764225689688</v>
      </c>
      <c r="AC20" s="306">
        <f>'Adjusted Consumption'!AC30*ramps!AD19*1000</f>
        <v>0.21632692848257531</v>
      </c>
      <c r="AD20" s="306">
        <f>'Adjusted Consumption'!AD30*ramps!AE19*1000</f>
        <v>0.21981547981670241</v>
      </c>
      <c r="AE20" s="306">
        <f>'Adjusted Consumption'!AE30*ramps!AF19*1000</f>
        <v>0.222517897040171</v>
      </c>
      <c r="AF20" s="306">
        <f>'Adjusted Consumption'!AF30*ramps!AG19*1000</f>
        <v>0.2265417116251584</v>
      </c>
      <c r="AG20" s="329" t="s">
        <v>1112</v>
      </c>
    </row>
    <row r="21" spans="1:33">
      <c r="A21" s="15" t="s">
        <v>23</v>
      </c>
      <c r="B21" s="306">
        <f>'Adjusted Consumption'!B31*ramps!C19*1000</f>
        <v>5.4119940849496748</v>
      </c>
      <c r="C21" s="306">
        <f>'Adjusted Consumption'!C31*ramps!D19*1000</f>
        <v>7.072341643786654</v>
      </c>
      <c r="D21" s="306">
        <f>'Adjusted Consumption'!D31*ramps!E19*1000</f>
        <v>8.7646750027316784</v>
      </c>
      <c r="E21" s="306">
        <f>'Adjusted Consumption'!E31*ramps!F19*1000</f>
        <v>10.473619407399806</v>
      </c>
      <c r="F21" s="306">
        <f>'Adjusted Consumption'!F31*ramps!G19*1000</f>
        <v>12.342312654079278</v>
      </c>
      <c r="G21" s="306">
        <f>'Adjusted Consumption'!G31*ramps!H19*1000</f>
        <v>14.130072479772506</v>
      </c>
      <c r="H21" s="306">
        <f>'Adjusted Consumption'!H31*ramps!I19*1000</f>
        <v>15.801768702321656</v>
      </c>
      <c r="I21" s="306">
        <f>'Adjusted Consumption'!I31*ramps!J19*1000</f>
        <v>17.37099394329675</v>
      </c>
      <c r="J21" s="306">
        <f>'Adjusted Consumption'!J31*ramps!K19*1000</f>
        <v>18.926278901996017</v>
      </c>
      <c r="K21" s="306">
        <f>'Adjusted Consumption'!K31*ramps!L19*1000</f>
        <v>20.321174067495729</v>
      </c>
      <c r="L21" s="306">
        <f>'Adjusted Consumption'!L31*ramps!M19*1000</f>
        <v>21.728326709705648</v>
      </c>
      <c r="M21" s="306">
        <f>'Adjusted Consumption'!M31*ramps!N19*1000</f>
        <v>23.175883809556474</v>
      </c>
      <c r="N21" s="306">
        <f>'Adjusted Consumption'!N31*ramps!O19*1000</f>
        <v>24.650108462320294</v>
      </c>
      <c r="O21" s="306">
        <f>'Adjusted Consumption'!O31*ramps!P19*1000</f>
        <v>26.101421382874626</v>
      </c>
      <c r="P21" s="306">
        <f>'Adjusted Consumption'!P31*ramps!Q19*1000</f>
        <v>26.542495644428477</v>
      </c>
      <c r="Q21" s="306">
        <f>'Adjusted Consumption'!Q31*ramps!R19*1000</f>
        <v>26.470089226130078</v>
      </c>
      <c r="R21" s="306">
        <f>'Adjusted Consumption'!R31*ramps!S19*1000</f>
        <v>26.397449915163634</v>
      </c>
      <c r="S21" s="306">
        <f>'Adjusted Consumption'!S31*ramps!T19*1000</f>
        <v>26.321919951388736</v>
      </c>
      <c r="T21" s="306">
        <f>'Adjusted Consumption'!T31*ramps!U19*1000</f>
        <v>26.261815531082963</v>
      </c>
      <c r="U21" s="306">
        <f>'Adjusted Consumption'!U31*ramps!V19*1000</f>
        <v>26.202699853487768</v>
      </c>
      <c r="V21" s="306">
        <f>'Adjusted Consumption'!V31*ramps!W19*1000</f>
        <v>26.217893058617435</v>
      </c>
      <c r="W21" s="306">
        <f>'Adjusted Consumption'!W31*ramps!X19*1000</f>
        <v>26.242172662748395</v>
      </c>
      <c r="X21" s="306">
        <f>'Adjusted Consumption'!X31*ramps!Y19*1000</f>
        <v>26.24120501807587</v>
      </c>
      <c r="Y21" s="306">
        <f>'Adjusted Consumption'!Y31*ramps!Z19*1000</f>
        <v>26.235447264350125</v>
      </c>
      <c r="Z21" s="306">
        <f>'Adjusted Consumption'!Z31*ramps!AA19*1000</f>
        <v>26.239361467572991</v>
      </c>
      <c r="AA21" s="306">
        <f>'Adjusted Consumption'!AA31*ramps!AB19*1000</f>
        <v>26.24266277649064</v>
      </c>
      <c r="AB21" s="306">
        <f>'Adjusted Consumption'!AB31*ramps!AC19*1000</f>
        <v>26.239838213753007</v>
      </c>
      <c r="AC21" s="306">
        <f>'Adjusted Consumption'!AC31*ramps!AD19*1000</f>
        <v>26.236775193286487</v>
      </c>
      <c r="AD21" s="306">
        <f>'Adjusted Consumption'!AD31*ramps!AE19*1000</f>
        <v>26.222243920385562</v>
      </c>
      <c r="AE21" s="306">
        <f>'Adjusted Consumption'!AE31*ramps!AF19*1000</f>
        <v>26.199522158323184</v>
      </c>
      <c r="AF21" s="306">
        <f>'Adjusted Consumption'!AF31*ramps!AG19*1000</f>
        <v>26.171600785050746</v>
      </c>
      <c r="AG21" s="329"/>
    </row>
    <row r="22" spans="1:33">
      <c r="A22" s="15" t="s">
        <v>29</v>
      </c>
      <c r="B22" s="306">
        <f>'Adjusted Consumption'!B32*ramps!C23*1000</f>
        <v>0</v>
      </c>
      <c r="C22" s="306">
        <f>'Adjusted Consumption'!C32*ramps!D23*1000</f>
        <v>0</v>
      </c>
      <c r="D22" s="306">
        <f>'Adjusted Consumption'!D32*ramps!E23*1000</f>
        <v>0</v>
      </c>
      <c r="E22" s="306">
        <f>'Adjusted Consumption'!E32*ramps!F23*1000</f>
        <v>0</v>
      </c>
      <c r="F22" s="306">
        <f>'Adjusted Consumption'!F32*ramps!G23*1000</f>
        <v>0</v>
      </c>
      <c r="G22" s="306">
        <f>'Adjusted Consumption'!G32*ramps!H23*1000</f>
        <v>0</v>
      </c>
      <c r="H22" s="306">
        <f>'Adjusted Consumption'!H32*ramps!I23*1000</f>
        <v>0</v>
      </c>
      <c r="I22" s="306">
        <f>'Adjusted Consumption'!I32*ramps!J23*1000</f>
        <v>0</v>
      </c>
      <c r="J22" s="306">
        <f>'Adjusted Consumption'!J32*ramps!K23*1000</f>
        <v>0</v>
      </c>
      <c r="K22" s="306">
        <f>'Adjusted Consumption'!K32*ramps!L23*1000</f>
        <v>0</v>
      </c>
      <c r="L22" s="306">
        <f>'Adjusted Consumption'!L32*ramps!M23*1000</f>
        <v>0</v>
      </c>
      <c r="M22" s="306">
        <f>'Adjusted Consumption'!M32*ramps!N23*1000</f>
        <v>0</v>
      </c>
      <c r="N22" s="306">
        <f>'Adjusted Consumption'!N32*ramps!O23*1000</f>
        <v>0</v>
      </c>
      <c r="O22" s="306">
        <f>'Adjusted Consumption'!O32*ramps!P23*1000</f>
        <v>0</v>
      </c>
      <c r="P22" s="306">
        <f>'Adjusted Consumption'!P32*ramps!Q23*1000</f>
        <v>0</v>
      </c>
      <c r="Q22" s="306">
        <f>'Adjusted Consumption'!Q32*ramps!R23*1000</f>
        <v>0</v>
      </c>
      <c r="R22" s="306">
        <f>'Adjusted Consumption'!R32*ramps!S23*1000</f>
        <v>0</v>
      </c>
      <c r="S22" s="306">
        <f>'Adjusted Consumption'!S32*ramps!T23*1000</f>
        <v>0</v>
      </c>
      <c r="T22" s="306">
        <f>'Adjusted Consumption'!T32*ramps!U23*1000</f>
        <v>0</v>
      </c>
      <c r="U22" s="306">
        <f>'Adjusted Consumption'!U32*ramps!V23*1000</f>
        <v>0</v>
      </c>
      <c r="V22" s="306">
        <f>'Adjusted Consumption'!V32*ramps!W23*1000</f>
        <v>0</v>
      </c>
      <c r="W22" s="306">
        <f>'Adjusted Consumption'!W32*ramps!X23*1000</f>
        <v>0</v>
      </c>
      <c r="X22" s="306">
        <f>'Adjusted Consumption'!X32*ramps!Y23*1000</f>
        <v>0</v>
      </c>
      <c r="Y22" s="306">
        <f>'Adjusted Consumption'!Y32*ramps!Z23*1000</f>
        <v>0</v>
      </c>
      <c r="Z22" s="306">
        <f>'Adjusted Consumption'!Z32*ramps!AA23*1000</f>
        <v>0</v>
      </c>
      <c r="AA22" s="306">
        <f>'Adjusted Consumption'!AA32*ramps!AB23*1000</f>
        <v>0</v>
      </c>
      <c r="AB22" s="306">
        <f>'Adjusted Consumption'!AB32*ramps!AC23*1000</f>
        <v>0</v>
      </c>
      <c r="AC22" s="306">
        <f>'Adjusted Consumption'!AC32*ramps!AD23*1000</f>
        <v>0</v>
      </c>
      <c r="AD22" s="306">
        <f>'Adjusted Consumption'!AD32*ramps!AE23*1000</f>
        <v>0</v>
      </c>
      <c r="AE22" s="306">
        <f>'Adjusted Consumption'!AE32*ramps!AF23*1000</f>
        <v>0</v>
      </c>
      <c r="AF22" s="306">
        <f>'Adjusted Consumption'!AF32*ramps!AG23*1000</f>
        <v>0</v>
      </c>
      <c r="AG22" s="329"/>
    </row>
    <row r="23" spans="1:33">
      <c r="A23" s="15" t="s">
        <v>24</v>
      </c>
      <c r="B23" s="306">
        <f>'Adjusted Consumption'!B33*ramps!C16*1000</f>
        <v>31.915311524426539</v>
      </c>
      <c r="C23" s="306">
        <f>'Adjusted Consumption'!C33*ramps!D16*1000</f>
        <v>41.530746155194443</v>
      </c>
      <c r="D23" s="306">
        <f>'Adjusted Consumption'!D33*ramps!E16*1000</f>
        <v>50.992799904741887</v>
      </c>
      <c r="E23" s="306">
        <f>'Adjusted Consumption'!E33*ramps!F16*1000</f>
        <v>60.177581035188311</v>
      </c>
      <c r="F23" s="306">
        <f>'Adjusted Consumption'!F33*ramps!G16*1000</f>
        <v>70.785383145479997</v>
      </c>
      <c r="G23" s="306">
        <f>'Adjusted Consumption'!G33*ramps!H16*1000</f>
        <v>80.913526713468627</v>
      </c>
      <c r="H23" s="306">
        <f>'Adjusted Consumption'!H33*ramps!I16*1000</f>
        <v>90.530684002424309</v>
      </c>
      <c r="I23" s="306">
        <f>'Adjusted Consumption'!I33*ramps!J16*1000</f>
        <v>99.847579479854858</v>
      </c>
      <c r="J23" s="306">
        <f>'Adjusted Consumption'!J33*ramps!K16*1000</f>
        <v>109.14374446434081</v>
      </c>
      <c r="K23" s="306">
        <f>'Adjusted Consumption'!K33*ramps!L16*1000</f>
        <v>117.60029793707365</v>
      </c>
      <c r="L23" s="306">
        <f>'Adjusted Consumption'!L33*ramps!M16*1000</f>
        <v>125.25446365195437</v>
      </c>
      <c r="M23" s="306">
        <f>'Adjusted Consumption'!M33*ramps!N16*1000</f>
        <v>133.40533939233171</v>
      </c>
      <c r="N23" s="306">
        <f>'Adjusted Consumption'!N33*ramps!O16*1000</f>
        <v>141.85189556109606</v>
      </c>
      <c r="O23" s="306">
        <f>'Adjusted Consumption'!O33*ramps!P16*1000</f>
        <v>150.20332519295172</v>
      </c>
      <c r="P23" s="306">
        <f>'Adjusted Consumption'!P33*ramps!Q16*1000</f>
        <v>153.11627998275358</v>
      </c>
      <c r="Q23" s="306">
        <f>'Adjusted Consumption'!Q33*ramps!R16*1000</f>
        <v>153.43414721321901</v>
      </c>
      <c r="R23" s="306">
        <f>'Adjusted Consumption'!R33*ramps!S16*1000</f>
        <v>154.01675977559015</v>
      </c>
      <c r="S23" s="306">
        <f>'Adjusted Consumption'!S33*ramps!T16*1000</f>
        <v>154.69076054500519</v>
      </c>
      <c r="T23" s="306">
        <f>'Adjusted Consumption'!T33*ramps!U16*1000</f>
        <v>155.31122331234758</v>
      </c>
      <c r="U23" s="306">
        <f>'Adjusted Consumption'!U33*ramps!V16*1000</f>
        <v>155.9112359233614</v>
      </c>
      <c r="V23" s="306">
        <f>'Adjusted Consumption'!V33*ramps!W16*1000</f>
        <v>157.17353399162468</v>
      </c>
      <c r="W23" s="306">
        <f>'Adjusted Consumption'!W33*ramps!X16*1000</f>
        <v>158.83661261964954</v>
      </c>
      <c r="X23" s="306">
        <f>'Adjusted Consumption'!X33*ramps!Y16*1000</f>
        <v>160.4779146961265</v>
      </c>
      <c r="Y23" s="306">
        <f>'Adjusted Consumption'!Y33*ramps!Z16*1000</f>
        <v>162.07335997849907</v>
      </c>
      <c r="Z23" s="306">
        <f>'Adjusted Consumption'!Z33*ramps!AA16*1000</f>
        <v>163.60281988491556</v>
      </c>
      <c r="AA23" s="306">
        <f>'Adjusted Consumption'!AA33*ramps!AB16*1000</f>
        <v>165.1528785443526</v>
      </c>
      <c r="AB23" s="306">
        <f>'Adjusted Consumption'!AB33*ramps!AC16*1000</f>
        <v>166.78146445726239</v>
      </c>
      <c r="AC23" s="306">
        <f>'Adjusted Consumption'!AC33*ramps!AD16*1000</f>
        <v>168.28134935273849</v>
      </c>
      <c r="AD23" s="306">
        <f>'Adjusted Consumption'!AD33*ramps!AE16*1000</f>
        <v>169.61385269961417</v>
      </c>
      <c r="AE23" s="306">
        <f>'Adjusted Consumption'!AE33*ramps!AF16*1000</f>
        <v>170.73834800550617</v>
      </c>
      <c r="AF23" s="306">
        <f>'Adjusted Consumption'!AF33*ramps!AG16*1000</f>
        <v>171.63843737411037</v>
      </c>
      <c r="AG23" s="329"/>
    </row>
    <row r="24" spans="1:33">
      <c r="A24" s="15" t="s">
        <v>55</v>
      </c>
      <c r="B24" s="306">
        <f>'Adjusted Consumption'!B34*ramps!C17*1000</f>
        <v>0</v>
      </c>
      <c r="C24" s="306">
        <f>'Adjusted Consumption'!C34*ramps!D17*1000</f>
        <v>0</v>
      </c>
      <c r="D24" s="306">
        <f>'Adjusted Consumption'!D34*ramps!E17*1000</f>
        <v>0</v>
      </c>
      <c r="E24" s="306">
        <f>'Adjusted Consumption'!E34*ramps!F17*1000</f>
        <v>0</v>
      </c>
      <c r="F24" s="306">
        <f>'Adjusted Consumption'!F34*ramps!G17*1000</f>
        <v>0</v>
      </c>
      <c r="G24" s="306">
        <f>'Adjusted Consumption'!G34*ramps!H17*1000</f>
        <v>0</v>
      </c>
      <c r="H24" s="306">
        <f>'Adjusted Consumption'!H34*ramps!I17*1000</f>
        <v>0</v>
      </c>
      <c r="I24" s="306">
        <f>'Adjusted Consumption'!I34*ramps!J17*1000</f>
        <v>0</v>
      </c>
      <c r="J24" s="306">
        <f>'Adjusted Consumption'!J34*ramps!K17*1000</f>
        <v>0</v>
      </c>
      <c r="K24" s="306">
        <f>'Adjusted Consumption'!K34*ramps!L17*1000</f>
        <v>0</v>
      </c>
      <c r="L24" s="306">
        <f>'Adjusted Consumption'!L34*ramps!M17*1000</f>
        <v>0</v>
      </c>
      <c r="M24" s="306">
        <f>'Adjusted Consumption'!M34*ramps!N17*1000</f>
        <v>0</v>
      </c>
      <c r="N24" s="306">
        <f>'Adjusted Consumption'!N34*ramps!O17*1000</f>
        <v>0</v>
      </c>
      <c r="O24" s="306">
        <f>'Adjusted Consumption'!O34*ramps!P17*1000</f>
        <v>0</v>
      </c>
      <c r="P24" s="306">
        <f>'Adjusted Consumption'!P34*ramps!Q17*1000</f>
        <v>0</v>
      </c>
      <c r="Q24" s="306">
        <f>'Adjusted Consumption'!Q34*ramps!R17*1000</f>
        <v>0</v>
      </c>
      <c r="R24" s="306">
        <f>'Adjusted Consumption'!R34*ramps!S17*1000</f>
        <v>0</v>
      </c>
      <c r="S24" s="306">
        <f>'Adjusted Consumption'!S34*ramps!T17*1000</f>
        <v>0</v>
      </c>
      <c r="T24" s="306">
        <f>'Adjusted Consumption'!T34*ramps!U17*1000</f>
        <v>0</v>
      </c>
      <c r="U24" s="306">
        <f>'Adjusted Consumption'!U34*ramps!V17*1000</f>
        <v>0</v>
      </c>
      <c r="V24" s="306">
        <f>'Adjusted Consumption'!V34*ramps!W17*1000</f>
        <v>0</v>
      </c>
      <c r="W24" s="306">
        <f>'Adjusted Consumption'!W34*ramps!X17*1000</f>
        <v>0</v>
      </c>
      <c r="X24" s="306">
        <f>'Adjusted Consumption'!X34*ramps!Y17*1000</f>
        <v>0</v>
      </c>
      <c r="Y24" s="306">
        <f>'Adjusted Consumption'!Y34*ramps!Z17*1000</f>
        <v>0</v>
      </c>
      <c r="Z24" s="306">
        <f>'Adjusted Consumption'!Z34*ramps!AA17*1000</f>
        <v>0</v>
      </c>
      <c r="AA24" s="306">
        <f>'Adjusted Consumption'!AA34*ramps!AB17*1000</f>
        <v>0</v>
      </c>
      <c r="AB24" s="306">
        <f>'Adjusted Consumption'!AB34*ramps!AC17*1000</f>
        <v>0</v>
      </c>
      <c r="AC24" s="306">
        <f>'Adjusted Consumption'!AC34*ramps!AD17*1000</f>
        <v>0</v>
      </c>
      <c r="AD24" s="306">
        <f>'Adjusted Consumption'!AD34*ramps!AE17*1000</f>
        <v>0</v>
      </c>
      <c r="AE24" s="306">
        <f>'Adjusted Consumption'!AE34*ramps!AF17*1000</f>
        <v>0</v>
      </c>
      <c r="AF24" s="306">
        <f>'Adjusted Consumption'!AF34*ramps!AG17*1000</f>
        <v>0</v>
      </c>
      <c r="AG24" s="329"/>
    </row>
    <row r="25" spans="1:33">
      <c r="A25" s="15" t="s">
        <v>1123</v>
      </c>
      <c r="B25" s="306">
        <v>0</v>
      </c>
      <c r="C25" s="306">
        <v>0</v>
      </c>
      <c r="D25" s="306">
        <v>0</v>
      </c>
      <c r="E25" s="306">
        <v>0</v>
      </c>
      <c r="F25" s="306">
        <v>0</v>
      </c>
      <c r="G25" s="306">
        <v>0</v>
      </c>
      <c r="H25" s="306">
        <v>0</v>
      </c>
      <c r="I25" s="306">
        <v>0</v>
      </c>
      <c r="J25" s="306">
        <v>0</v>
      </c>
      <c r="K25" s="306">
        <v>0</v>
      </c>
      <c r="L25" s="306">
        <v>0</v>
      </c>
      <c r="M25" s="306">
        <v>0</v>
      </c>
      <c r="N25" s="306">
        <v>0</v>
      </c>
      <c r="O25" s="306">
        <v>0</v>
      </c>
      <c r="P25" s="306">
        <v>0</v>
      </c>
      <c r="Q25" s="306">
        <v>0</v>
      </c>
      <c r="R25" s="306">
        <v>0</v>
      </c>
      <c r="S25" s="306">
        <v>0</v>
      </c>
      <c r="T25" s="306">
        <v>0</v>
      </c>
      <c r="U25" s="306">
        <v>0</v>
      </c>
      <c r="V25" s="306">
        <v>0</v>
      </c>
      <c r="W25" s="306">
        <v>0</v>
      </c>
      <c r="X25" s="306">
        <v>0</v>
      </c>
      <c r="Y25" s="306">
        <v>0</v>
      </c>
      <c r="Z25" s="306">
        <v>0</v>
      </c>
      <c r="AA25" s="306">
        <v>0</v>
      </c>
      <c r="AB25" s="306">
        <v>0</v>
      </c>
      <c r="AC25" s="306">
        <v>0</v>
      </c>
      <c r="AD25" s="306">
        <v>0</v>
      </c>
      <c r="AE25" s="306">
        <v>0</v>
      </c>
      <c r="AF25" s="306">
        <v>0</v>
      </c>
      <c r="AG25" s="329"/>
    </row>
    <row r="26" spans="1:33">
      <c r="A26" s="15" t="s">
        <v>25</v>
      </c>
      <c r="B26" s="306">
        <f>B80*'Adjusted Consumption'!B221</f>
        <v>32.083999174268833</v>
      </c>
      <c r="C26" s="306">
        <f>C80*'Adjusted Consumption'!C221</f>
        <v>40.832494819588831</v>
      </c>
      <c r="D26" s="306">
        <f>D80*'Adjusted Consumption'!D221</f>
        <v>41.738629542968255</v>
      </c>
      <c r="E26" s="306">
        <f>E80*'Adjusted Consumption'!E221</f>
        <v>40.68403406449881</v>
      </c>
      <c r="F26" s="306">
        <f>F80*'Adjusted Consumption'!F221</f>
        <v>35.180513204322054</v>
      </c>
      <c r="G26" s="306">
        <f>G80*'Adjusted Consumption'!G221</f>
        <v>25.958952340125521</v>
      </c>
      <c r="H26" s="306">
        <f>H80*'Adjusted Consumption'!H221</f>
        <v>30.194211603213912</v>
      </c>
      <c r="I26" s="306">
        <f>I80*'Adjusted Consumption'!I221</f>
        <v>32.461845750914712</v>
      </c>
      <c r="J26" s="306">
        <f>J80*'Adjusted Consumption'!J221</f>
        <v>35.771364412976006</v>
      </c>
      <c r="K26" s="306">
        <f>K80*'Adjusted Consumption'!K221</f>
        <v>40.01003921361913</v>
      </c>
      <c r="L26" s="306">
        <f>L80*'Adjusted Consumption'!L221</f>
        <v>42.990597228681452</v>
      </c>
      <c r="M26" s="306">
        <f>M80*'Adjusted Consumption'!M221</f>
        <v>46.047807746675112</v>
      </c>
      <c r="N26" s="306">
        <f>N80*'Adjusted Consumption'!N221</f>
        <v>47.88951443194005</v>
      </c>
      <c r="O26" s="306">
        <f>O80*'Adjusted Consumption'!O221</f>
        <v>47.606018677506547</v>
      </c>
      <c r="P26" s="306">
        <f>P80*'Adjusted Consumption'!P221</f>
        <v>45.015798783816592</v>
      </c>
      <c r="Q26" s="306">
        <f>Q80*'Adjusted Consumption'!Q221</f>
        <v>41.430304409948818</v>
      </c>
      <c r="R26" s="306">
        <f>R80*'Adjusted Consumption'!R221</f>
        <v>37.647328193514795</v>
      </c>
      <c r="S26" s="306">
        <f>S80*'Adjusted Consumption'!S221</f>
        <v>33.815794548626485</v>
      </c>
      <c r="T26" s="306">
        <f>T80*'Adjusted Consumption'!T221</f>
        <v>29.894745942431349</v>
      </c>
      <c r="U26" s="306">
        <f>U80*'Adjusted Consumption'!U221</f>
        <v>25.884611397795023</v>
      </c>
      <c r="V26" s="306">
        <f>V80*'Adjusted Consumption'!V221</f>
        <v>21.785809467735884</v>
      </c>
      <c r="W26" s="306">
        <f>W80*'Adjusted Consumption'!W221</f>
        <v>17.600652880044144</v>
      </c>
      <c r="X26" s="306">
        <f>X80*'Adjusted Consumption'!X221</f>
        <v>13.328456300026465</v>
      </c>
      <c r="Y26" s="306">
        <f>Y80*'Adjusted Consumption'!Y221</f>
        <v>8.9702593837385614</v>
      </c>
      <c r="Z26" s="306">
        <f>Z80*'Adjusted Consumption'!Z221</f>
        <v>4.5271607090174255</v>
      </c>
      <c r="AA26" s="306">
        <f>AA80*'Adjusted Consumption'!AA221</f>
        <v>0</v>
      </c>
      <c r="AB26" s="306">
        <f>AB80*'Adjusted Consumption'!AB221</f>
        <v>0</v>
      </c>
      <c r="AC26" s="306">
        <f>AC80*'Adjusted Consumption'!AC221</f>
        <v>0</v>
      </c>
      <c r="AD26" s="306">
        <f>AD80*'Adjusted Consumption'!AD221</f>
        <v>0</v>
      </c>
      <c r="AE26" s="306">
        <f>AE80*'Adjusted Consumption'!AE221</f>
        <v>0</v>
      </c>
      <c r="AF26" s="306">
        <f>AF80*'Adjusted Consumption'!AF221</f>
        <v>0</v>
      </c>
      <c r="AG26" s="329"/>
    </row>
    <row r="27" spans="1:33">
      <c r="A27" s="15" t="s">
        <v>26</v>
      </c>
      <c r="B27" s="306">
        <f t="shared" ref="B27:Q27" si="2">SUM(B18:B26)</f>
        <v>72.095451268091637</v>
      </c>
      <c r="C27" s="306">
        <f t="shared" si="2"/>
        <v>92.932485016709279</v>
      </c>
      <c r="D27" s="306">
        <f t="shared" si="2"/>
        <v>105.79859374654248</v>
      </c>
      <c r="E27" s="306">
        <f t="shared" si="2"/>
        <v>116.47186681894269</v>
      </c>
      <c r="F27" s="306">
        <f t="shared" si="2"/>
        <v>124.27418023794925</v>
      </c>
      <c r="G27" s="306">
        <f t="shared" si="2"/>
        <v>127.80257672022174</v>
      </c>
      <c r="H27" s="306">
        <f t="shared" si="2"/>
        <v>144.17289078712031</v>
      </c>
      <c r="I27" s="306">
        <f t="shared" si="2"/>
        <v>158.18584492671746</v>
      </c>
      <c r="J27" s="306">
        <f t="shared" si="2"/>
        <v>173.2181874621435</v>
      </c>
      <c r="K27" s="306">
        <f t="shared" si="2"/>
        <v>188.0341875404981</v>
      </c>
      <c r="L27" s="306">
        <f t="shared" si="2"/>
        <v>200.9708355515404</v>
      </c>
      <c r="M27" s="306">
        <f t="shared" si="2"/>
        <v>214.50678010933328</v>
      </c>
      <c r="N27" s="306">
        <f t="shared" si="2"/>
        <v>227.16441920901767</v>
      </c>
      <c r="O27" s="306">
        <f t="shared" si="2"/>
        <v>237.57616903644589</v>
      </c>
      <c r="P27" s="306">
        <f t="shared" si="2"/>
        <v>238.70025090439847</v>
      </c>
      <c r="Q27" s="306">
        <f t="shared" si="2"/>
        <v>235.45373100146531</v>
      </c>
      <c r="R27" s="306">
        <f>SUM(R18:R26)</f>
        <v>232.27351918568942</v>
      </c>
      <c r="S27" s="306">
        <f>SUM(S18:S26)</f>
        <v>229.13639623773392</v>
      </c>
      <c r="T27" s="306">
        <f>SUM(T18:T26)</f>
        <v>225.8747139024899</v>
      </c>
      <c r="U27" s="306">
        <f>SUM(U18:U26)</f>
        <v>222.50532771113242</v>
      </c>
      <c r="V27" s="306">
        <f>SUM(V18:V26)</f>
        <v>219.8112060656932</v>
      </c>
      <c r="W27" s="306">
        <f t="shared" ref="W27:AF27" si="3">SUM(W18:W26)</f>
        <v>217.44487609895273</v>
      </c>
      <c r="X27" s="306">
        <f t="shared" si="3"/>
        <v>214.93267405866195</v>
      </c>
      <c r="Y27" s="306">
        <f t="shared" si="3"/>
        <v>212.27753000613413</v>
      </c>
      <c r="Z27" s="306">
        <f t="shared" si="3"/>
        <v>209.47738849051933</v>
      </c>
      <c r="AA27" s="306">
        <f t="shared" si="3"/>
        <v>206.61359706107501</v>
      </c>
      <c r="AB27" s="306">
        <f t="shared" si="3"/>
        <v>208.34895679557354</v>
      </c>
      <c r="AC27" s="306">
        <f t="shared" si="3"/>
        <v>209.95222178916919</v>
      </c>
      <c r="AD27" s="306">
        <f t="shared" si="3"/>
        <v>211.37459852738579</v>
      </c>
      <c r="AE27" s="306">
        <f t="shared" si="3"/>
        <v>212.57996567523588</v>
      </c>
      <c r="AF27" s="306">
        <f t="shared" si="3"/>
        <v>213.5582527076873</v>
      </c>
      <c r="AG27" s="329"/>
    </row>
    <row r="28" spans="1:33">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29"/>
    </row>
    <row r="29" spans="1:33" s="5" customFormat="1" ht="13">
      <c r="A29" s="250" t="s">
        <v>1124</v>
      </c>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1"/>
    </row>
    <row r="30" spans="1:33" s="396" customFormat="1" ht="12.9" customHeight="1">
      <c r="A30" s="253" t="s">
        <v>199</v>
      </c>
      <c r="B30" s="253">
        <v>2020</v>
      </c>
      <c r="C30" s="253">
        <v>2021</v>
      </c>
      <c r="D30" s="253">
        <v>2022</v>
      </c>
      <c r="E30" s="253">
        <v>2023</v>
      </c>
      <c r="F30" s="253">
        <v>2024</v>
      </c>
      <c r="G30" s="253">
        <v>2025</v>
      </c>
      <c r="H30" s="253">
        <v>2026</v>
      </c>
      <c r="I30" s="253">
        <v>2027</v>
      </c>
      <c r="J30" s="253">
        <v>2028</v>
      </c>
      <c r="K30" s="253">
        <v>2029</v>
      </c>
      <c r="L30" s="253">
        <v>2030</v>
      </c>
      <c r="M30" s="253">
        <v>2031</v>
      </c>
      <c r="N30" s="253">
        <v>2032</v>
      </c>
      <c r="O30" s="253">
        <v>2033</v>
      </c>
      <c r="P30" s="253">
        <v>2034</v>
      </c>
      <c r="Q30" s="253">
        <v>2035</v>
      </c>
      <c r="R30" s="253">
        <v>2036</v>
      </c>
      <c r="S30" s="253">
        <v>2037</v>
      </c>
      <c r="T30" s="253">
        <v>2038</v>
      </c>
      <c r="U30" s="253">
        <v>2039</v>
      </c>
      <c r="V30" s="253">
        <v>2040</v>
      </c>
      <c r="W30" s="253">
        <v>2041</v>
      </c>
      <c r="X30" s="253">
        <v>2042</v>
      </c>
      <c r="Y30" s="253">
        <v>2043</v>
      </c>
      <c r="Z30" s="253">
        <v>2044</v>
      </c>
      <c r="AA30" s="253">
        <v>2045</v>
      </c>
      <c r="AB30" s="253">
        <v>2046</v>
      </c>
      <c r="AC30" s="253">
        <v>2047</v>
      </c>
      <c r="AD30" s="253">
        <v>2048</v>
      </c>
      <c r="AE30" s="253">
        <v>2049</v>
      </c>
      <c r="AF30" s="253">
        <v>2050</v>
      </c>
    </row>
    <row r="31" spans="1:33">
      <c r="A31" s="15" t="s">
        <v>22</v>
      </c>
      <c r="B31" s="306">
        <f>'Adjusted Consumption'!B48*ramps!C21*1000</f>
        <v>2.3236258555778262</v>
      </c>
      <c r="C31" s="306">
        <f>'Adjusted Consumption'!C48*ramps!D21*1000</f>
        <v>3.029656324072477</v>
      </c>
      <c r="D31" s="306">
        <f>'Adjusted Consumption'!D48*ramps!E21*1000</f>
        <v>3.7428201092558981</v>
      </c>
      <c r="E31" s="306">
        <f>'Adjusted Consumption'!E48*ramps!F21*1000</f>
        <v>4.4608484442862224</v>
      </c>
      <c r="F31" s="306">
        <f>'Adjusted Consumption'!F48*ramps!G21*1000</f>
        <v>5.1674105627002822</v>
      </c>
      <c r="G31" s="306">
        <f>'Adjusted Consumption'!G48*ramps!H21*1000</f>
        <v>5.8856676865341768</v>
      </c>
      <c r="H31" s="306">
        <f>'Adjusted Consumption'!H48*ramps!I21*1000</f>
        <v>6.591024050544612</v>
      </c>
      <c r="I31" s="306">
        <f>'Adjusted Consumption'!I48*ramps!J21*1000</f>
        <v>7.2751202864455129</v>
      </c>
      <c r="J31" s="306">
        <f>'Adjusted Consumption'!J48*ramps!K21*1000</f>
        <v>7.9888216973058119</v>
      </c>
      <c r="K31" s="306">
        <f>'Adjusted Consumption'!K48*ramps!L21*1000</f>
        <v>8.715400049122163</v>
      </c>
      <c r="L31" s="306">
        <f>'Adjusted Consumption'!L48*ramps!M21*1000</f>
        <v>9.3994014469298968</v>
      </c>
      <c r="M31" s="306">
        <f>'Adjusted Consumption'!M48*ramps!N21*1000</f>
        <v>10.104391186138251</v>
      </c>
      <c r="N31" s="306">
        <f>'Adjusted Consumption'!N48*ramps!O21*1000</f>
        <v>10.784640083072947</v>
      </c>
      <c r="O31" s="306">
        <f>'Adjusted Consumption'!O48*ramps!P21*1000</f>
        <v>11.456005610224077</v>
      </c>
      <c r="P31" s="306">
        <f>'Adjusted Consumption'!P48*ramps!Q21*1000</f>
        <v>11.712144067681145</v>
      </c>
      <c r="Q31" s="306">
        <f>'Adjusted Consumption'!Q48*ramps!R21*1000</f>
        <v>11.754534783596874</v>
      </c>
      <c r="R31" s="306">
        <f>'Adjusted Consumption'!R48*ramps!S21*1000</f>
        <v>11.781298532236345</v>
      </c>
      <c r="S31" s="306">
        <f>'Adjusted Consumption'!S48*ramps!T21*1000</f>
        <v>11.812943411996873</v>
      </c>
      <c r="T31" s="306">
        <f>'Adjusted Consumption'!T48*ramps!U21*1000</f>
        <v>11.846125497986941</v>
      </c>
      <c r="U31" s="306">
        <f>'Adjusted Consumption'!U48*ramps!V21*1000</f>
        <v>11.861780625026972</v>
      </c>
      <c r="V31" s="306">
        <f>'Adjusted Consumption'!V48*ramps!W21*1000</f>
        <v>11.964922150966144</v>
      </c>
      <c r="W31" s="306">
        <f>'Adjusted Consumption'!W48*ramps!X21*1000</f>
        <v>12.073000641700276</v>
      </c>
      <c r="X31" s="306">
        <f>'Adjusted Consumption'!X48*ramps!Y21*1000</f>
        <v>12.148409457018255</v>
      </c>
      <c r="Y31" s="306">
        <f>'Adjusted Consumption'!Y48*ramps!Z21*1000</f>
        <v>12.240060687190196</v>
      </c>
      <c r="Z31" s="306">
        <f>'Adjusted Consumption'!Z48*ramps!AA21*1000</f>
        <v>12.352984035102084</v>
      </c>
      <c r="AA31" s="306">
        <f>'Adjusted Consumption'!AA48*ramps!AB21*1000</f>
        <v>12.462898779709777</v>
      </c>
      <c r="AB31" s="306">
        <f>'Adjusted Consumption'!AB48*ramps!AC21*1000</f>
        <v>12.579860544594537</v>
      </c>
      <c r="AC31" s="306">
        <f>'Adjusted Consumption'!AC48*ramps!AD21*1000</f>
        <v>12.694521705982872</v>
      </c>
      <c r="AD31" s="306">
        <f>'Adjusted Consumption'!AD48*ramps!AE21*1000</f>
        <v>12.810313852786594</v>
      </c>
      <c r="AE31" s="306">
        <f>'Adjusted Consumption'!AE48*ramps!AF21*1000</f>
        <v>12.908661548021531</v>
      </c>
      <c r="AF31" s="306">
        <f>'Adjusted Consumption'!AF48*ramps!AG21*1000</f>
        <v>13.004289738724472</v>
      </c>
      <c r="AG31" s="329"/>
    </row>
    <row r="32" spans="1:33">
      <c r="A32" s="15" t="s">
        <v>1125</v>
      </c>
      <c r="B32" s="306">
        <f>'Adjusted Consumption'!B49*ramps!C15*1000</f>
        <v>3.7840484052742429</v>
      </c>
      <c r="C32" s="306">
        <f>'Adjusted Consumption'!C49*ramps!D15*1000</f>
        <v>5.0174373887795065</v>
      </c>
      <c r="D32" s="306">
        <f>'Adjusted Consumption'!D49*ramps!E15*1000</f>
        <v>6.2676579416412173</v>
      </c>
      <c r="E32" s="306">
        <f>'Adjusted Consumption'!E49*ramps!F15*1000</f>
        <v>7.5405640872402415</v>
      </c>
      <c r="F32" s="306">
        <f>'Adjusted Consumption'!F49*ramps!G15*1000</f>
        <v>8.82753346910979</v>
      </c>
      <c r="G32" s="306">
        <f>'Adjusted Consumption'!G49*ramps!H15*1000</f>
        <v>10.098465917009982</v>
      </c>
      <c r="H32" s="306">
        <f>'Adjusted Consumption'!H49*ramps!I15*1000</f>
        <v>11.348199055571079</v>
      </c>
      <c r="I32" s="306">
        <f>'Adjusted Consumption'!I49*ramps!J15*1000</f>
        <v>12.557419318805996</v>
      </c>
      <c r="J32" s="306">
        <f>'Adjusted Consumption'!J49*ramps!K15*1000</f>
        <v>13.779790524153158</v>
      </c>
      <c r="K32" s="306">
        <f>'Adjusted Consumption'!K49*ramps!L15*1000</f>
        <v>14.969267996176969</v>
      </c>
      <c r="L32" s="306">
        <f>'Adjusted Consumption'!L49*ramps!M15*1000</f>
        <v>16.178127629668506</v>
      </c>
      <c r="M32" s="306">
        <f>'Adjusted Consumption'!M49*ramps!N15*1000</f>
        <v>17.442467820049821</v>
      </c>
      <c r="N32" s="306">
        <f>'Adjusted Consumption'!N49*ramps!O15*1000</f>
        <v>18.693490136614678</v>
      </c>
      <c r="O32" s="306">
        <f>'Adjusted Consumption'!O49*ramps!P15*1000</f>
        <v>19.955374997563535</v>
      </c>
      <c r="P32" s="306">
        <f>'Adjusted Consumption'!P49*ramps!Q15*1000</f>
        <v>20.473186126295008</v>
      </c>
      <c r="Q32" s="306">
        <f>'Adjusted Consumption'!Q49*ramps!R15*1000</f>
        <v>20.6118399892115</v>
      </c>
      <c r="R32" s="306">
        <f>'Adjusted Consumption'!R49*ramps!S15*1000</f>
        <v>20.754468682940509</v>
      </c>
      <c r="S32" s="306">
        <f>'Adjusted Consumption'!S49*ramps!T15*1000</f>
        <v>20.916718760856817</v>
      </c>
      <c r="T32" s="306">
        <f>'Adjusted Consumption'!T49*ramps!U15*1000</f>
        <v>21.068970650772744</v>
      </c>
      <c r="U32" s="306">
        <f>'Adjusted Consumption'!U49*ramps!V15*1000</f>
        <v>21.21088347117524</v>
      </c>
      <c r="V32" s="306">
        <f>'Adjusted Consumption'!V49*ramps!W15*1000</f>
        <v>21.36930141944741</v>
      </c>
      <c r="W32" s="306">
        <f>'Adjusted Consumption'!W49*ramps!X15*1000</f>
        <v>21.530151127641854</v>
      </c>
      <c r="X32" s="306">
        <f>'Adjusted Consumption'!X49*ramps!Y15*1000</f>
        <v>21.669763584778877</v>
      </c>
      <c r="Y32" s="306">
        <f>'Adjusted Consumption'!Y49*ramps!Z15*1000</f>
        <v>21.802874147238597</v>
      </c>
      <c r="Z32" s="306">
        <f>'Adjusted Consumption'!Z49*ramps!AA15*1000</f>
        <v>21.944616186559347</v>
      </c>
      <c r="AA32" s="306">
        <f>'Adjusted Consumption'!AA49*ramps!AB15*1000</f>
        <v>22.090431611371475</v>
      </c>
      <c r="AB32" s="306">
        <f>'Adjusted Consumption'!AB49*ramps!AC15*1000</f>
        <v>22.22860844778485</v>
      </c>
      <c r="AC32" s="306">
        <f>'Adjusted Consumption'!AC49*ramps!AD15*1000</f>
        <v>22.373095201286912</v>
      </c>
      <c r="AD32" s="306">
        <f>'Adjusted Consumption'!AD49*ramps!AE15*1000</f>
        <v>22.523987279070653</v>
      </c>
      <c r="AE32" s="306">
        <f>'Adjusted Consumption'!AE49*ramps!AF15*1000</f>
        <v>22.653534907802289</v>
      </c>
      <c r="AF32" s="306">
        <f>'Adjusted Consumption'!AF49*ramps!AG15*1000</f>
        <v>22.775299921713451</v>
      </c>
      <c r="AG32" s="329"/>
    </row>
    <row r="33" spans="1:33">
      <c r="A33" s="15" t="s">
        <v>23</v>
      </c>
      <c r="B33" s="306">
        <f>'Adjusted Consumption'!B50*ramps!C19*1000</f>
        <v>12.955992526368114</v>
      </c>
      <c r="C33" s="306">
        <f>'Adjusted Consumption'!C50*ramps!D19*1000</f>
        <v>17.035868771269435</v>
      </c>
      <c r="D33" s="306">
        <f>'Adjusted Consumption'!D50*ramps!E19*1000</f>
        <v>21.257278955169966</v>
      </c>
      <c r="E33" s="306">
        <f>'Adjusted Consumption'!E50*ramps!F19*1000</f>
        <v>25.451589222625053</v>
      </c>
      <c r="F33" s="306">
        <f>'Adjusted Consumption'!F50*ramps!G19*1000</f>
        <v>29.690471912786212</v>
      </c>
      <c r="G33" s="306">
        <f>'Adjusted Consumption'!G50*ramps!H19*1000</f>
        <v>33.905360749453294</v>
      </c>
      <c r="H33" s="306">
        <f>'Adjusted Consumption'!H50*ramps!I19*1000</f>
        <v>38.107830109423453</v>
      </c>
      <c r="I33" s="306">
        <f>'Adjusted Consumption'!I50*ramps!J19*1000</f>
        <v>42.361002858034475</v>
      </c>
      <c r="J33" s="306">
        <f>'Adjusted Consumption'!J50*ramps!K19*1000</f>
        <v>46.647461024588239</v>
      </c>
      <c r="K33" s="306">
        <f>'Adjusted Consumption'!K50*ramps!L19*1000</f>
        <v>50.996985799062031</v>
      </c>
      <c r="L33" s="306">
        <f>'Adjusted Consumption'!L50*ramps!M19*1000</f>
        <v>55.209924481995209</v>
      </c>
      <c r="M33" s="306">
        <f>'Adjusted Consumption'!M50*ramps!N19*1000</f>
        <v>59.61059902546144</v>
      </c>
      <c r="N33" s="306">
        <f>'Adjusted Consumption'!N50*ramps!O19*1000</f>
        <v>63.988730134062656</v>
      </c>
      <c r="O33" s="306">
        <f>'Adjusted Consumption'!O50*ramps!P19*1000</f>
        <v>68.367326477512549</v>
      </c>
      <c r="P33" s="306">
        <f>'Adjusted Consumption'!P50*ramps!Q19*1000</f>
        <v>70.034818944088826</v>
      </c>
      <c r="Q33" s="306">
        <f>'Adjusted Consumption'!Q50*ramps!R19*1000</f>
        <v>70.62523007124895</v>
      </c>
      <c r="R33" s="306">
        <f>'Adjusted Consumption'!R50*ramps!S19*1000</f>
        <v>71.307572461284323</v>
      </c>
      <c r="S33" s="306">
        <f>'Adjusted Consumption'!S50*ramps!T19*1000</f>
        <v>71.676332137142637</v>
      </c>
      <c r="T33" s="306">
        <f>'Adjusted Consumption'!T50*ramps!U19*1000</f>
        <v>72.425576806144377</v>
      </c>
      <c r="U33" s="306">
        <f>'Adjusted Consumption'!U50*ramps!V19*1000</f>
        <v>72.998232466196725</v>
      </c>
      <c r="V33" s="306">
        <f>'Adjusted Consumption'!V50*ramps!W19*1000</f>
        <v>73.954572733146904</v>
      </c>
      <c r="W33" s="306">
        <f>'Adjusted Consumption'!W50*ramps!X19*1000</f>
        <v>75.072483620965883</v>
      </c>
      <c r="X33" s="306">
        <f>'Adjusted Consumption'!X50*ramps!Y19*1000</f>
        <v>76.108749360261484</v>
      </c>
      <c r="Y33" s="306">
        <f>'Adjusted Consumption'!Y50*ramps!Z19*1000</f>
        <v>76.859204064937771</v>
      </c>
      <c r="Z33" s="306">
        <f>'Adjusted Consumption'!Z50*ramps!AA19*1000</f>
        <v>77.833532752376001</v>
      </c>
      <c r="AA33" s="306">
        <f>'Adjusted Consumption'!AA50*ramps!AB19*1000</f>
        <v>78.755926034713823</v>
      </c>
      <c r="AB33" s="306">
        <f>'Adjusted Consumption'!AB50*ramps!AC19*1000</f>
        <v>79.739462857146307</v>
      </c>
      <c r="AC33" s="306">
        <f>'Adjusted Consumption'!AC50*ramps!AD19*1000</f>
        <v>80.6910376601937</v>
      </c>
      <c r="AD33" s="306">
        <f>'Adjusted Consumption'!AD50*ramps!AE19*1000</f>
        <v>81.820907162308785</v>
      </c>
      <c r="AE33" s="306">
        <f>'Adjusted Consumption'!AE50*ramps!AF19*1000</f>
        <v>82.560037168229854</v>
      </c>
      <c r="AF33" s="306">
        <f>'Adjusted Consumption'!AF50*ramps!AG19*1000</f>
        <v>83.461547405862746</v>
      </c>
      <c r="AG33" s="329"/>
    </row>
    <row r="34" spans="1:33">
      <c r="A34" s="15" t="s">
        <v>29</v>
      </c>
      <c r="B34" s="306">
        <f>'Adjusted Consumption'!B51*ramps!C23*1000</f>
        <v>0.27645358303895479</v>
      </c>
      <c r="C34" s="306">
        <f>'Adjusted Consumption'!C51*ramps!D23*1000</f>
        <v>0.37561068691930555</v>
      </c>
      <c r="D34" s="306">
        <f>'Adjusted Consumption'!D51*ramps!E23*1000</f>
        <v>0.4757808368263608</v>
      </c>
      <c r="E34" s="306">
        <f>'Adjusted Consumption'!E51*ramps!F23*1000</f>
        <v>0.57886792876340309</v>
      </c>
      <c r="F34" s="306">
        <f>'Adjusted Consumption'!F51*ramps!G23*1000</f>
        <v>0.68559301688475338</v>
      </c>
      <c r="G34" s="306">
        <f>'Adjusted Consumption'!G51*ramps!H23*1000</f>
        <v>0.79647671500971884</v>
      </c>
      <c r="H34" s="306">
        <f>'Adjusted Consumption'!H51*ramps!I23*1000</f>
        <v>0.90964864797400835</v>
      </c>
      <c r="I34" s="306">
        <f>'Adjusted Consumption'!I51*ramps!J23*1000</f>
        <v>1.0177191501757707</v>
      </c>
      <c r="J34" s="306">
        <f>'Adjusted Consumption'!J51*ramps!K23*1000</f>
        <v>1.1247194388345951</v>
      </c>
      <c r="K34" s="306">
        <f>'Adjusted Consumption'!K51*ramps!L23*1000</f>
        <v>1.2317482797873525</v>
      </c>
      <c r="L34" s="306">
        <f>'Adjusted Consumption'!L51*ramps!M23*1000</f>
        <v>1.3318383633078998</v>
      </c>
      <c r="M34" s="306">
        <f>'Adjusted Consumption'!M51*ramps!N23*1000</f>
        <v>1.4374051395533387</v>
      </c>
      <c r="N34" s="306">
        <f>'Adjusted Consumption'!N51*ramps!O23*1000</f>
        <v>1.5399892203888543</v>
      </c>
      <c r="O34" s="306">
        <f>'Adjusted Consumption'!O51*ramps!P23*1000</f>
        <v>1.6429467314882777</v>
      </c>
      <c r="P34" s="306">
        <f>'Adjusted Consumption'!P51*ramps!Q23*1000</f>
        <v>1.6799843575614617</v>
      </c>
      <c r="Q34" s="306">
        <f>'Adjusted Consumption'!Q51*ramps!R23*1000</f>
        <v>1.6817582607295167</v>
      </c>
      <c r="R34" s="306">
        <f>'Adjusted Consumption'!R51*ramps!S23*1000</f>
        <v>1.6844515975380179</v>
      </c>
      <c r="S34" s="306">
        <f>'Adjusted Consumption'!S51*ramps!T23*1000</f>
        <v>1.6881681619105591</v>
      </c>
      <c r="T34" s="306">
        <f>'Adjusted Consumption'!T51*ramps!U23*1000</f>
        <v>1.6923739021337201</v>
      </c>
      <c r="U34" s="306">
        <f>'Adjusted Consumption'!U51*ramps!V23*1000</f>
        <v>1.6938572868869515</v>
      </c>
      <c r="V34" s="306">
        <f>'Adjusted Consumption'!V51*ramps!W23*1000</f>
        <v>1.6959992949512221</v>
      </c>
      <c r="W34" s="306">
        <f>'Adjusted Consumption'!W51*ramps!X23*1000</f>
        <v>1.6953194569543104</v>
      </c>
      <c r="X34" s="306">
        <f>'Adjusted Consumption'!X51*ramps!Y23*1000</f>
        <v>1.6933257964291608</v>
      </c>
      <c r="Y34" s="306">
        <f>'Adjusted Consumption'!Y51*ramps!Z23*1000</f>
        <v>1.6867312288256535</v>
      </c>
      <c r="Z34" s="306">
        <f>'Adjusted Consumption'!Z51*ramps!AA23*1000</f>
        <v>1.6830684241116398</v>
      </c>
      <c r="AA34" s="306">
        <f>'Adjusted Consumption'!AA51*ramps!AB23*1000</f>
        <v>1.6772111330359036</v>
      </c>
      <c r="AB34" s="306">
        <f>'Adjusted Consumption'!AB51*ramps!AC23*1000</f>
        <v>1.67267947031396</v>
      </c>
      <c r="AC34" s="306">
        <f>'Adjusted Consumption'!AC51*ramps!AD23*1000</f>
        <v>1.6654384106675735</v>
      </c>
      <c r="AD34" s="306">
        <f>'Adjusted Consumption'!AD51*ramps!AE23*1000</f>
        <v>1.6589840220057392</v>
      </c>
      <c r="AE34" s="306">
        <f>'Adjusted Consumption'!AE51*ramps!AF23*1000</f>
        <v>1.6504248062925817</v>
      </c>
      <c r="AF34" s="306">
        <f>'Adjusted Consumption'!AF51*ramps!AG23*1000</f>
        <v>1.6460800327143499</v>
      </c>
      <c r="AG34" s="329"/>
    </row>
    <row r="35" spans="1:33">
      <c r="A35" s="15" t="s">
        <v>58</v>
      </c>
      <c r="B35" s="306">
        <v>0</v>
      </c>
      <c r="C35" s="306">
        <v>0</v>
      </c>
      <c r="D35" s="306">
        <v>0</v>
      </c>
      <c r="E35" s="306">
        <v>0</v>
      </c>
      <c r="F35" s="306">
        <v>0</v>
      </c>
      <c r="G35" s="306">
        <v>0</v>
      </c>
      <c r="H35" s="306">
        <v>0</v>
      </c>
      <c r="I35" s="306">
        <v>0</v>
      </c>
      <c r="J35" s="306">
        <v>0</v>
      </c>
      <c r="K35" s="306">
        <v>0</v>
      </c>
      <c r="L35" s="306">
        <v>0</v>
      </c>
      <c r="M35" s="306">
        <v>0</v>
      </c>
      <c r="N35" s="306">
        <v>0</v>
      </c>
      <c r="O35" s="306">
        <v>0</v>
      </c>
      <c r="P35" s="306">
        <v>0</v>
      </c>
      <c r="Q35" s="306">
        <v>0</v>
      </c>
      <c r="R35" s="306">
        <v>0</v>
      </c>
      <c r="S35" s="306">
        <v>0</v>
      </c>
      <c r="T35" s="306">
        <v>0</v>
      </c>
      <c r="U35" s="306">
        <v>0</v>
      </c>
      <c r="V35" s="306">
        <v>0</v>
      </c>
      <c r="W35" s="306">
        <v>0</v>
      </c>
      <c r="X35" s="306">
        <v>0</v>
      </c>
      <c r="Y35" s="306">
        <v>0</v>
      </c>
      <c r="Z35" s="306">
        <v>0</v>
      </c>
      <c r="AA35" s="306">
        <v>0</v>
      </c>
      <c r="AB35" s="306">
        <v>0</v>
      </c>
      <c r="AC35" s="306">
        <v>0</v>
      </c>
      <c r="AD35" s="306">
        <v>0</v>
      </c>
      <c r="AE35" s="306">
        <v>0</v>
      </c>
      <c r="AF35" s="306">
        <v>0</v>
      </c>
      <c r="AG35" s="329"/>
    </row>
    <row r="36" spans="1:33">
      <c r="A36" s="15" t="s">
        <v>1126</v>
      </c>
      <c r="B36" s="306">
        <f>'Adjusted Consumption'!B53*ramps!C16*1000</f>
        <v>41.426475624285828</v>
      </c>
      <c r="C36" s="306">
        <f>'Adjusted Consumption'!C53*ramps!D16*1000</f>
        <v>51.532126497444288</v>
      </c>
      <c r="D36" s="306">
        <f>'Adjusted Consumption'!D53*ramps!E16*1000</f>
        <v>60.107054975688897</v>
      </c>
      <c r="E36" s="306">
        <f>'Adjusted Consumption'!E53*ramps!F16*1000</f>
        <v>67.850664471001778</v>
      </c>
      <c r="F36" s="306">
        <f>'Adjusted Consumption'!F53*ramps!G16*1000</f>
        <v>76.372981824108336</v>
      </c>
      <c r="G36" s="306">
        <f>'Adjusted Consumption'!G53*ramps!H16*1000</f>
        <v>85.316047903158491</v>
      </c>
      <c r="H36" s="306">
        <f>'Adjusted Consumption'!H53*ramps!I16*1000</f>
        <v>89.704799032483322</v>
      </c>
      <c r="I36" s="306">
        <f>'Adjusted Consumption'!I53*ramps!J16*1000</f>
        <v>92.248237499673252</v>
      </c>
      <c r="J36" s="306">
        <f>'Adjusted Consumption'!J53*ramps!K16*1000</f>
        <v>97.734816061369784</v>
      </c>
      <c r="K36" s="306">
        <f>'Adjusted Consumption'!K53*ramps!L16*1000</f>
        <v>100.01307370900354</v>
      </c>
      <c r="L36" s="306">
        <f>'Adjusted Consumption'!L53*ramps!M16*1000</f>
        <v>105.23443087334527</v>
      </c>
      <c r="M36" s="306">
        <f>'Adjusted Consumption'!M53*ramps!N16*1000</f>
        <v>110.35910304256144</v>
      </c>
      <c r="N36" s="306">
        <f>'Adjusted Consumption'!N53*ramps!O16*1000</f>
        <v>117.30579631920894</v>
      </c>
      <c r="O36" s="306">
        <f>'Adjusted Consumption'!O53*ramps!P16*1000</f>
        <v>125.06123020566129</v>
      </c>
      <c r="P36" s="306">
        <f>'Adjusted Consumption'!P53*ramps!Q16*1000</f>
        <v>131.18609198931426</v>
      </c>
      <c r="Q36" s="306">
        <f>'Adjusted Consumption'!Q53*ramps!R16*1000</f>
        <v>132.44238812299949</v>
      </c>
      <c r="R36" s="306">
        <f>'Adjusted Consumption'!R53*ramps!S16*1000</f>
        <v>131.21644914935831</v>
      </c>
      <c r="S36" s="306">
        <f>'Adjusted Consumption'!S53*ramps!T16*1000</f>
        <v>131.70770184390582</v>
      </c>
      <c r="T36" s="306">
        <f>'Adjusted Consumption'!T53*ramps!U16*1000</f>
        <v>132.58083711995855</v>
      </c>
      <c r="U36" s="306">
        <f>'Adjusted Consumption'!U53*ramps!V16*1000</f>
        <v>137.21990458325672</v>
      </c>
      <c r="V36" s="306">
        <f>'Adjusted Consumption'!V53*ramps!W16*1000</f>
        <v>137.5825787794893</v>
      </c>
      <c r="W36" s="306">
        <f>'Adjusted Consumption'!W53*ramps!X16*1000</f>
        <v>139.36208881192459</v>
      </c>
      <c r="X36" s="306">
        <f>'Adjusted Consumption'!X53*ramps!Y16*1000</f>
        <v>140.70724665723273</v>
      </c>
      <c r="Y36" s="306">
        <f>'Adjusted Consumption'!Y53*ramps!Z16*1000</f>
        <v>143.83572762920113</v>
      </c>
      <c r="Z36" s="306">
        <f>'Adjusted Consumption'!Z53*ramps!AA16*1000</f>
        <v>144.49886132611329</v>
      </c>
      <c r="AA36" s="306">
        <f>'Adjusted Consumption'!AA53*ramps!AB16*1000</f>
        <v>149.47148125458426</v>
      </c>
      <c r="AB36" s="306">
        <f>'Adjusted Consumption'!AB53*ramps!AC16*1000</f>
        <v>151.50835758673682</v>
      </c>
      <c r="AC36" s="306">
        <f>'Adjusted Consumption'!AC53*ramps!AD16*1000</f>
        <v>153.58518889749297</v>
      </c>
      <c r="AD36" s="306">
        <f>'Adjusted Consumption'!AD53*ramps!AE16*1000</f>
        <v>156.31293422151612</v>
      </c>
      <c r="AE36" s="306">
        <f>'Adjusted Consumption'!AE53*ramps!AF16*1000</f>
        <v>158.83012803750148</v>
      </c>
      <c r="AF36" s="306">
        <f>'Adjusted Consumption'!AF53*ramps!AG16*1000</f>
        <v>163.65262391895081</v>
      </c>
      <c r="AG36" s="230" t="s">
        <v>1109</v>
      </c>
    </row>
    <row r="37" spans="1:33">
      <c r="A37" s="15" t="s">
        <v>24</v>
      </c>
      <c r="B37" s="306">
        <f>'Adjusted Consumption'!B54*ramps!C16*1000</f>
        <v>41.739870749556893</v>
      </c>
      <c r="C37" s="306">
        <f>'Adjusted Consumption'!C54*ramps!D16*1000</f>
        <v>53.969001894623801</v>
      </c>
      <c r="D37" s="306">
        <f>'Adjusted Consumption'!D54*ramps!E16*1000</f>
        <v>66.696943787108452</v>
      </c>
      <c r="E37" s="306">
        <f>'Adjusted Consumption'!E54*ramps!F16*1000</f>
        <v>78.44746119915709</v>
      </c>
      <c r="F37" s="306">
        <f>'Adjusted Consumption'!F54*ramps!G16*1000</f>
        <v>97.016043916815121</v>
      </c>
      <c r="G37" s="306">
        <f>'Adjusted Consumption'!G54*ramps!H16*1000</f>
        <v>107.99872906085956</v>
      </c>
      <c r="H37" s="306">
        <f>'Adjusted Consumption'!H54*ramps!I16*1000</f>
        <v>121.75827980938458</v>
      </c>
      <c r="I37" s="306">
        <f>'Adjusted Consumption'!I54*ramps!J16*1000</f>
        <v>127.75697736553765</v>
      </c>
      <c r="J37" s="306">
        <f>'Adjusted Consumption'!J54*ramps!K16*1000</f>
        <v>135.84493164520947</v>
      </c>
      <c r="K37" s="306">
        <f>'Adjusted Consumption'!K54*ramps!L16*1000</f>
        <v>133.08654233062495</v>
      </c>
      <c r="L37" s="306">
        <f>'Adjusted Consumption'!L54*ramps!M16*1000</f>
        <v>141.87388638386921</v>
      </c>
      <c r="M37" s="306">
        <f>'Adjusted Consumption'!M54*ramps!N16*1000</f>
        <v>147.53581306426409</v>
      </c>
      <c r="N37" s="306">
        <f>'Adjusted Consumption'!N54*ramps!O16*1000</f>
        <v>154.05510985972404</v>
      </c>
      <c r="O37" s="306">
        <f>'Adjusted Consumption'!O54*ramps!P16*1000</f>
        <v>160.04093732915808</v>
      </c>
      <c r="P37" s="306">
        <f>'Adjusted Consumption'!P54*ramps!Q16*1000</f>
        <v>163.93748556644132</v>
      </c>
      <c r="Q37" s="306">
        <f>'Adjusted Consumption'!Q54*ramps!R16*1000</f>
        <v>164.45266796238917</v>
      </c>
      <c r="R37" s="306">
        <f>'Adjusted Consumption'!R54*ramps!S16*1000</f>
        <v>166.64969577338792</v>
      </c>
      <c r="S37" s="306">
        <f>'Adjusted Consumption'!S54*ramps!T16*1000</f>
        <v>167.89144458201392</v>
      </c>
      <c r="T37" s="306">
        <f>'Adjusted Consumption'!T54*ramps!U16*1000</f>
        <v>170.1536961576432</v>
      </c>
      <c r="U37" s="306">
        <f>'Adjusted Consumption'!U54*ramps!V16*1000</f>
        <v>171.51789489728102</v>
      </c>
      <c r="V37" s="306">
        <f>'Adjusted Consumption'!V54*ramps!W16*1000</f>
        <v>173.67034093793245</v>
      </c>
      <c r="W37" s="306">
        <f>'Adjusted Consumption'!W54*ramps!X16*1000</f>
        <v>175.82537383145103</v>
      </c>
      <c r="X37" s="306">
        <f>'Adjusted Consumption'!X54*ramps!Y16*1000</f>
        <v>176.76747529475981</v>
      </c>
      <c r="Y37" s="306">
        <f>'Adjusted Consumption'!Y54*ramps!Z16*1000</f>
        <v>179.70427499264994</v>
      </c>
      <c r="Z37" s="306">
        <f>'Adjusted Consumption'!Z54*ramps!AA16*1000</f>
        <v>184.12678160043964</v>
      </c>
      <c r="AA37" s="306">
        <f>'Adjusted Consumption'!AA54*ramps!AB16*1000</f>
        <v>190.42035554860152</v>
      </c>
      <c r="AB37" s="306">
        <f>'Adjusted Consumption'!AB54*ramps!AC16*1000</f>
        <v>192.31066990549436</v>
      </c>
      <c r="AC37" s="306">
        <f>'Adjusted Consumption'!AC54*ramps!AD16*1000</f>
        <v>195.89043030486687</v>
      </c>
      <c r="AD37" s="306">
        <f>'Adjusted Consumption'!AD54*ramps!AE16*1000</f>
        <v>200.34656626708085</v>
      </c>
      <c r="AE37" s="306">
        <f>'Adjusted Consumption'!AE54*ramps!AF16*1000</f>
        <v>203.68253919463152</v>
      </c>
      <c r="AF37" s="306">
        <f>'Adjusted Consumption'!AF54*ramps!AG16*1000</f>
        <v>206.48389149210729</v>
      </c>
    </row>
    <row r="38" spans="1:33">
      <c r="A38" s="15" t="s">
        <v>59</v>
      </c>
      <c r="B38" s="306">
        <f>'Adjusted Consumption'!B55*ramps!C16*1000</f>
        <v>0</v>
      </c>
      <c r="C38" s="306">
        <f>'Adjusted Consumption'!C55*ramps!D16*1000</f>
        <v>0</v>
      </c>
      <c r="D38" s="306">
        <f>'Adjusted Consumption'!D55*ramps!E16*1000</f>
        <v>0</v>
      </c>
      <c r="E38" s="306">
        <f>'Adjusted Consumption'!E55*ramps!F16*1000</f>
        <v>0</v>
      </c>
      <c r="F38" s="306">
        <f>'Adjusted Consumption'!F55*ramps!G16*1000</f>
        <v>0</v>
      </c>
      <c r="G38" s="306">
        <f>'Adjusted Consumption'!G55*ramps!H16*1000</f>
        <v>0</v>
      </c>
      <c r="H38" s="306">
        <f>'Adjusted Consumption'!H55*ramps!I16*1000</f>
        <v>0</v>
      </c>
      <c r="I38" s="306">
        <f>'Adjusted Consumption'!I55*ramps!J16*1000</f>
        <v>0</v>
      </c>
      <c r="J38" s="306">
        <f>'Adjusted Consumption'!J55*ramps!K16*1000</f>
        <v>0</v>
      </c>
      <c r="K38" s="306">
        <f>'Adjusted Consumption'!K55*ramps!L16*1000</f>
        <v>0</v>
      </c>
      <c r="L38" s="306">
        <f>'Adjusted Consumption'!L55*ramps!M16*1000</f>
        <v>0</v>
      </c>
      <c r="M38" s="306">
        <f>'Adjusted Consumption'!M55*ramps!N16*1000</f>
        <v>0</v>
      </c>
      <c r="N38" s="306">
        <f>'Adjusted Consumption'!N55*ramps!O16*1000</f>
        <v>0</v>
      </c>
      <c r="O38" s="306">
        <f>'Adjusted Consumption'!O55*ramps!P16*1000</f>
        <v>0</v>
      </c>
      <c r="P38" s="306">
        <f>'Adjusted Consumption'!P55*ramps!Q16*1000</f>
        <v>0</v>
      </c>
      <c r="Q38" s="306">
        <f>'Adjusted Consumption'!Q55*ramps!R16*1000</f>
        <v>0</v>
      </c>
      <c r="R38" s="306">
        <f>'Adjusted Consumption'!R55*ramps!S16*1000</f>
        <v>0</v>
      </c>
      <c r="S38" s="306">
        <f>'Adjusted Consumption'!S55*ramps!T16*1000</f>
        <v>0</v>
      </c>
      <c r="T38" s="306">
        <f>'Adjusted Consumption'!T55*ramps!U16*1000</f>
        <v>0</v>
      </c>
      <c r="U38" s="306">
        <f>'Adjusted Consumption'!U55*ramps!V16*1000</f>
        <v>0</v>
      </c>
      <c r="V38" s="306">
        <f>'Adjusted Consumption'!V55*ramps!W16*1000</f>
        <v>0</v>
      </c>
      <c r="W38" s="306">
        <f>'Adjusted Consumption'!W55*ramps!X16*1000</f>
        <v>0</v>
      </c>
      <c r="X38" s="306">
        <f>'Adjusted Consumption'!X55*ramps!Y16*1000</f>
        <v>0</v>
      </c>
      <c r="Y38" s="306">
        <f>'Adjusted Consumption'!Y55*ramps!Z16*1000</f>
        <v>0</v>
      </c>
      <c r="Z38" s="306">
        <f>'Adjusted Consumption'!Z55*ramps!AA16*1000</f>
        <v>0</v>
      </c>
      <c r="AA38" s="306">
        <f>'Adjusted Consumption'!AA55*ramps!AB16*1000</f>
        <v>0</v>
      </c>
      <c r="AB38" s="306">
        <f>'Adjusted Consumption'!AB55*ramps!AC16*1000</f>
        <v>0</v>
      </c>
      <c r="AC38" s="306">
        <f>'Adjusted Consumption'!AC55*ramps!AD16*1000</f>
        <v>0</v>
      </c>
      <c r="AD38" s="306">
        <f>'Adjusted Consumption'!AD55*ramps!AE16*1000</f>
        <v>0</v>
      </c>
      <c r="AE38" s="306">
        <f>'Adjusted Consumption'!AE55*ramps!AF16*1000</f>
        <v>0</v>
      </c>
      <c r="AF38" s="306">
        <f>'Adjusted Consumption'!AF55*ramps!AG16*1000</f>
        <v>0</v>
      </c>
    </row>
    <row r="39" spans="1:33">
      <c r="A39" s="15" t="s">
        <v>1120</v>
      </c>
      <c r="B39" s="306">
        <f>'Adjusted Consumption'!B56*ramps!C16*1000</f>
        <v>0</v>
      </c>
      <c r="C39" s="306">
        <f>'Adjusted Consumption'!C56*ramps!D16*1000</f>
        <v>0</v>
      </c>
      <c r="D39" s="306">
        <f>'Adjusted Consumption'!D56*ramps!E16*1000</f>
        <v>0</v>
      </c>
      <c r="E39" s="306">
        <f>'Adjusted Consumption'!E56*ramps!F16*1000</f>
        <v>0</v>
      </c>
      <c r="F39" s="306">
        <f>'Adjusted Consumption'!F56*ramps!G16*1000</f>
        <v>0</v>
      </c>
      <c r="G39" s="306">
        <f>'Adjusted Consumption'!G56*ramps!H16*1000</f>
        <v>0</v>
      </c>
      <c r="H39" s="306">
        <f>'Adjusted Consumption'!H56*ramps!I16*1000</f>
        <v>0</v>
      </c>
      <c r="I39" s="306">
        <f>'Adjusted Consumption'!I56*ramps!J16*1000</f>
        <v>0</v>
      </c>
      <c r="J39" s="306">
        <f>'Adjusted Consumption'!J56*ramps!K16*1000</f>
        <v>0</v>
      </c>
      <c r="K39" s="306">
        <f>'Adjusted Consumption'!K56*ramps!L16*1000</f>
        <v>0</v>
      </c>
      <c r="L39" s="306">
        <f>'Adjusted Consumption'!L56*ramps!M16*1000</f>
        <v>0</v>
      </c>
      <c r="M39" s="306">
        <f>'Adjusted Consumption'!M56*ramps!N16*1000</f>
        <v>0</v>
      </c>
      <c r="N39" s="306">
        <f>'Adjusted Consumption'!N56*ramps!O16*1000</f>
        <v>0</v>
      </c>
      <c r="O39" s="306">
        <f>'Adjusted Consumption'!O56*ramps!P16*1000</f>
        <v>0</v>
      </c>
      <c r="P39" s="306">
        <f>'Adjusted Consumption'!P56*ramps!Q16*1000</f>
        <v>0</v>
      </c>
      <c r="Q39" s="306">
        <f>'Adjusted Consumption'!Q56*ramps!R16*1000</f>
        <v>0</v>
      </c>
      <c r="R39" s="306">
        <f>'Adjusted Consumption'!R56*ramps!S16*1000</f>
        <v>0</v>
      </c>
      <c r="S39" s="306">
        <f>'Adjusted Consumption'!S56*ramps!T16*1000</f>
        <v>0</v>
      </c>
      <c r="T39" s="306">
        <f>'Adjusted Consumption'!T56*ramps!U16*1000</f>
        <v>0</v>
      </c>
      <c r="U39" s="306">
        <f>'Adjusted Consumption'!U56*ramps!V16*1000</f>
        <v>0</v>
      </c>
      <c r="V39" s="306">
        <f>'Adjusted Consumption'!V56*ramps!W16*1000</f>
        <v>0</v>
      </c>
      <c r="W39" s="306">
        <f>'Adjusted Consumption'!W56*ramps!X16*1000</f>
        <v>0</v>
      </c>
      <c r="X39" s="306">
        <f>'Adjusted Consumption'!X56*ramps!Y16*1000</f>
        <v>0</v>
      </c>
      <c r="Y39" s="306">
        <f>'Adjusted Consumption'!Y56*ramps!Z16*1000</f>
        <v>0</v>
      </c>
      <c r="Z39" s="306">
        <f>'Adjusted Consumption'!Z56*ramps!AA16*1000</f>
        <v>0</v>
      </c>
      <c r="AA39" s="306">
        <f>'Adjusted Consumption'!AA56*ramps!AB16*1000</f>
        <v>0</v>
      </c>
      <c r="AB39" s="306">
        <f>'Adjusted Consumption'!AB56*ramps!AC16*1000</f>
        <v>0</v>
      </c>
      <c r="AC39" s="306">
        <f>'Adjusted Consumption'!AC56*ramps!AD16*1000</f>
        <v>0</v>
      </c>
      <c r="AD39" s="306">
        <f>'Adjusted Consumption'!AD56*ramps!AE16*1000</f>
        <v>0</v>
      </c>
      <c r="AE39" s="306">
        <f>'Adjusted Consumption'!AE56*ramps!AF16*1000</f>
        <v>0</v>
      </c>
      <c r="AF39" s="306">
        <f>'Adjusted Consumption'!AF56*ramps!AG16*1000</f>
        <v>0</v>
      </c>
    </row>
    <row r="40" spans="1:33">
      <c r="A40" s="15" t="s">
        <v>60</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row>
    <row r="41" spans="1:33">
      <c r="A41" s="15" t="s">
        <v>34</v>
      </c>
      <c r="B41" s="306">
        <f>'Adjusted Consumption'!B58*ramps!C17*1000</f>
        <v>0</v>
      </c>
      <c r="C41" s="306">
        <f>'Adjusted Consumption'!C58*ramps!D17*1000</f>
        <v>0</v>
      </c>
      <c r="D41" s="306">
        <f>'Adjusted Consumption'!D58*ramps!E17*1000</f>
        <v>0</v>
      </c>
      <c r="E41" s="306">
        <f>'Adjusted Consumption'!E58*ramps!F17*1000</f>
        <v>0</v>
      </c>
      <c r="F41" s="306">
        <f>'Adjusted Consumption'!F58*ramps!G17*1000</f>
        <v>0</v>
      </c>
      <c r="G41" s="306">
        <f>'Adjusted Consumption'!G58*ramps!H17*1000</f>
        <v>0</v>
      </c>
      <c r="H41" s="306">
        <f>'Adjusted Consumption'!H58*ramps!I17*1000</f>
        <v>0</v>
      </c>
      <c r="I41" s="306">
        <f>'Adjusted Consumption'!I58*ramps!J17*1000</f>
        <v>0</v>
      </c>
      <c r="J41" s="306">
        <f>'Adjusted Consumption'!J58*ramps!K17*1000</f>
        <v>0</v>
      </c>
      <c r="K41" s="306">
        <f>'Adjusted Consumption'!K58*ramps!L17*1000</f>
        <v>0</v>
      </c>
      <c r="L41" s="306">
        <f>'Adjusted Consumption'!L58*ramps!M17*1000</f>
        <v>0</v>
      </c>
      <c r="M41" s="306">
        <f>'Adjusted Consumption'!M58*ramps!N17*1000</f>
        <v>0</v>
      </c>
      <c r="N41" s="306">
        <f>'Adjusted Consumption'!N58*ramps!O17*1000</f>
        <v>0</v>
      </c>
      <c r="O41" s="306">
        <f>'Adjusted Consumption'!O58*ramps!P17*1000</f>
        <v>0</v>
      </c>
      <c r="P41" s="306">
        <f>'Adjusted Consumption'!P58*ramps!Q17*1000</f>
        <v>0</v>
      </c>
      <c r="Q41" s="306">
        <f>'Adjusted Consumption'!Q58*ramps!R17*1000</f>
        <v>0</v>
      </c>
      <c r="R41" s="306">
        <f>'Adjusted Consumption'!R58*ramps!S17*1000</f>
        <v>0</v>
      </c>
      <c r="S41" s="306">
        <f>'Adjusted Consumption'!S58*ramps!T17*1000</f>
        <v>0</v>
      </c>
      <c r="T41" s="306">
        <f>'Adjusted Consumption'!T58*ramps!U17*1000</f>
        <v>0</v>
      </c>
      <c r="U41" s="306">
        <f>'Adjusted Consumption'!U58*ramps!V17*1000</f>
        <v>0</v>
      </c>
      <c r="V41" s="306">
        <f>'Adjusted Consumption'!V58*ramps!W17*1000</f>
        <v>0</v>
      </c>
      <c r="W41" s="306">
        <f>'Adjusted Consumption'!W58*ramps!X17*1000</f>
        <v>0</v>
      </c>
      <c r="X41" s="306">
        <f>'Adjusted Consumption'!X58*ramps!Y17*1000</f>
        <v>0</v>
      </c>
      <c r="Y41" s="306">
        <f>'Adjusted Consumption'!Y58*ramps!Z17*1000</f>
        <v>0</v>
      </c>
      <c r="Z41" s="306">
        <f>'Adjusted Consumption'!Z58*ramps!AA17*1000</f>
        <v>0</v>
      </c>
      <c r="AA41" s="306">
        <f>'Adjusted Consumption'!AA58*ramps!AB17*1000</f>
        <v>0</v>
      </c>
      <c r="AB41" s="306">
        <f>'Adjusted Consumption'!AB58*ramps!AC17*1000</f>
        <v>0</v>
      </c>
      <c r="AC41" s="306">
        <f>'Adjusted Consumption'!AC58*ramps!AD17*1000</f>
        <v>0</v>
      </c>
      <c r="AD41" s="306">
        <f>'Adjusted Consumption'!AD58*ramps!AE17*1000</f>
        <v>0</v>
      </c>
      <c r="AE41" s="306">
        <f>'Adjusted Consumption'!AE58*ramps!AF17*1000</f>
        <v>0</v>
      </c>
      <c r="AF41" s="306">
        <f>'Adjusted Consumption'!AF58*ramps!AG17*1000</f>
        <v>0</v>
      </c>
    </row>
    <row r="42" spans="1:33">
      <c r="A42" s="15" t="s">
        <v>35</v>
      </c>
      <c r="B42" s="306">
        <f>'Adjusted Consumption'!B59*ramps!C17*1000</f>
        <v>1.5948466638229395</v>
      </c>
      <c r="C42" s="306">
        <f>'Adjusted Consumption'!C59*ramps!D17*1000</f>
        <v>2.1028294952229176</v>
      </c>
      <c r="D42" s="306">
        <f>'Adjusted Consumption'!D59*ramps!E17*1000</f>
        <v>2.5769545722143823</v>
      </c>
      <c r="E42" s="306">
        <f>'Adjusted Consumption'!E59*ramps!F17*1000</f>
        <v>3.0335020003305591</v>
      </c>
      <c r="F42" s="306">
        <f>'Adjusted Consumption'!F59*ramps!G17*1000</f>
        <v>3.4656874073490926</v>
      </c>
      <c r="G42" s="306">
        <f>'Adjusted Consumption'!G59*ramps!H17*1000</f>
        <v>3.8688591970400337</v>
      </c>
      <c r="H42" s="306">
        <f>'Adjusted Consumption'!H59*ramps!I17*1000</f>
        <v>4.2049509682373039</v>
      </c>
      <c r="I42" s="306">
        <f>'Adjusted Consumption'!I59*ramps!J17*1000</f>
        <v>4.4728351325666758</v>
      </c>
      <c r="J42" s="306">
        <f>'Adjusted Consumption'!J59*ramps!K17*1000</f>
        <v>4.6926799803536872</v>
      </c>
      <c r="K42" s="306">
        <f>'Adjusted Consumption'!K59*ramps!L17*1000</f>
        <v>4.8463997997556607</v>
      </c>
      <c r="L42" s="306">
        <f>'Adjusted Consumption'!L59*ramps!M17*1000</f>
        <v>4.9027063437993643</v>
      </c>
      <c r="M42" s="306">
        <f>'Adjusted Consumption'!M59*ramps!N17*1000</f>
        <v>4.8964183261239356</v>
      </c>
      <c r="N42" s="306">
        <f>'Adjusted Consumption'!N59*ramps!O17*1000</f>
        <v>4.7997207102749746</v>
      </c>
      <c r="O42" s="306">
        <f>'Adjusted Consumption'!O59*ramps!P17*1000</f>
        <v>4.6362697288833488</v>
      </c>
      <c r="P42" s="306">
        <f>'Adjusted Consumption'!P59*ramps!Q17*1000</f>
        <v>4.3854274883661724</v>
      </c>
      <c r="Q42" s="306">
        <f>'Adjusted Consumption'!Q59*ramps!R17*1000</f>
        <v>4.0962696287845368</v>
      </c>
      <c r="R42" s="306">
        <f>'Adjusted Consumption'!R59*ramps!S17*1000</f>
        <v>3.855742504018858</v>
      </c>
      <c r="S42" s="306">
        <f>'Adjusted Consumption'!S59*ramps!T17*1000</f>
        <v>3.6120619909944947</v>
      </c>
      <c r="T42" s="306">
        <f>'Adjusted Consumption'!T59*ramps!U17*1000</f>
        <v>3.3753906468234955</v>
      </c>
      <c r="U42" s="306">
        <f>'Adjusted Consumption'!U59*ramps!V17*1000</f>
        <v>3.1340174003446375</v>
      </c>
      <c r="V42" s="306">
        <f>'Adjusted Consumption'!V59*ramps!W17*1000</f>
        <v>3.1384670973573532</v>
      </c>
      <c r="W42" s="306">
        <f>'Adjusted Consumption'!W59*ramps!X17*1000</f>
        <v>3.1468890612132725</v>
      </c>
      <c r="X42" s="306">
        <f>'Adjusted Consumption'!X59*ramps!Y17*1000</f>
        <v>3.1513564825643936</v>
      </c>
      <c r="Y42" s="306">
        <f>'Adjusted Consumption'!Y59*ramps!Z17*1000</f>
        <v>3.1593742719423328</v>
      </c>
      <c r="Z42" s="306">
        <f>'Adjusted Consumption'!Z59*ramps!AA17*1000</f>
        <v>3.1705144508424756</v>
      </c>
      <c r="AA42" s="306">
        <f>'Adjusted Consumption'!AA59*ramps!AB17*1000</f>
        <v>3.1904567039617859</v>
      </c>
      <c r="AB42" s="306">
        <f>'Adjusted Consumption'!AB59*ramps!AC17*1000</f>
        <v>3.2113267018391531</v>
      </c>
      <c r="AC42" s="306">
        <f>'Adjusted Consumption'!AC59*ramps!AD17*1000</f>
        <v>3.2266567559633055</v>
      </c>
      <c r="AD42" s="306">
        <f>'Adjusted Consumption'!AD59*ramps!AE17*1000</f>
        <v>3.2489207879451438</v>
      </c>
      <c r="AE42" s="306">
        <f>'Adjusted Consumption'!AE59*ramps!AF17*1000</f>
        <v>3.2743144925063423</v>
      </c>
      <c r="AF42" s="306">
        <f>'Adjusted Consumption'!AF59*ramps!AG17*1000</f>
        <v>3.2952600162244785</v>
      </c>
    </row>
    <row r="43" spans="1:33">
      <c r="A43" s="15" t="s">
        <v>61</v>
      </c>
      <c r="B43" s="306">
        <f>'Adjusted Consumption'!B60*ramps!C17*1000</f>
        <v>0</v>
      </c>
      <c r="C43" s="306">
        <f>'Adjusted Consumption'!C60*ramps!D17*1000</f>
        <v>0</v>
      </c>
      <c r="D43" s="306">
        <f>'Adjusted Consumption'!D60*ramps!E17*1000</f>
        <v>0</v>
      </c>
      <c r="E43" s="306">
        <f>'Adjusted Consumption'!E60*ramps!F17*1000</f>
        <v>0</v>
      </c>
      <c r="F43" s="306">
        <f>'Adjusted Consumption'!F60*ramps!G17*1000</f>
        <v>0</v>
      </c>
      <c r="G43" s="306">
        <f>'Adjusted Consumption'!G60*ramps!H17*1000</f>
        <v>0</v>
      </c>
      <c r="H43" s="306">
        <f>'Adjusted Consumption'!H60*ramps!I17*1000</f>
        <v>0</v>
      </c>
      <c r="I43" s="306">
        <f>'Adjusted Consumption'!I60*ramps!J17*1000</f>
        <v>0</v>
      </c>
      <c r="J43" s="306">
        <f>'Adjusted Consumption'!J60*ramps!K17*1000</f>
        <v>0</v>
      </c>
      <c r="K43" s="306">
        <f>'Adjusted Consumption'!K60*ramps!L17*1000</f>
        <v>0</v>
      </c>
      <c r="L43" s="306">
        <f>'Adjusted Consumption'!L60*ramps!M17*1000</f>
        <v>0</v>
      </c>
      <c r="M43" s="306">
        <f>'Adjusted Consumption'!M60*ramps!N17*1000</f>
        <v>0</v>
      </c>
      <c r="N43" s="306">
        <f>'Adjusted Consumption'!N60*ramps!O17*1000</f>
        <v>0</v>
      </c>
      <c r="O43" s="306">
        <f>'Adjusted Consumption'!O60*ramps!P17*1000</f>
        <v>0</v>
      </c>
      <c r="P43" s="306">
        <f>'Adjusted Consumption'!P60*ramps!Q17*1000</f>
        <v>0</v>
      </c>
      <c r="Q43" s="306">
        <f>'Adjusted Consumption'!Q60*ramps!R17*1000</f>
        <v>0</v>
      </c>
      <c r="R43" s="306">
        <f>'Adjusted Consumption'!R60*ramps!S17*1000</f>
        <v>0</v>
      </c>
      <c r="S43" s="306">
        <f>'Adjusted Consumption'!S60*ramps!T17*1000</f>
        <v>0</v>
      </c>
      <c r="T43" s="306">
        <f>'Adjusted Consumption'!T60*ramps!U17*1000</f>
        <v>0</v>
      </c>
      <c r="U43" s="306">
        <f>'Adjusted Consumption'!U60*ramps!V17*1000</f>
        <v>0</v>
      </c>
      <c r="V43" s="306">
        <f>'Adjusted Consumption'!V60*ramps!W17*1000</f>
        <v>0</v>
      </c>
      <c r="W43" s="306">
        <f>'Adjusted Consumption'!W60*ramps!X17*1000</f>
        <v>0</v>
      </c>
      <c r="X43" s="306">
        <f>'Adjusted Consumption'!X60*ramps!Y17*1000</f>
        <v>0</v>
      </c>
      <c r="Y43" s="306">
        <f>'Adjusted Consumption'!Y60*ramps!Z17*1000</f>
        <v>0</v>
      </c>
      <c r="Z43" s="306">
        <f>'Adjusted Consumption'!Z60*ramps!AA17*1000</f>
        <v>0</v>
      </c>
      <c r="AA43" s="306">
        <f>'Adjusted Consumption'!AA60*ramps!AB17*1000</f>
        <v>0</v>
      </c>
      <c r="AB43" s="306">
        <f>'Adjusted Consumption'!AB60*ramps!AC17*1000</f>
        <v>0</v>
      </c>
      <c r="AC43" s="306">
        <f>'Adjusted Consumption'!AC60*ramps!AD17*1000</f>
        <v>0</v>
      </c>
      <c r="AD43" s="306">
        <f>'Adjusted Consumption'!AD60*ramps!AE17*1000</f>
        <v>0</v>
      </c>
      <c r="AE43" s="306">
        <f>'Adjusted Consumption'!AE60*ramps!AF17*1000</f>
        <v>0</v>
      </c>
      <c r="AF43" s="306">
        <f>'Adjusted Consumption'!AF60*ramps!AG17*1000</f>
        <v>0</v>
      </c>
    </row>
    <row r="44" spans="1:33">
      <c r="A44" s="15" t="s">
        <v>62</v>
      </c>
      <c r="B44" s="306">
        <f>'Adjusted Consumption'!B61*ramps!C17*1000</f>
        <v>0</v>
      </c>
      <c r="C44" s="306">
        <f>'Adjusted Consumption'!C61*ramps!D17*1000</f>
        <v>0</v>
      </c>
      <c r="D44" s="306">
        <f>'Adjusted Consumption'!D61*ramps!E17*1000</f>
        <v>0</v>
      </c>
      <c r="E44" s="306">
        <f>'Adjusted Consumption'!E61*ramps!F17*1000</f>
        <v>0</v>
      </c>
      <c r="F44" s="306">
        <f>'Adjusted Consumption'!F61*ramps!G17*1000</f>
        <v>0</v>
      </c>
      <c r="G44" s="306">
        <f>'Adjusted Consumption'!G61*ramps!H17*1000</f>
        <v>0</v>
      </c>
      <c r="H44" s="306">
        <f>'Adjusted Consumption'!H61*ramps!I17*1000</f>
        <v>0</v>
      </c>
      <c r="I44" s="306">
        <f>'Adjusted Consumption'!I61*ramps!J17*1000</f>
        <v>0</v>
      </c>
      <c r="J44" s="306">
        <f>'Adjusted Consumption'!J61*ramps!K17*1000</f>
        <v>0</v>
      </c>
      <c r="K44" s="306">
        <f>'Adjusted Consumption'!K61*ramps!L17*1000</f>
        <v>0</v>
      </c>
      <c r="L44" s="306">
        <f>'Adjusted Consumption'!L61*ramps!M17*1000</f>
        <v>0</v>
      </c>
      <c r="M44" s="306">
        <f>'Adjusted Consumption'!M61*ramps!N17*1000</f>
        <v>0</v>
      </c>
      <c r="N44" s="306">
        <f>'Adjusted Consumption'!N61*ramps!O17*1000</f>
        <v>0</v>
      </c>
      <c r="O44" s="306">
        <f>'Adjusted Consumption'!O61*ramps!P17*1000</f>
        <v>0</v>
      </c>
      <c r="P44" s="306">
        <f>'Adjusted Consumption'!P61*ramps!Q17*1000</f>
        <v>0</v>
      </c>
      <c r="Q44" s="306">
        <f>'Adjusted Consumption'!Q61*ramps!R17*1000</f>
        <v>0</v>
      </c>
      <c r="R44" s="306">
        <f>'Adjusted Consumption'!R61*ramps!S17*1000</f>
        <v>0</v>
      </c>
      <c r="S44" s="306">
        <f>'Adjusted Consumption'!S61*ramps!T17*1000</f>
        <v>0</v>
      </c>
      <c r="T44" s="306">
        <f>'Adjusted Consumption'!T61*ramps!U17*1000</f>
        <v>0</v>
      </c>
      <c r="U44" s="306">
        <f>'Adjusted Consumption'!U61*ramps!V17*1000</f>
        <v>0</v>
      </c>
      <c r="V44" s="306">
        <f>'Adjusted Consumption'!V61*ramps!W17*1000</f>
        <v>0</v>
      </c>
      <c r="W44" s="306">
        <f>'Adjusted Consumption'!W61*ramps!X17*1000</f>
        <v>0</v>
      </c>
      <c r="X44" s="306">
        <f>'Adjusted Consumption'!X61*ramps!Y17*1000</f>
        <v>0</v>
      </c>
      <c r="Y44" s="306">
        <f>'Adjusted Consumption'!Y61*ramps!Z17*1000</f>
        <v>0</v>
      </c>
      <c r="Z44" s="306">
        <f>'Adjusted Consumption'!Z61*ramps!AA17*1000</f>
        <v>0</v>
      </c>
      <c r="AA44" s="306">
        <f>'Adjusted Consumption'!AA61*ramps!AB17*1000</f>
        <v>0</v>
      </c>
      <c r="AB44" s="306">
        <f>'Adjusted Consumption'!AB61*ramps!AC17*1000</f>
        <v>0</v>
      </c>
      <c r="AC44" s="306">
        <f>'Adjusted Consumption'!AC61*ramps!AD17*1000</f>
        <v>0</v>
      </c>
      <c r="AD44" s="306">
        <f>'Adjusted Consumption'!AD61*ramps!AE17*1000</f>
        <v>0</v>
      </c>
      <c r="AE44" s="306">
        <f>'Adjusted Consumption'!AE61*ramps!AF17*1000</f>
        <v>0</v>
      </c>
      <c r="AF44" s="306">
        <f>'Adjusted Consumption'!AF61*ramps!AG17*1000</f>
        <v>0</v>
      </c>
    </row>
    <row r="45" spans="1:33">
      <c r="A45" s="15" t="s">
        <v>63</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row>
    <row r="46" spans="1:33">
      <c r="A46" s="15" t="s">
        <v>64</v>
      </c>
      <c r="B46" s="306">
        <v>0</v>
      </c>
      <c r="C46" s="306">
        <v>0</v>
      </c>
      <c r="D46" s="306">
        <v>0</v>
      </c>
      <c r="E46" s="306">
        <v>0</v>
      </c>
      <c r="F46" s="306">
        <v>0</v>
      </c>
      <c r="G46" s="306">
        <v>0</v>
      </c>
      <c r="H46" s="306">
        <v>0</v>
      </c>
      <c r="I46" s="306">
        <v>0</v>
      </c>
      <c r="J46" s="306">
        <v>0</v>
      </c>
      <c r="K46" s="306">
        <v>0</v>
      </c>
      <c r="L46" s="306">
        <v>0</v>
      </c>
      <c r="M46" s="306">
        <v>0</v>
      </c>
      <c r="N46" s="306">
        <v>0</v>
      </c>
      <c r="O46" s="306">
        <v>0</v>
      </c>
      <c r="P46" s="306">
        <v>0</v>
      </c>
      <c r="Q46" s="306">
        <v>0</v>
      </c>
      <c r="R46" s="306">
        <v>0</v>
      </c>
      <c r="S46" s="306">
        <v>0</v>
      </c>
      <c r="T46" s="306">
        <v>0</v>
      </c>
      <c r="U46" s="306">
        <v>0</v>
      </c>
      <c r="V46" s="306">
        <v>0</v>
      </c>
      <c r="W46" s="306">
        <v>0</v>
      </c>
      <c r="X46" s="306">
        <v>0</v>
      </c>
      <c r="Y46" s="306">
        <v>0</v>
      </c>
      <c r="Z46" s="306">
        <v>0</v>
      </c>
      <c r="AA46" s="306">
        <v>0</v>
      </c>
      <c r="AB46" s="306">
        <v>0</v>
      </c>
      <c r="AC46" s="306">
        <v>0</v>
      </c>
      <c r="AD46" s="306">
        <v>0</v>
      </c>
      <c r="AE46" s="306">
        <v>0</v>
      </c>
      <c r="AF46" s="306">
        <v>0</v>
      </c>
    </row>
    <row r="47" spans="1:33">
      <c r="A47" s="15" t="s">
        <v>1121</v>
      </c>
      <c r="B47" s="306">
        <v>0</v>
      </c>
      <c r="C47" s="306">
        <v>0</v>
      </c>
      <c r="D47" s="306">
        <v>0</v>
      </c>
      <c r="E47" s="306">
        <v>0</v>
      </c>
      <c r="F47" s="306">
        <v>0</v>
      </c>
      <c r="G47" s="306">
        <v>0</v>
      </c>
      <c r="H47" s="306">
        <v>0</v>
      </c>
      <c r="I47" s="306">
        <v>0</v>
      </c>
      <c r="J47" s="306">
        <v>0</v>
      </c>
      <c r="K47" s="306">
        <v>0</v>
      </c>
      <c r="L47" s="306">
        <v>0</v>
      </c>
      <c r="M47" s="306">
        <v>0</v>
      </c>
      <c r="N47" s="306">
        <v>0</v>
      </c>
      <c r="O47" s="306">
        <v>0</v>
      </c>
      <c r="P47" s="306">
        <v>0</v>
      </c>
      <c r="Q47" s="306">
        <v>0</v>
      </c>
      <c r="R47" s="306">
        <v>0</v>
      </c>
      <c r="S47" s="306">
        <v>0</v>
      </c>
      <c r="T47" s="306">
        <v>0</v>
      </c>
      <c r="U47" s="306">
        <v>0</v>
      </c>
      <c r="V47" s="306">
        <v>0</v>
      </c>
      <c r="W47" s="306">
        <v>0</v>
      </c>
      <c r="X47" s="306">
        <v>0</v>
      </c>
      <c r="Y47" s="306">
        <v>0</v>
      </c>
      <c r="Z47" s="306">
        <v>0</v>
      </c>
      <c r="AA47" s="306">
        <v>0</v>
      </c>
      <c r="AB47" s="306">
        <v>0</v>
      </c>
      <c r="AC47" s="306">
        <v>0</v>
      </c>
      <c r="AD47" s="306">
        <v>0</v>
      </c>
      <c r="AE47" s="306">
        <v>0</v>
      </c>
      <c r="AF47" s="306">
        <v>0</v>
      </c>
    </row>
    <row r="48" spans="1:33">
      <c r="A48" s="15" t="s">
        <v>25</v>
      </c>
      <c r="B48" s="306">
        <f>B80*'Adjusted Consumption'!B222</f>
        <v>23.731411565754186</v>
      </c>
      <c r="C48" s="306">
        <f>C80*'Adjusted Consumption'!C222</f>
        <v>30.923633670600495</v>
      </c>
      <c r="D48" s="306">
        <f>D80*'Adjusted Consumption'!D222</f>
        <v>32.387950168911743</v>
      </c>
      <c r="E48" s="306">
        <f>E80*'Adjusted Consumption'!E222</f>
        <v>32.375806293297252</v>
      </c>
      <c r="F48" s="306">
        <f>F80*'Adjusted Consumption'!F222</f>
        <v>28.747498496805616</v>
      </c>
      <c r="G48" s="306">
        <f>G80*'Adjusted Consumption'!G222</f>
        <v>21.77727101097091</v>
      </c>
      <c r="H48" s="306">
        <f>H80*'Adjusted Consumption'!H222</f>
        <v>25.979269263826477</v>
      </c>
      <c r="I48" s="306">
        <f>I80*'Adjusted Consumption'!I222</f>
        <v>28.504162445582541</v>
      </c>
      <c r="J48" s="306">
        <f>J80*'Adjusted Consumption'!J222</f>
        <v>31.848856078541395</v>
      </c>
      <c r="K48" s="306">
        <f>K80*'Adjusted Consumption'!K222</f>
        <v>36.02546786780362</v>
      </c>
      <c r="L48" s="306">
        <f>L80*'Adjusted Consumption'!L222</f>
        <v>38.949754832832234</v>
      </c>
      <c r="M48" s="306">
        <f>M80*'Adjusted Consumption'!M222</f>
        <v>41.396826672061337</v>
      </c>
      <c r="N48" s="306">
        <f>N80*'Adjusted Consumption'!N222</f>
        <v>43.201564275169211</v>
      </c>
      <c r="O48" s="306">
        <f>O80*'Adjusted Consumption'!O222</f>
        <v>43.072459255045842</v>
      </c>
      <c r="P48" s="306">
        <f>P80*'Adjusted Consumption'!P222</f>
        <v>40.876662372717263</v>
      </c>
      <c r="Q48" s="306">
        <f>Q80*'Adjusted Consumption'!Q222</f>
        <v>37.743289709223234</v>
      </c>
      <c r="R48" s="306">
        <f>R80*'Adjusted Consumption'!R222</f>
        <v>34.321806752086523</v>
      </c>
      <c r="S48" s="306">
        <f>S80*'Adjusted Consumption'!S222</f>
        <v>30.902944932072433</v>
      </c>
      <c r="T48" s="306">
        <f>T80*'Adjusted Consumption'!T222</f>
        <v>27.387053204755212</v>
      </c>
      <c r="U48" s="306">
        <f>U80*'Adjusted Consumption'!U222</f>
        <v>23.773725602603271</v>
      </c>
      <c r="V48" s="306">
        <f>V80*'Adjusted Consumption'!V222</f>
        <v>20.065247230046509</v>
      </c>
      <c r="W48" s="306">
        <f>W80*'Adjusted Consumption'!W222</f>
        <v>16.255874869918053</v>
      </c>
      <c r="X48" s="306">
        <f>X80*'Adjusted Consumption'!X222</f>
        <v>12.344746922816302</v>
      </c>
      <c r="Y48" s="306">
        <f>Y80*'Adjusted Consumption'!Y222</f>
        <v>8.3318558452007458</v>
      </c>
      <c r="Z48" s="306">
        <f>Z80*'Adjusted Consumption'!Z222</f>
        <v>4.2170266086009383</v>
      </c>
      <c r="AA48" s="306">
        <f>AA80*'Adjusted Consumption'!AA222</f>
        <v>0</v>
      </c>
      <c r="AB48" s="306">
        <f>AB80*'Adjusted Consumption'!AB222</f>
        <v>0</v>
      </c>
      <c r="AC48" s="306">
        <f>AC80*'Adjusted Consumption'!AC222</f>
        <v>0</v>
      </c>
      <c r="AD48" s="306">
        <f>AD80*'Adjusted Consumption'!AD222</f>
        <v>0</v>
      </c>
      <c r="AE48" s="306">
        <f>AE80*'Adjusted Consumption'!AE222</f>
        <v>0</v>
      </c>
      <c r="AF48" s="306">
        <f>AF80*'Adjusted Consumption'!AF222</f>
        <v>0</v>
      </c>
    </row>
    <row r="49" spans="1:32">
      <c r="A49" s="15" t="s">
        <v>4</v>
      </c>
      <c r="B49" s="306">
        <f>SUM(B31:B48)</f>
        <v>127.83272497367898</v>
      </c>
      <c r="C49" s="306">
        <f t="shared" ref="C49:V49" si="4">SUM(C31:C48)</f>
        <v>163.98616472893224</v>
      </c>
      <c r="D49" s="306">
        <f t="shared" si="4"/>
        <v>193.5124413468169</v>
      </c>
      <c r="E49" s="306">
        <f t="shared" si="4"/>
        <v>219.73930364670161</v>
      </c>
      <c r="F49" s="306">
        <f t="shared" si="4"/>
        <v>249.97322060655918</v>
      </c>
      <c r="G49" s="306">
        <f t="shared" si="4"/>
        <v>269.64687824003619</v>
      </c>
      <c r="H49" s="306">
        <f t="shared" si="4"/>
        <v>298.60400093744488</v>
      </c>
      <c r="I49" s="306">
        <f t="shared" si="4"/>
        <v>316.19347405682186</v>
      </c>
      <c r="J49" s="306">
        <f t="shared" si="4"/>
        <v>339.66207645035615</v>
      </c>
      <c r="K49" s="306">
        <f t="shared" si="4"/>
        <v>349.88488583133631</v>
      </c>
      <c r="L49" s="306">
        <f t="shared" si="4"/>
        <v>373.08007035574758</v>
      </c>
      <c r="M49" s="306">
        <f t="shared" si="4"/>
        <v>392.78302427621361</v>
      </c>
      <c r="N49" s="306">
        <f t="shared" si="4"/>
        <v>414.36904073851633</v>
      </c>
      <c r="O49" s="306">
        <f t="shared" si="4"/>
        <v>434.23255033553698</v>
      </c>
      <c r="P49" s="306">
        <f t="shared" si="4"/>
        <v>444.2858009124655</v>
      </c>
      <c r="Q49" s="306">
        <f t="shared" si="4"/>
        <v>443.40797852818326</v>
      </c>
      <c r="R49" s="306">
        <f t="shared" si="4"/>
        <v>441.57148545285077</v>
      </c>
      <c r="S49" s="306">
        <f t="shared" si="4"/>
        <v>440.20831582089357</v>
      </c>
      <c r="T49" s="306">
        <f t="shared" si="4"/>
        <v>440.53002398621823</v>
      </c>
      <c r="U49" s="306">
        <f t="shared" si="4"/>
        <v>443.41029633277157</v>
      </c>
      <c r="V49" s="306">
        <f t="shared" si="4"/>
        <v>443.4414296433373</v>
      </c>
      <c r="W49" s="306">
        <f t="shared" ref="W49:AF49" si="5">SUM(W31:W48)</f>
        <v>444.96118142176925</v>
      </c>
      <c r="X49" s="306">
        <f t="shared" si="5"/>
        <v>444.59107355586099</v>
      </c>
      <c r="Y49" s="306">
        <f t="shared" si="5"/>
        <v>447.6201028671864</v>
      </c>
      <c r="Z49" s="306">
        <f t="shared" si="5"/>
        <v>449.82738538414537</v>
      </c>
      <c r="AA49" s="306">
        <f t="shared" si="5"/>
        <v>458.06876106597849</v>
      </c>
      <c r="AB49" s="306">
        <f t="shared" si="5"/>
        <v>463.25096551390999</v>
      </c>
      <c r="AC49" s="306">
        <f t="shared" si="5"/>
        <v>470.12636893645418</v>
      </c>
      <c r="AD49" s="306">
        <f t="shared" si="5"/>
        <v>478.72261359271391</v>
      </c>
      <c r="AE49" s="306">
        <f t="shared" si="5"/>
        <v>485.55964015498563</v>
      </c>
      <c r="AF49" s="306">
        <f t="shared" si="5"/>
        <v>494.31899252629762</v>
      </c>
    </row>
    <row r="50" spans="1:32">
      <c r="A50" s="40"/>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row>
    <row r="51" spans="1:32" s="5" customFormat="1" ht="13">
      <c r="A51" s="250" t="s">
        <v>36</v>
      </c>
      <c r="B51" s="38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1"/>
    </row>
    <row r="52" spans="1:32" s="396" customFormat="1" ht="12.9" customHeight="1">
      <c r="A52" s="253" t="s">
        <v>199</v>
      </c>
      <c r="B52" s="253">
        <v>2020</v>
      </c>
      <c r="C52" s="253">
        <v>2021</v>
      </c>
      <c r="D52" s="253">
        <v>2022</v>
      </c>
      <c r="E52" s="253">
        <v>2023</v>
      </c>
      <c r="F52" s="253">
        <v>2024</v>
      </c>
      <c r="G52" s="253">
        <v>2025</v>
      </c>
      <c r="H52" s="253">
        <v>2026</v>
      </c>
      <c r="I52" s="253">
        <v>2027</v>
      </c>
      <c r="J52" s="253">
        <v>2028</v>
      </c>
      <c r="K52" s="253">
        <v>2029</v>
      </c>
      <c r="L52" s="253">
        <v>2030</v>
      </c>
      <c r="M52" s="253">
        <v>2031</v>
      </c>
      <c r="N52" s="253">
        <v>2032</v>
      </c>
      <c r="O52" s="253">
        <v>2033</v>
      </c>
      <c r="P52" s="253">
        <v>2034</v>
      </c>
      <c r="Q52" s="253">
        <v>2035</v>
      </c>
      <c r="R52" s="253">
        <v>2036</v>
      </c>
      <c r="S52" s="253">
        <v>2037</v>
      </c>
      <c r="T52" s="253">
        <v>2038</v>
      </c>
      <c r="U52" s="253">
        <v>2039</v>
      </c>
      <c r="V52" s="253">
        <v>2040</v>
      </c>
      <c r="W52" s="253">
        <v>2041</v>
      </c>
      <c r="X52" s="253">
        <v>2042</v>
      </c>
      <c r="Y52" s="253">
        <v>2043</v>
      </c>
      <c r="Z52" s="253">
        <v>2044</v>
      </c>
      <c r="AA52" s="253">
        <v>2045</v>
      </c>
      <c r="AB52" s="253">
        <v>2046</v>
      </c>
      <c r="AC52" s="253">
        <v>2047</v>
      </c>
      <c r="AD52" s="253">
        <v>2048</v>
      </c>
      <c r="AE52" s="253">
        <v>2049</v>
      </c>
      <c r="AF52" s="253">
        <v>2050</v>
      </c>
    </row>
    <row r="53" spans="1:32">
      <c r="A53" s="15" t="s">
        <v>22</v>
      </c>
      <c r="B53" s="306">
        <f>'Adjusted Consumption'!B70*ramps!C21*1000</f>
        <v>0.13303228173719445</v>
      </c>
      <c r="C53" s="306">
        <f>'Adjusted Consumption'!C70*ramps!D21*1000</f>
        <v>0.17109663317014565</v>
      </c>
      <c r="D53" s="306">
        <f>'Adjusted Consumption'!D70*ramps!E21*1000</f>
        <v>0.20675812940648808</v>
      </c>
      <c r="E53" s="306">
        <f>'Adjusted Consumption'!E70*ramps!F21*1000</f>
        <v>0.24217942597803907</v>
      </c>
      <c r="F53" s="306">
        <f>'Adjusted Consumption'!F70*ramps!G21*1000</f>
        <v>0.27514418539828805</v>
      </c>
      <c r="G53" s="306">
        <f>'Adjusted Consumption'!G70*ramps!H21*1000</f>
        <v>0.30521865013978455</v>
      </c>
      <c r="H53" s="306">
        <f>'Adjusted Consumption'!H70*ramps!I21*1000</f>
        <v>0.33570172564109241</v>
      </c>
      <c r="I53" s="306">
        <f>'Adjusted Consumption'!I70*ramps!J21*1000</f>
        <v>0.36680843796110441</v>
      </c>
      <c r="J53" s="306">
        <f>'Adjusted Consumption'!J70*ramps!K21*1000</f>
        <v>0.39570936344498642</v>
      </c>
      <c r="K53" s="306">
        <f>'Adjusted Consumption'!K70*ramps!L21*1000</f>
        <v>0.42639998697677134</v>
      </c>
      <c r="L53" s="306">
        <f>'Adjusted Consumption'!L70*ramps!M21*1000</f>
        <v>0.45632003727708387</v>
      </c>
      <c r="M53" s="306">
        <f>'Adjusted Consumption'!M70*ramps!N21*1000</f>
        <v>0.48603425822114132</v>
      </c>
      <c r="N53" s="306">
        <f>'Adjusted Consumption'!N70*ramps!O21*1000</f>
        <v>0.51808710074451592</v>
      </c>
      <c r="O53" s="306">
        <f>'Adjusted Consumption'!O70*ramps!P21*1000</f>
        <v>0.55004460385135545</v>
      </c>
      <c r="P53" s="306">
        <f>'Adjusted Consumption'!P70*ramps!Q21*1000</f>
        <v>0.56334378479079128</v>
      </c>
      <c r="Q53" s="306">
        <f>'Adjusted Consumption'!Q70*ramps!R21*1000</f>
        <v>0.56712960976481497</v>
      </c>
      <c r="R53" s="306">
        <f>'Adjusted Consumption'!R70*ramps!S21*1000</f>
        <v>0.57465830442109678</v>
      </c>
      <c r="S53" s="306">
        <f>'Adjusted Consumption'!S70*ramps!T21*1000</f>
        <v>0.58221162521483572</v>
      </c>
      <c r="T53" s="306">
        <f>'Adjusted Consumption'!T70*ramps!U21*1000</f>
        <v>0.59188986314136516</v>
      </c>
      <c r="U53" s="306">
        <f>'Adjusted Consumption'!U70*ramps!V21*1000</f>
        <v>0.60157942170228296</v>
      </c>
      <c r="V53" s="306">
        <f>'Adjusted Consumption'!V70*ramps!W21*1000</f>
        <v>0.61159021685544102</v>
      </c>
      <c r="W53" s="306">
        <f>'Adjusted Consumption'!W70*ramps!X21*1000</f>
        <v>0.62308877235035909</v>
      </c>
      <c r="X53" s="306">
        <f>'Adjusted Consumption'!X70*ramps!Y21*1000</f>
        <v>0.63438144633379645</v>
      </c>
      <c r="Y53" s="306">
        <f>'Adjusted Consumption'!Y70*ramps!Z21*1000</f>
        <v>0.64522815538793887</v>
      </c>
      <c r="Z53" s="306">
        <f>'Adjusted Consumption'!Z70*ramps!AA21*1000</f>
        <v>0.65643688960539748</v>
      </c>
      <c r="AA53" s="306">
        <f>'Adjusted Consumption'!AA70*ramps!AB21*1000</f>
        <v>0.6682441510844086</v>
      </c>
      <c r="AB53" s="306">
        <f>'Adjusted Consumption'!AB70*ramps!AC21*1000</f>
        <v>0.68104781197084641</v>
      </c>
      <c r="AC53" s="306">
        <f>'Adjusted Consumption'!AC70*ramps!AD21*1000</f>
        <v>0.69537479181470241</v>
      </c>
      <c r="AD53" s="306">
        <f>'Adjusted Consumption'!AD70*ramps!AE21*1000</f>
        <v>0.70797271593621125</v>
      </c>
      <c r="AE53" s="306">
        <f>'Adjusted Consumption'!AE70*ramps!AF21*1000</f>
        <v>0.72165257922279069</v>
      </c>
      <c r="AF53" s="306">
        <f>'Adjusted Consumption'!AF70*ramps!AG21*1000</f>
        <v>0.73727247615168645</v>
      </c>
    </row>
    <row r="54" spans="1:32">
      <c r="A54" s="15" t="s">
        <v>1127</v>
      </c>
      <c r="B54" s="306">
        <f>'Adjusted Consumption'!B71*ramps!C22*1000</f>
        <v>0.21775545087616982</v>
      </c>
      <c r="C54" s="306">
        <f>'Adjusted Consumption'!C71*ramps!D22*1000</f>
        <v>0.34500562969328102</v>
      </c>
      <c r="D54" s="306">
        <f>'Adjusted Consumption'!D71*ramps!E22*1000</f>
        <v>0.48609952673404061</v>
      </c>
      <c r="E54" s="306">
        <f>'Adjusted Consumption'!E71*ramps!F22*1000</f>
        <v>0.64184398803105835</v>
      </c>
      <c r="F54" s="306">
        <f>'Adjusted Consumption'!F71*ramps!G22*1000</f>
        <v>1.0311866864795052</v>
      </c>
      <c r="G54" s="306">
        <f>'Adjusted Consumption'!G71*ramps!H22*1000</f>
        <v>1.5490827384544705</v>
      </c>
      <c r="H54" s="306">
        <f>'Adjusted Consumption'!H71*ramps!I22*1000</f>
        <v>1.7806491883786555</v>
      </c>
      <c r="I54" s="306">
        <f>'Adjusted Consumption'!I71*ramps!J22*1000</f>
        <v>2.2119780178747579</v>
      </c>
      <c r="J54" s="306">
        <f>'Adjusted Consumption'!J71*ramps!K22*1000</f>
        <v>2.6117168802000008</v>
      </c>
      <c r="K54" s="306">
        <f>'Adjusted Consumption'!K71*ramps!L22*1000</f>
        <v>3.5116963214499153</v>
      </c>
      <c r="L54" s="306">
        <f>'Adjusted Consumption'!L71*ramps!M22*1000</f>
        <v>4.1039584254995169</v>
      </c>
      <c r="M54" s="306">
        <f>'Adjusted Consumption'!M71*ramps!N22*1000</f>
        <v>4.612705890935362</v>
      </c>
      <c r="N54" s="306">
        <f>'Adjusted Consumption'!N71*ramps!O22*1000</f>
        <v>4.989579466808534</v>
      </c>
      <c r="O54" s="306">
        <f>'Adjusted Consumption'!O71*ramps!P22*1000</f>
        <v>5.4153078819582792</v>
      </c>
      <c r="P54" s="306">
        <f>'Adjusted Consumption'!P71*ramps!Q22*1000</f>
        <v>5.7533191743541128</v>
      </c>
      <c r="Q54" s="306">
        <f>'Adjusted Consumption'!Q71*ramps!R22*1000</f>
        <v>5.8023342050762192</v>
      </c>
      <c r="R54" s="306">
        <f>'Adjusted Consumption'!R71*ramps!S22*1000</f>
        <v>6.0313641956368711</v>
      </c>
      <c r="S54" s="306">
        <f>'Adjusted Consumption'!S71*ramps!T22*1000</f>
        <v>6.1961643315318335</v>
      </c>
      <c r="T54" s="306">
        <f>'Adjusted Consumption'!T71*ramps!U22*1000</f>
        <v>6.3274631749860948</v>
      </c>
      <c r="U54" s="306">
        <f>'Adjusted Consumption'!U71*ramps!V22*1000</f>
        <v>6.3270831214632164</v>
      </c>
      <c r="V54" s="306">
        <f>'Adjusted Consumption'!V71*ramps!W22*1000</f>
        <v>6.3272263096557646</v>
      </c>
      <c r="W54" s="306">
        <f>'Adjusted Consumption'!W71*ramps!X22*1000</f>
        <v>6.1731699269156488</v>
      </c>
      <c r="X54" s="306">
        <f>'Adjusted Consumption'!X71*ramps!Y22*1000</f>
        <v>6.0115099488569346</v>
      </c>
      <c r="Y54" s="306">
        <f>'Adjusted Consumption'!Y71*ramps!Z22*1000</f>
        <v>5.700230173787058</v>
      </c>
      <c r="Z54" s="306">
        <f>'Adjusted Consumption'!Z71*ramps!AA22*1000</f>
        <v>5.4161122042506049</v>
      </c>
      <c r="AA54" s="306">
        <f>'Adjusted Consumption'!AA71*ramps!AB22*1000</f>
        <v>5.2005464032695903</v>
      </c>
      <c r="AB54" s="306">
        <f>'Adjusted Consumption'!AB71*ramps!AC22*1000</f>
        <v>4.610420645651744</v>
      </c>
      <c r="AC54" s="306">
        <f>'Adjusted Consumption'!AC71*ramps!AD22*1000</f>
        <v>3.7583382479507401</v>
      </c>
      <c r="AD54" s="306">
        <f>'Adjusted Consumption'!AD71*ramps!AE22*1000</f>
        <v>3.2469272141108445</v>
      </c>
      <c r="AE54" s="306">
        <f>'Adjusted Consumption'!AE71*ramps!AF22*1000</f>
        <v>3.1826920383330619</v>
      </c>
      <c r="AF54" s="306">
        <f>'Adjusted Consumption'!AF71*ramps!AG22*1000</f>
        <v>3.1335521826074686</v>
      </c>
    </row>
    <row r="55" spans="1:32">
      <c r="A55" s="15" t="s">
        <v>1122</v>
      </c>
      <c r="B55" s="306">
        <f>'Adjusted Consumption'!B72*1000*((ramps!C15-ramps!C10/parameters!$B$74)*ramps!C107)</f>
        <v>215.05554842191816</v>
      </c>
      <c r="C55" s="306">
        <f>'Adjusted Consumption'!C72*1000*((ramps!D15-ramps!D10/parameters!$B$74)*ramps!D107)</f>
        <v>274.32066798596611</v>
      </c>
      <c r="D55" s="306">
        <f>'Adjusted Consumption'!D72*1000*((ramps!E15-ramps!E10/parameters!$B$74)*ramps!E107)</f>
        <v>330.28426181280071</v>
      </c>
      <c r="E55" s="306">
        <f>'Adjusted Consumption'!E72*1000*((ramps!F15-ramps!F10/parameters!$B$74)*ramps!F107)</f>
        <v>383.45029084712007</v>
      </c>
      <c r="F55" s="306">
        <f>'Adjusted Consumption'!F72*1000*((ramps!G15-ramps!G10/parameters!$B$74)*ramps!G107)</f>
        <v>435.36415412039383</v>
      </c>
      <c r="G55" s="306">
        <f>'Adjusted Consumption'!G72*1000*((ramps!H15-ramps!H10/parameters!$B$74)*ramps!H107)</f>
        <v>480.90723606270825</v>
      </c>
      <c r="H55" s="306">
        <f>'Adjusted Consumption'!H72*1000*((ramps!I15-ramps!I10/parameters!$B$74)*ramps!I107)</f>
        <v>524.65347378836179</v>
      </c>
      <c r="I55" s="306">
        <f>'Adjusted Consumption'!I72*1000*((ramps!J15-ramps!J10/parameters!$B$74)*ramps!J107)</f>
        <v>565.55716530827249</v>
      </c>
      <c r="J55" s="306">
        <f>'Adjusted Consumption'!J72*1000*((ramps!K15-ramps!K10/parameters!$B$74)*ramps!K107)</f>
        <v>603.91669914353292</v>
      </c>
      <c r="K55" s="306">
        <f>'Adjusted Consumption'!K72*1000*((ramps!L15-ramps!L10/parameters!$B$74)*ramps!L107)</f>
        <v>639.33614836412266</v>
      </c>
      <c r="L55" s="306">
        <f>'Adjusted Consumption'!L72*1000*((ramps!M15-ramps!M10/parameters!$B$74)*ramps!M107)</f>
        <v>676.22325672873365</v>
      </c>
      <c r="M55" s="306">
        <f>'Adjusted Consumption'!M72*1000*((ramps!N15-ramps!N10/parameters!$B$74)*ramps!N107)</f>
        <v>711.80371304574942</v>
      </c>
      <c r="N55" s="306">
        <f>'Adjusted Consumption'!N72*1000*((ramps!O15-ramps!O10/parameters!$B$74)*ramps!O107)</f>
        <v>747.19180832366749</v>
      </c>
      <c r="O55" s="306">
        <f>'Adjusted Consumption'!O72*1000*((ramps!P15-ramps!P10/parameters!$B$74)*ramps!P107)</f>
        <v>781.11036713572776</v>
      </c>
      <c r="P55" s="306">
        <f>'Adjusted Consumption'!P72*1000*((ramps!Q15-ramps!Q10/parameters!$B$74)*ramps!Q107)</f>
        <v>785.14407876263829</v>
      </c>
      <c r="Q55" s="306">
        <f>'Adjusted Consumption'!Q72*1000*((ramps!R15-ramps!R10/parameters!$B$74)*ramps!R107)</f>
        <v>776.01713188877693</v>
      </c>
      <c r="R55" s="306">
        <f>'Adjusted Consumption'!R72*1000*((ramps!S15-ramps!S10/parameters!$B$74)*ramps!S107)</f>
        <v>767.97515758509303</v>
      </c>
      <c r="S55" s="306">
        <f>'Adjusted Consumption'!S72*1000*((ramps!T15-ramps!T10/parameters!$B$74)*ramps!T107)</f>
        <v>762.44053416475583</v>
      </c>
      <c r="T55" s="306">
        <f>'Adjusted Consumption'!T72*1000*((ramps!U15-ramps!U10/parameters!$B$74)*ramps!U107)</f>
        <v>757.73293651438416</v>
      </c>
      <c r="U55" s="306">
        <f>'Adjusted Consumption'!U72*1000*((ramps!V15-ramps!V10/parameters!$B$74)*ramps!V107)</f>
        <v>754.74286751533589</v>
      </c>
      <c r="V55" s="306">
        <f>'Adjusted Consumption'!V72*1000*((ramps!W15-ramps!W10/parameters!$B$74)*ramps!W107)</f>
        <v>752.49454283917032</v>
      </c>
      <c r="W55" s="306">
        <f>'Adjusted Consumption'!W72*1000*((ramps!X15-ramps!X10/parameters!$B$74)*ramps!X107)</f>
        <v>751.42948909835002</v>
      </c>
      <c r="X55" s="306">
        <f>'Adjusted Consumption'!X72*1000*((ramps!Y15-ramps!Y10/parameters!$B$74)*ramps!Y107)</f>
        <v>750.43271456965124</v>
      </c>
      <c r="Y55" s="306">
        <f>'Adjusted Consumption'!Y72*1000*((ramps!Z15-ramps!Z10/parameters!$B$74)*ramps!Z107)</f>
        <v>750.13041274548675</v>
      </c>
      <c r="Z55" s="306">
        <f>'Adjusted Consumption'!Z72*1000*((ramps!AA15-ramps!AA10/parameters!$B$74)*ramps!AA107)</f>
        <v>750.18466381208452</v>
      </c>
      <c r="AA55" s="306">
        <f>'Adjusted Consumption'!AA72*1000*((ramps!AB15-ramps!AB10/parameters!$B$74)*ramps!AB107)</f>
        <v>750.20899616499082</v>
      </c>
      <c r="AB55" s="306">
        <f>'Adjusted Consumption'!AB72*1000*((ramps!AC15-ramps!AC10/parameters!$B$74)*ramps!AC107)</f>
        <v>751.06291488209968</v>
      </c>
      <c r="AC55" s="306">
        <f>'Adjusted Consumption'!AC72*1000*((ramps!AD15-ramps!AD10/parameters!$B$74)*ramps!AD107)</f>
        <v>753.02487135101478</v>
      </c>
      <c r="AD55" s="306">
        <f>'Adjusted Consumption'!AD72*1000*((ramps!AE15-ramps!AE10/parameters!$B$74)*ramps!AE107)</f>
        <v>754.16434884772616</v>
      </c>
      <c r="AE55" s="306">
        <f>'Adjusted Consumption'!AE72*1000*((ramps!AF15-ramps!AF10/parameters!$B$74)*ramps!AF107)</f>
        <v>753.83134037825869</v>
      </c>
      <c r="AF55" s="306">
        <f>'Adjusted Consumption'!AF72*1000*((ramps!AG15-ramps!AG10/parameters!$B$74)*ramps!AG107)</f>
        <v>753.36982235807227</v>
      </c>
    </row>
    <row r="56" spans="1:32">
      <c r="A56" s="15" t="s">
        <v>1128</v>
      </c>
      <c r="B56" s="306">
        <f>'Adjusted Consumption'!B73*ramps!C20*1000</f>
        <v>0</v>
      </c>
      <c r="C56" s="306">
        <f>'Adjusted Consumption'!C73*ramps!D20*1000</f>
        <v>0</v>
      </c>
      <c r="D56" s="306">
        <f>'Adjusted Consumption'!D73*ramps!E20*1000</f>
        <v>0</v>
      </c>
      <c r="E56" s="306">
        <f>'Adjusted Consumption'!E73*ramps!F20*1000</f>
        <v>0</v>
      </c>
      <c r="F56" s="306">
        <f>'Adjusted Consumption'!F73*ramps!G20*1000</f>
        <v>0</v>
      </c>
      <c r="G56" s="306">
        <f>'Adjusted Consumption'!G73*ramps!H20*1000</f>
        <v>0</v>
      </c>
      <c r="H56" s="306">
        <f>'Adjusted Consumption'!H73*ramps!I20*1000</f>
        <v>0</v>
      </c>
      <c r="I56" s="306">
        <f>'Adjusted Consumption'!I73*ramps!J20*1000</f>
        <v>0</v>
      </c>
      <c r="J56" s="306">
        <f>'Adjusted Consumption'!J73*ramps!K20*1000</f>
        <v>0</v>
      </c>
      <c r="K56" s="306">
        <f>'Adjusted Consumption'!K73*ramps!L20*1000</f>
        <v>0</v>
      </c>
      <c r="L56" s="306">
        <f>'Adjusted Consumption'!L73*ramps!M20*1000</f>
        <v>0</v>
      </c>
      <c r="M56" s="306">
        <f>'Adjusted Consumption'!M73*ramps!N20*1000</f>
        <v>0</v>
      </c>
      <c r="N56" s="306">
        <f>'Adjusted Consumption'!N73*ramps!O20*1000</f>
        <v>0</v>
      </c>
      <c r="O56" s="306">
        <f>'Adjusted Consumption'!O73*ramps!P20*1000</f>
        <v>0</v>
      </c>
      <c r="P56" s="306">
        <f>'Adjusted Consumption'!P73*ramps!Q20*1000</f>
        <v>0</v>
      </c>
      <c r="Q56" s="306">
        <f>'Adjusted Consumption'!Q73*ramps!R20*1000</f>
        <v>0</v>
      </c>
      <c r="R56" s="306">
        <f>'Adjusted Consumption'!R73*ramps!S20*1000</f>
        <v>0</v>
      </c>
      <c r="S56" s="306">
        <f>'Adjusted Consumption'!S73*ramps!T20*1000</f>
        <v>0</v>
      </c>
      <c r="T56" s="306">
        <f>'Adjusted Consumption'!T73*ramps!U20*1000</f>
        <v>0</v>
      </c>
      <c r="U56" s="306">
        <f>'Adjusted Consumption'!U73*ramps!V20*1000</f>
        <v>0</v>
      </c>
      <c r="V56" s="306">
        <f>'Adjusted Consumption'!V73*ramps!W20*1000</f>
        <v>0</v>
      </c>
      <c r="W56" s="306">
        <f>'Adjusted Consumption'!W73*ramps!X20*1000</f>
        <v>0</v>
      </c>
      <c r="X56" s="306">
        <f>'Adjusted Consumption'!X73*ramps!Y20*1000</f>
        <v>0</v>
      </c>
      <c r="Y56" s="306">
        <f>'Adjusted Consumption'!Y73*ramps!Z20*1000</f>
        <v>0</v>
      </c>
      <c r="Z56" s="306">
        <f>'Adjusted Consumption'!Z73*ramps!AA20*1000</f>
        <v>0</v>
      </c>
      <c r="AA56" s="306">
        <f>'Adjusted Consumption'!AA73*ramps!AB20*1000</f>
        <v>0</v>
      </c>
      <c r="AB56" s="306">
        <f>'Adjusted Consumption'!AB73*ramps!AC20*1000</f>
        <v>0</v>
      </c>
      <c r="AC56" s="306">
        <f>'Adjusted Consumption'!AC73*ramps!AD20*1000</f>
        <v>0</v>
      </c>
      <c r="AD56" s="306">
        <f>'Adjusted Consumption'!AD73*ramps!AE20*1000</f>
        <v>0</v>
      </c>
      <c r="AE56" s="306">
        <f>'Adjusted Consumption'!AE73*ramps!AF20*1000</f>
        <v>0</v>
      </c>
      <c r="AF56" s="306">
        <f>'Adjusted Consumption'!AF73*ramps!AG20*1000</f>
        <v>0</v>
      </c>
    </row>
    <row r="57" spans="1:32">
      <c r="A57" s="15" t="s">
        <v>1129</v>
      </c>
      <c r="B57" s="306">
        <f>'Adjusted Consumption'!B74*1000*((ramps!C18-ramps!C11/parameters!$B$83)*ramps!C108)</f>
        <v>104.09963832624302</v>
      </c>
      <c r="C57" s="306">
        <f>'Adjusted Consumption'!C74*1000*((ramps!D18-ramps!D11/parameters!$B$83)*ramps!D108)</f>
        <v>134.46283178577508</v>
      </c>
      <c r="D57" s="306">
        <f>'Adjusted Consumption'!D74*1000*((ramps!E18-ramps!E11/parameters!$B$83)*ramps!E108)</f>
        <v>160.56179321895297</v>
      </c>
      <c r="E57" s="306">
        <f>'Adjusted Consumption'!E74*1000*((ramps!F18-ramps!F11/parameters!$B$83)*ramps!F108)</f>
        <v>188.57822744608919</v>
      </c>
      <c r="F57" s="306">
        <f>'Adjusted Consumption'!F74*1000*((ramps!G18-ramps!G11/parameters!$B$83)*ramps!G108)</f>
        <v>216.85791525956398</v>
      </c>
      <c r="G57" s="306">
        <f>'Adjusted Consumption'!G74*1000*((ramps!H18-ramps!H11/parameters!$B$83)*ramps!H108)</f>
        <v>245.07208588009092</v>
      </c>
      <c r="H57" s="306">
        <f>'Adjusted Consumption'!H74*1000*((ramps!I18-ramps!I11/parameters!$B$83)*ramps!I108)</f>
        <v>273.25979011942195</v>
      </c>
      <c r="I57" s="306">
        <f>'Adjusted Consumption'!I74*1000*((ramps!J18-ramps!J11/parameters!$B$83)*ramps!J108)</f>
        <v>299.87169983358569</v>
      </c>
      <c r="J57" s="306">
        <f>'Adjusted Consumption'!J74*1000*((ramps!K18-ramps!K11/parameters!$B$83)*ramps!K108)</f>
        <v>326.19999713178771</v>
      </c>
      <c r="K57" s="306">
        <f>'Adjusted Consumption'!K74*1000*((ramps!L18-ramps!L11/parameters!$B$83)*ramps!L108)</f>
        <v>351.17975844638954</v>
      </c>
      <c r="L57" s="306">
        <f>'Adjusted Consumption'!L74*1000*((ramps!M18-ramps!M11/parameters!$B$83)*ramps!M108)</f>
        <v>378.08608873604192</v>
      </c>
      <c r="M57" s="306">
        <f>'Adjusted Consumption'!M74*1000*((ramps!N18-ramps!N11/parameters!$B$83)*ramps!N108)</f>
        <v>403.83522549364017</v>
      </c>
      <c r="N57" s="306">
        <f>'Adjusted Consumption'!N74*1000*((ramps!O18-ramps!O11/parameters!$B$83)*ramps!O108)</f>
        <v>428.90533468383228</v>
      </c>
      <c r="O57" s="306">
        <f>'Adjusted Consumption'!O74*1000*((ramps!P18-ramps!P11/parameters!$B$83)*ramps!P108)</f>
        <v>453.52146237078028</v>
      </c>
      <c r="P57" s="306">
        <f>'Adjusted Consumption'!P74*1000*((ramps!Q18-ramps!Q11/parameters!$B$83)*ramps!Q108)</f>
        <v>461.7697696608837</v>
      </c>
      <c r="Q57" s="306">
        <f>'Adjusted Consumption'!Q74*1000*((ramps!R18-ramps!R11/parameters!$B$83)*ramps!R108)</f>
        <v>465.01130508824156</v>
      </c>
      <c r="R57" s="306">
        <f>'Adjusted Consumption'!R74*1000*((ramps!S18-ramps!S11/parameters!$B$83)*ramps!S108)</f>
        <v>465.74506252326285</v>
      </c>
      <c r="S57" s="306">
        <f>'Adjusted Consumption'!S74*1000*((ramps!T18-ramps!T11/parameters!$B$83)*ramps!T108)</f>
        <v>467.65748937574614</v>
      </c>
      <c r="T57" s="306">
        <f>'Adjusted Consumption'!T74*1000*((ramps!U18-ramps!U11/parameters!$B$83)*ramps!U108)</f>
        <v>469.40754832349319</v>
      </c>
      <c r="U57" s="306">
        <f>'Adjusted Consumption'!U74*1000*((ramps!V18-ramps!V11/parameters!$B$83)*ramps!V108)</f>
        <v>471.08253360814854</v>
      </c>
      <c r="V57" s="306">
        <f>'Adjusted Consumption'!V74*1000*((ramps!W18-ramps!W11/parameters!$B$83)*ramps!W108)</f>
        <v>472.45016700184073</v>
      </c>
      <c r="W57" s="306">
        <f>'Adjusted Consumption'!W74*1000*((ramps!X18-ramps!X11/parameters!$B$83)*ramps!X108)</f>
        <v>474.29967333828773</v>
      </c>
      <c r="X57" s="306">
        <f>'Adjusted Consumption'!X74*1000*((ramps!Y18-ramps!Y11/parameters!$B$83)*ramps!Y108)</f>
        <v>475.25752531189579</v>
      </c>
      <c r="Y57" s="306">
        <f>'Adjusted Consumption'!Y74*1000*((ramps!Z18-ramps!Z11/parameters!$B$83)*ramps!Z108)</f>
        <v>476.14086818157847</v>
      </c>
      <c r="Z57" s="306">
        <f>'Adjusted Consumption'!Z74*1000*((ramps!AA18-ramps!AA11/parameters!$B$83)*ramps!AA108)</f>
        <v>479.46255505843391</v>
      </c>
      <c r="AA57" s="306">
        <f>'Adjusted Consumption'!AA74*1000*((ramps!AB18-ramps!AB11/parameters!$B$83)*ramps!AB108)</f>
        <v>481.62328779342113</v>
      </c>
      <c r="AB57" s="306">
        <f>'Adjusted Consumption'!AB74*1000*((ramps!AC18-ramps!AC11/parameters!$B$83)*ramps!AC108)</f>
        <v>484.25338940098624</v>
      </c>
      <c r="AC57" s="306">
        <f>'Adjusted Consumption'!AC74*1000*((ramps!AD18-ramps!AD11/parameters!$B$83)*ramps!AD108)</f>
        <v>486.63067028252937</v>
      </c>
      <c r="AD57" s="306">
        <f>'Adjusted Consumption'!AD74*1000*((ramps!AE18-ramps!AE11/parameters!$B$83)*ramps!AE108)</f>
        <v>489.03118445974746</v>
      </c>
      <c r="AE57" s="306">
        <f>'Adjusted Consumption'!AE74*1000*((ramps!AF18-ramps!AF11/parameters!$B$83)*ramps!AF108)</f>
        <v>490.69339960306218</v>
      </c>
      <c r="AF57" s="306">
        <f>'Adjusted Consumption'!AF74*1000*((ramps!AG18-ramps!AG11/parameters!$B$83)*ramps!AG108)</f>
        <v>492.75743668235225</v>
      </c>
    </row>
    <row r="58" spans="1:32">
      <c r="A58" s="15" t="s">
        <v>29</v>
      </c>
      <c r="B58" s="306">
        <f>'Adjusted Consumption'!B75*ramps!C24*1000</f>
        <v>0</v>
      </c>
      <c r="C58" s="306">
        <f>'Adjusted Consumption'!C75*ramps!D24*1000</f>
        <v>0</v>
      </c>
      <c r="D58" s="306">
        <f>'Adjusted Consumption'!D75*ramps!E24*1000</f>
        <v>0</v>
      </c>
      <c r="E58" s="306">
        <f>'Adjusted Consumption'!E75*ramps!F24*1000</f>
        <v>0</v>
      </c>
      <c r="F58" s="306">
        <f>'Adjusted Consumption'!F75*ramps!G24*1000</f>
        <v>0</v>
      </c>
      <c r="G58" s="306">
        <f>'Adjusted Consumption'!G75*ramps!H24*1000</f>
        <v>0</v>
      </c>
      <c r="H58" s="306">
        <f>'Adjusted Consumption'!H75*ramps!I24*1000</f>
        <v>0</v>
      </c>
      <c r="I58" s="306">
        <f>'Adjusted Consumption'!I75*ramps!J24*1000</f>
        <v>0</v>
      </c>
      <c r="J58" s="306">
        <f>'Adjusted Consumption'!J75*ramps!K24*1000</f>
        <v>0</v>
      </c>
      <c r="K58" s="306">
        <f>'Adjusted Consumption'!K75*ramps!L24*1000</f>
        <v>0</v>
      </c>
      <c r="L58" s="306">
        <f>'Adjusted Consumption'!L75*ramps!M24*1000</f>
        <v>0</v>
      </c>
      <c r="M58" s="306">
        <f>'Adjusted Consumption'!M75*ramps!N24*1000</f>
        <v>0</v>
      </c>
      <c r="N58" s="306">
        <f>'Adjusted Consumption'!N75*ramps!O24*1000</f>
        <v>0</v>
      </c>
      <c r="O58" s="306">
        <f>'Adjusted Consumption'!O75*ramps!P24*1000</f>
        <v>0</v>
      </c>
      <c r="P58" s="306">
        <f>'Adjusted Consumption'!P75*ramps!Q24*1000</f>
        <v>0</v>
      </c>
      <c r="Q58" s="306">
        <f>'Adjusted Consumption'!Q75*ramps!R24*1000</f>
        <v>0</v>
      </c>
      <c r="R58" s="306">
        <f>'Adjusted Consumption'!R75*ramps!S24*1000</f>
        <v>0</v>
      </c>
      <c r="S58" s="306">
        <f>'Adjusted Consumption'!S75*ramps!T24*1000</f>
        <v>0</v>
      </c>
      <c r="T58" s="306">
        <f>'Adjusted Consumption'!T75*ramps!U24*1000</f>
        <v>0</v>
      </c>
      <c r="U58" s="306">
        <f>'Adjusted Consumption'!U75*ramps!V24*1000</f>
        <v>0</v>
      </c>
      <c r="V58" s="306">
        <f>'Adjusted Consumption'!V75*ramps!W24*1000</f>
        <v>0</v>
      </c>
      <c r="W58" s="306">
        <f>'Adjusted Consumption'!W75*ramps!X24*1000</f>
        <v>0</v>
      </c>
      <c r="X58" s="306">
        <f>'Adjusted Consumption'!X75*ramps!Y24*1000</f>
        <v>0</v>
      </c>
      <c r="Y58" s="306">
        <f>'Adjusted Consumption'!Y75*ramps!Z24*1000</f>
        <v>0</v>
      </c>
      <c r="Z58" s="306">
        <f>'Adjusted Consumption'!Z75*ramps!AA24*1000</f>
        <v>0</v>
      </c>
      <c r="AA58" s="306">
        <f>'Adjusted Consumption'!AA75*ramps!AB24*1000</f>
        <v>0</v>
      </c>
      <c r="AB58" s="306">
        <f>'Adjusted Consumption'!AB75*ramps!AC24*1000</f>
        <v>0</v>
      </c>
      <c r="AC58" s="306">
        <f>'Adjusted Consumption'!AC75*ramps!AD24*1000</f>
        <v>0</v>
      </c>
      <c r="AD58" s="306">
        <f>'Adjusted Consumption'!AD75*ramps!AE24*1000</f>
        <v>0</v>
      </c>
      <c r="AE58" s="306">
        <f>'Adjusted Consumption'!AE75*ramps!AF24*1000</f>
        <v>0</v>
      </c>
      <c r="AF58" s="306">
        <f>'Adjusted Consumption'!AF75*ramps!AG24*1000</f>
        <v>0</v>
      </c>
    </row>
    <row r="59" spans="1:32">
      <c r="A59" s="15" t="s">
        <v>1126</v>
      </c>
      <c r="B59" s="306">
        <v>0</v>
      </c>
      <c r="C59" s="306">
        <v>0</v>
      </c>
      <c r="D59" s="306">
        <v>0</v>
      </c>
      <c r="E59" s="306">
        <v>0</v>
      </c>
      <c r="F59" s="306">
        <v>0</v>
      </c>
      <c r="G59" s="306">
        <v>0</v>
      </c>
      <c r="H59" s="306">
        <v>0</v>
      </c>
      <c r="I59" s="306">
        <v>0</v>
      </c>
      <c r="J59" s="306">
        <v>0</v>
      </c>
      <c r="K59" s="306">
        <v>0</v>
      </c>
      <c r="L59" s="306">
        <v>0</v>
      </c>
      <c r="M59" s="306">
        <v>0</v>
      </c>
      <c r="N59" s="306">
        <v>0</v>
      </c>
      <c r="O59" s="306">
        <v>0</v>
      </c>
      <c r="P59" s="306">
        <v>0</v>
      </c>
      <c r="Q59" s="306">
        <v>0</v>
      </c>
      <c r="R59" s="306">
        <v>0</v>
      </c>
      <c r="S59" s="306">
        <v>0</v>
      </c>
      <c r="T59" s="306">
        <v>0</v>
      </c>
      <c r="U59" s="306">
        <v>0</v>
      </c>
      <c r="V59" s="306">
        <v>0</v>
      </c>
      <c r="W59" s="306">
        <v>0</v>
      </c>
      <c r="X59" s="306">
        <v>0</v>
      </c>
      <c r="Y59" s="306">
        <v>0</v>
      </c>
      <c r="Z59" s="306">
        <v>0</v>
      </c>
      <c r="AA59" s="306">
        <v>0</v>
      </c>
      <c r="AB59" s="306">
        <v>0</v>
      </c>
      <c r="AC59" s="306">
        <v>0</v>
      </c>
      <c r="AD59" s="306">
        <v>0</v>
      </c>
      <c r="AE59" s="306">
        <v>0</v>
      </c>
      <c r="AF59" s="306">
        <v>0</v>
      </c>
    </row>
    <row r="60" spans="1:32">
      <c r="A60" s="15" t="s">
        <v>68</v>
      </c>
      <c r="B60" s="306">
        <f>'Adjusted Consumption'!B77*ramps!C16*1000</f>
        <v>4.7768363809565457</v>
      </c>
      <c r="C60" s="306">
        <f>'Adjusted Consumption'!C77*ramps!D16*1000</f>
        <v>6.36059102580358</v>
      </c>
      <c r="D60" s="306">
        <f>'Adjusted Consumption'!D77*ramps!E16*1000</f>
        <v>7.6994666353861048</v>
      </c>
      <c r="E60" s="306">
        <f>'Adjusted Consumption'!E77*ramps!F16*1000</f>
        <v>9.1178012733913025</v>
      </c>
      <c r="F60" s="306">
        <f>'Adjusted Consumption'!F77*ramps!G16*1000</f>
        <v>10.482788499300939</v>
      </c>
      <c r="G60" s="306">
        <f>'Adjusted Consumption'!G77*ramps!H16*1000</f>
        <v>11.937563803459813</v>
      </c>
      <c r="H60" s="306">
        <f>'Adjusted Consumption'!H77*ramps!I16*1000</f>
        <v>13.377528287356043</v>
      </c>
      <c r="I60" s="306">
        <f>'Adjusted Consumption'!I77*ramps!J16*1000</f>
        <v>14.780199284652996</v>
      </c>
      <c r="J60" s="306">
        <f>'Adjusted Consumption'!J77*ramps!K16*1000</f>
        <v>16.228531060596342</v>
      </c>
      <c r="K60" s="306">
        <f>'Adjusted Consumption'!K77*ramps!L16*1000</f>
        <v>17.240175408793355</v>
      </c>
      <c r="L60" s="306">
        <f>'Adjusted Consumption'!L77*ramps!M16*1000</f>
        <v>18.593721859939269</v>
      </c>
      <c r="M60" s="306">
        <f>'Adjusted Consumption'!M77*ramps!N16*1000</f>
        <v>19.965685503645624</v>
      </c>
      <c r="N60" s="306">
        <f>'Adjusted Consumption'!N77*ramps!O16*1000</f>
        <v>21.490199362697727</v>
      </c>
      <c r="O60" s="306">
        <f>'Adjusted Consumption'!O77*ramps!P16*1000</f>
        <v>22.883015081426244</v>
      </c>
      <c r="P60" s="306">
        <f>'Adjusted Consumption'!P77*ramps!Q16*1000</f>
        <v>23.504927049801541</v>
      </c>
      <c r="Q60" s="306">
        <f>'Adjusted Consumption'!Q77*ramps!R16*1000</f>
        <v>23.884101429185389</v>
      </c>
      <c r="R60" s="306">
        <f>'Adjusted Consumption'!R77*ramps!S16*1000</f>
        <v>24.038423123570595</v>
      </c>
      <c r="S60" s="306">
        <f>'Adjusted Consumption'!S77*ramps!T16*1000</f>
        <v>24.285987613772793</v>
      </c>
      <c r="T60" s="306">
        <f>'Adjusted Consumption'!T77*ramps!U16*1000</f>
        <v>24.539409512785298</v>
      </c>
      <c r="U60" s="306">
        <f>'Adjusted Consumption'!U77*ramps!V16*1000</f>
        <v>24.793035271070721</v>
      </c>
      <c r="V60" s="306">
        <f>'Adjusted Consumption'!V77*ramps!W16*1000</f>
        <v>25.097124661732174</v>
      </c>
      <c r="W60" s="306">
        <f>'Adjusted Consumption'!W77*ramps!X16*1000</f>
        <v>25.352030209487985</v>
      </c>
      <c r="X60" s="306">
        <f>'Adjusted Consumption'!X77*ramps!Y16*1000</f>
        <v>25.604585841138125</v>
      </c>
      <c r="Y60" s="306">
        <f>'Adjusted Consumption'!Y77*ramps!Z16*1000</f>
        <v>25.761066343644121</v>
      </c>
      <c r="Z60" s="306">
        <f>'Adjusted Consumption'!Z77*ramps!AA16*1000</f>
        <v>25.98566995883133</v>
      </c>
      <c r="AA60" s="306">
        <f>'Adjusted Consumption'!AA77*ramps!AB16*1000</f>
        <v>26.237406220653892</v>
      </c>
      <c r="AB60" s="306">
        <f>'Adjusted Consumption'!AB77*ramps!AC16*1000</f>
        <v>26.423645159371656</v>
      </c>
      <c r="AC60" s="306">
        <f>'Adjusted Consumption'!AC77*ramps!AD16*1000</f>
        <v>26.638139467870168</v>
      </c>
      <c r="AD60" s="306">
        <f>'Adjusted Consumption'!AD77*ramps!AE16*1000</f>
        <v>26.789734503748203</v>
      </c>
      <c r="AE60" s="306">
        <f>'Adjusted Consumption'!AE77*ramps!AF16*1000</f>
        <v>26.898964071127438</v>
      </c>
      <c r="AF60" s="306">
        <f>'Adjusted Consumption'!AF77*ramps!AG16*1000</f>
        <v>27.021907867838291</v>
      </c>
    </row>
    <row r="61" spans="1:32">
      <c r="A61" s="15" t="s">
        <v>69</v>
      </c>
      <c r="B61" s="306">
        <f>'Adjusted Consumption'!B78*ramps!C16*1000</f>
        <v>2.1111953736849216</v>
      </c>
      <c r="C61" s="306">
        <f>'Adjusted Consumption'!C78*ramps!D16*1000</f>
        <v>4.2263695390623948</v>
      </c>
      <c r="D61" s="306">
        <f>'Adjusted Consumption'!D78*ramps!E16*1000</f>
        <v>4.7127553541475038</v>
      </c>
      <c r="E61" s="306">
        <f>'Adjusted Consumption'!E78*ramps!F16*1000</f>
        <v>5.7795111501664902</v>
      </c>
      <c r="F61" s="306">
        <f>'Adjusted Consumption'!F78*ramps!G16*1000</f>
        <v>6.9406239316115714</v>
      </c>
      <c r="G61" s="306">
        <f>'Adjusted Consumption'!G78*ramps!H16*1000</f>
        <v>7.9134234846304725</v>
      </c>
      <c r="H61" s="306">
        <f>'Adjusted Consumption'!H78*ramps!I16*1000</f>
        <v>9.2167970678231335</v>
      </c>
      <c r="I61" s="306">
        <f>'Adjusted Consumption'!I78*ramps!J16*1000</f>
        <v>10.971897267078436</v>
      </c>
      <c r="J61" s="306">
        <f>'Adjusted Consumption'!J78*ramps!K16*1000</f>
        <v>12.404841721540036</v>
      </c>
      <c r="K61" s="306">
        <f>'Adjusted Consumption'!K78*ramps!L16*1000</f>
        <v>13.609501039445583</v>
      </c>
      <c r="L61" s="306">
        <f>'Adjusted Consumption'!L78*ramps!M16*1000</f>
        <v>15.565367078452761</v>
      </c>
      <c r="M61" s="306">
        <f>'Adjusted Consumption'!M78*ramps!N16*1000</f>
        <v>17.436012016088004</v>
      </c>
      <c r="N61" s="306">
        <f>'Adjusted Consumption'!N78*ramps!O16*1000</f>
        <v>19.23457792143444</v>
      </c>
      <c r="O61" s="306">
        <f>'Adjusted Consumption'!O78*ramps!P16*1000</f>
        <v>20.949984542168398</v>
      </c>
      <c r="P61" s="306">
        <f>'Adjusted Consumption'!P78*ramps!Q16*1000</f>
        <v>22.109384872748155</v>
      </c>
      <c r="Q61" s="306">
        <f>'Adjusted Consumption'!Q78*ramps!R16*1000</f>
        <v>23.899344131395292</v>
      </c>
      <c r="R61" s="306">
        <f>'Adjusted Consumption'!R78*ramps!S16*1000</f>
        <v>24.91841821001594</v>
      </c>
      <c r="S61" s="306">
        <f>'Adjusted Consumption'!S78*ramps!T16*1000</f>
        <v>25.792077836879251</v>
      </c>
      <c r="T61" s="306">
        <f>'Adjusted Consumption'!T78*ramps!U16*1000</f>
        <v>26.764758926735503</v>
      </c>
      <c r="U61" s="306">
        <f>'Adjusted Consumption'!U78*ramps!V16*1000</f>
        <v>27.801227674661067</v>
      </c>
      <c r="V61" s="306">
        <f>'Adjusted Consumption'!V78*ramps!W16*1000</f>
        <v>28.668125491367224</v>
      </c>
      <c r="W61" s="306">
        <f>'Adjusted Consumption'!W78*ramps!X16*1000</f>
        <v>29.662160031046778</v>
      </c>
      <c r="X61" s="306">
        <f>'Adjusted Consumption'!X78*ramps!Y16*1000</f>
        <v>30.956025967216242</v>
      </c>
      <c r="Y61" s="306">
        <f>'Adjusted Consumption'!Y78*ramps!Z16*1000</f>
        <v>31.08624892012196</v>
      </c>
      <c r="Z61" s="306">
        <f>'Adjusted Consumption'!Z78*ramps!AA16*1000</f>
        <v>32.103878631061946</v>
      </c>
      <c r="AA61" s="306">
        <f>'Adjusted Consumption'!AA78*ramps!AB16*1000</f>
        <v>32.812335911484986</v>
      </c>
      <c r="AB61" s="306">
        <f>'Adjusted Consumption'!AB78*ramps!AC16*1000</f>
        <v>33.658922111847382</v>
      </c>
      <c r="AC61" s="306">
        <f>'Adjusted Consumption'!AC78*ramps!AD16*1000</f>
        <v>34.292821443357397</v>
      </c>
      <c r="AD61" s="306">
        <f>'Adjusted Consumption'!AD78*ramps!AE16*1000</f>
        <v>34.772971494924818</v>
      </c>
      <c r="AE61" s="306">
        <f>'Adjusted Consumption'!AE78*ramps!AF16*1000</f>
        <v>35.206712997804573</v>
      </c>
      <c r="AF61" s="306">
        <f>'Adjusted Consumption'!AF78*ramps!AG16*1000</f>
        <v>35.889177543588296</v>
      </c>
    </row>
    <row r="62" spans="1:32">
      <c r="A62" s="15" t="s">
        <v>70</v>
      </c>
      <c r="B62" s="306">
        <f>'Adjusted Consumption'!B79</f>
        <v>7.9345436863558668E-5</v>
      </c>
      <c r="C62" s="306">
        <f>'Adjusted Consumption'!C79</f>
        <v>1.2386381645327737E-4</v>
      </c>
      <c r="D62" s="306">
        <f>'Adjusted Consumption'!D79</f>
        <v>1.8111951121604756E-4</v>
      </c>
      <c r="E62" s="306">
        <f>'Adjusted Consumption'!E79</f>
        <v>2.3373988219327352E-4</v>
      </c>
      <c r="F62" s="306">
        <f>'Adjusted Consumption'!F79</f>
        <v>2.8416668765723994E-4</v>
      </c>
      <c r="G62" s="306">
        <f>'Adjusted Consumption'!G79</f>
        <v>3.3299243323328529E-4</v>
      </c>
      <c r="H62" s="306">
        <f>'Adjusted Consumption'!H79</f>
        <v>3.8115045375704102E-4</v>
      </c>
      <c r="I62" s="306">
        <f>'Adjusted Consumption'!I79</f>
        <v>4.2474034376904546E-4</v>
      </c>
      <c r="J62" s="306">
        <f>'Adjusted Consumption'!J79</f>
        <v>4.6189651661751829E-4</v>
      </c>
      <c r="K62" s="306">
        <f>'Adjusted Consumption'!K79</f>
        <v>4.9579609943867155E-4</v>
      </c>
      <c r="L62" s="306">
        <f>'Adjusted Consumption'!L79</f>
        <v>5.2636443162641861E-4</v>
      </c>
      <c r="M62" s="306">
        <f>'Adjusted Consumption'!M79</f>
        <v>5.535951580285445E-4</v>
      </c>
      <c r="N62" s="306">
        <f>'Adjusted Consumption'!N79</f>
        <v>5.7411988555796766E-4</v>
      </c>
      <c r="O62" s="306">
        <f>'Adjusted Consumption'!O79</f>
        <v>5.8951693589678433E-4</v>
      </c>
      <c r="P62" s="306">
        <f>'Adjusted Consumption'!P79</f>
        <v>6.033442137558969E-4</v>
      </c>
      <c r="Q62" s="306">
        <f>'Adjusted Consumption'!Q79</f>
        <v>6.1515823654994693E-4</v>
      </c>
      <c r="R62" s="306">
        <f>'Adjusted Consumption'!R79</f>
        <v>6.3351573593142102E-4</v>
      </c>
      <c r="S62" s="306">
        <f>'Adjusted Consumption'!S79</f>
        <v>6.4998143665167196E-4</v>
      </c>
      <c r="T62" s="306">
        <f>'Adjusted Consumption'!T79</f>
        <v>6.658129946360016E-4</v>
      </c>
      <c r="U62" s="306">
        <f>'Adjusted Consumption'!U79</f>
        <v>6.8157396898205333E-4</v>
      </c>
      <c r="V62" s="306">
        <f>'Adjusted Consumption'!V79</f>
        <v>6.9786507255199814E-4</v>
      </c>
      <c r="W62" s="306">
        <f>'Adjusted Consumption'!W79</f>
        <v>7.1280082206587618E-4</v>
      </c>
      <c r="X62" s="306">
        <f>'Adjusted Consumption'!X79</f>
        <v>7.2673125382376723E-4</v>
      </c>
      <c r="Y62" s="306">
        <f>'Adjusted Consumption'!Y79</f>
        <v>7.4026513366181007E-4</v>
      </c>
      <c r="Z62" s="306">
        <f>'Adjusted Consumption'!Z79</f>
        <v>7.5402648336232226E-4</v>
      </c>
      <c r="AA62" s="306">
        <f>'Adjusted Consumption'!AA79</f>
        <v>7.6771768728378653E-4</v>
      </c>
      <c r="AB62" s="306">
        <f>'Adjusted Consumption'!AB79</f>
        <v>7.8182221089138828E-4</v>
      </c>
      <c r="AC62" s="306">
        <f>'Adjusted Consumption'!AC79</f>
        <v>7.9663733938925628E-4</v>
      </c>
      <c r="AD62" s="306">
        <f>'Adjusted Consumption'!AD79</f>
        <v>8.1279004451246498E-4</v>
      </c>
      <c r="AE62" s="306">
        <f>'Adjusted Consumption'!AE79</f>
        <v>8.3009500360448931E-4</v>
      </c>
      <c r="AF62" s="306">
        <f>'Adjusted Consumption'!AF79</f>
        <v>8.4853702549097393E-4</v>
      </c>
    </row>
    <row r="63" spans="1:32">
      <c r="A63" s="15" t="s">
        <v>25</v>
      </c>
      <c r="B63" s="306">
        <f>B80*'Adjusted Consumption'!B223</f>
        <v>0.4660316180413111</v>
      </c>
      <c r="C63" s="306">
        <f>C80*'Adjusted Consumption'!C223</f>
        <v>0.77423405529164835</v>
      </c>
      <c r="D63" s="306">
        <f>D80*'Adjusted Consumption'!D223</f>
        <v>0.99525378160774192</v>
      </c>
      <c r="E63" s="306">
        <f>E80*'Adjusted Consumption'!E223</f>
        <v>1.1895535441518332</v>
      </c>
      <c r="F63" s="306">
        <f>F80*'Adjusted Consumption'!F223</f>
        <v>1.2290127258053196</v>
      </c>
      <c r="G63" s="306">
        <f>G80*'Adjusted Consumption'!G223</f>
        <v>1.0649259636565731</v>
      </c>
      <c r="H63" s="306">
        <f>H80*'Adjusted Consumption'!H223</f>
        <v>1.4147221389549294</v>
      </c>
      <c r="I63" s="306">
        <f>I80*'Adjusted Consumption'!I223</f>
        <v>1.7070862797324473</v>
      </c>
      <c r="J63" s="306">
        <f>J80*'Adjusted Consumption'!J223</f>
        <v>2.0751338012863605</v>
      </c>
      <c r="K63" s="306">
        <f>K80*'Adjusted Consumption'!K223</f>
        <v>2.5241575392901763</v>
      </c>
      <c r="L63" s="306">
        <f>L80*'Adjusted Consumption'!L223</f>
        <v>2.8956887494318213</v>
      </c>
      <c r="M63" s="306">
        <f>M80*'Adjusted Consumption'!M223</f>
        <v>3.2396897370518216</v>
      </c>
      <c r="N63" s="306">
        <f>N80*'Adjusted Consumption'!N223</f>
        <v>3.5029096014316838</v>
      </c>
      <c r="O63" s="306">
        <f>O80*'Adjusted Consumption'!O223</f>
        <v>3.5857275574459244</v>
      </c>
      <c r="P63" s="306">
        <f>P80*'Adjusted Consumption'!P223</f>
        <v>3.4850627779688161</v>
      </c>
      <c r="Q63" s="306">
        <f>Q80*'Adjusted Consumption'!Q223</f>
        <v>3.2524563912608282</v>
      </c>
      <c r="R63" s="306">
        <f>R80*'Adjusted Consumption'!R223</f>
        <v>3.0649478997704471</v>
      </c>
      <c r="S63" s="306">
        <f>S80*'Adjusted Consumption'!S223</f>
        <v>2.8244651763654596</v>
      </c>
      <c r="T63" s="306">
        <f>T80*'Adjusted Consumption'!T223</f>
        <v>2.5590935223750657</v>
      </c>
      <c r="U63" s="306">
        <f>U80*'Adjusted Consumption'!U223</f>
        <v>2.2687701493315173</v>
      </c>
      <c r="V63" s="306">
        <f>V80*'Adjusted Consumption'!V223</f>
        <v>1.9534412969717327</v>
      </c>
      <c r="W63" s="306">
        <f>W80*'Adjusted Consumption'!W223</f>
        <v>1.6130292061929343</v>
      </c>
      <c r="X63" s="306">
        <f>X80*'Adjusted Consumption'!X223</f>
        <v>1.2475051976056688</v>
      </c>
      <c r="Y63" s="306">
        <f>Y80*'Adjusted Consumption'!Y223</f>
        <v>0.85684210610106004</v>
      </c>
      <c r="Z63" s="306">
        <f>Z80*'Adjusted Consumption'!Z223</f>
        <v>0.44101591084543007</v>
      </c>
      <c r="AA63" s="306">
        <f>AA80*'Adjusted Consumption'!AA223</f>
        <v>0</v>
      </c>
      <c r="AB63" s="306">
        <f>AB80*'Adjusted Consumption'!AB223</f>
        <v>0</v>
      </c>
      <c r="AC63" s="306">
        <f>AC80*'Adjusted Consumption'!AC223</f>
        <v>0</v>
      </c>
      <c r="AD63" s="306">
        <f>AD80*'Adjusted Consumption'!AD223</f>
        <v>0</v>
      </c>
      <c r="AE63" s="306">
        <f>AE80*'Adjusted Consumption'!AE223</f>
        <v>0</v>
      </c>
      <c r="AF63" s="306">
        <f>AF80*'Adjusted Consumption'!AF223</f>
        <v>0</v>
      </c>
    </row>
    <row r="64" spans="1:32">
      <c r="A64" s="15" t="s">
        <v>26</v>
      </c>
      <c r="B64" s="306">
        <f t="shared" ref="B64:Q64" si="6">SUM(B53:B63)</f>
        <v>326.86011719889416</v>
      </c>
      <c r="C64" s="306">
        <f t="shared" si="6"/>
        <v>420.66092051857862</v>
      </c>
      <c r="D64" s="306">
        <f t="shared" si="6"/>
        <v>504.94656957854681</v>
      </c>
      <c r="E64" s="306">
        <f t="shared" si="6"/>
        <v>588.99964141481018</v>
      </c>
      <c r="F64" s="306">
        <f t="shared" si="6"/>
        <v>672.18110957524095</v>
      </c>
      <c r="G64" s="306">
        <f t="shared" si="6"/>
        <v>748.7498695755736</v>
      </c>
      <c r="H64" s="306">
        <f t="shared" si="6"/>
        <v>824.03904346639149</v>
      </c>
      <c r="I64" s="306">
        <f t="shared" si="6"/>
        <v>895.46725916950174</v>
      </c>
      <c r="J64" s="306">
        <f t="shared" si="6"/>
        <v>963.83309099890494</v>
      </c>
      <c r="K64" s="306">
        <f t="shared" si="6"/>
        <v>1027.8283329025674</v>
      </c>
      <c r="L64" s="306">
        <f t="shared" si="6"/>
        <v>1095.9249279798078</v>
      </c>
      <c r="M64" s="306">
        <f t="shared" si="6"/>
        <v>1161.3796195404893</v>
      </c>
      <c r="N64" s="306">
        <f t="shared" si="6"/>
        <v>1225.8330705805024</v>
      </c>
      <c r="O64" s="306">
        <f t="shared" si="6"/>
        <v>1288.0164986902942</v>
      </c>
      <c r="P64" s="306">
        <f t="shared" si="6"/>
        <v>1302.3304894273992</v>
      </c>
      <c r="Q64" s="306">
        <f t="shared" si="6"/>
        <v>1298.4344179019379</v>
      </c>
      <c r="R64" s="306">
        <f>SUM(R53:R63)</f>
        <v>1292.3486653575067</v>
      </c>
      <c r="S64" s="306">
        <f>SUM(S53:S63)</f>
        <v>1289.779580105703</v>
      </c>
      <c r="T64" s="306">
        <f>SUM(T53:T63)</f>
        <v>1287.9237656508956</v>
      </c>
      <c r="U64" s="306">
        <f>SUM(U53:U63)</f>
        <v>1287.617778335682</v>
      </c>
      <c r="V64" s="306">
        <f>SUM(V53:V63)</f>
        <v>1287.602915682666</v>
      </c>
      <c r="W64" s="306">
        <f t="shared" ref="W64:AF64" si="7">SUM(W53:W63)</f>
        <v>1289.1533533834538</v>
      </c>
      <c r="X64" s="306">
        <f t="shared" si="7"/>
        <v>1290.1449750139514</v>
      </c>
      <c r="Y64" s="306">
        <f t="shared" si="7"/>
        <v>1290.321636891241</v>
      </c>
      <c r="Z64" s="306">
        <f t="shared" si="7"/>
        <v>1294.2510864915962</v>
      </c>
      <c r="AA64" s="306">
        <f t="shared" si="7"/>
        <v>1296.751584362592</v>
      </c>
      <c r="AB64" s="306">
        <f t="shared" si="7"/>
        <v>1300.6911218341386</v>
      </c>
      <c r="AC64" s="306">
        <f t="shared" si="7"/>
        <v>1305.0410122218764</v>
      </c>
      <c r="AD64" s="306">
        <f t="shared" si="7"/>
        <v>1308.7139520262383</v>
      </c>
      <c r="AE64" s="306">
        <f t="shared" si="7"/>
        <v>1310.5355917628121</v>
      </c>
      <c r="AF64" s="306">
        <f t="shared" si="7"/>
        <v>1312.9100176476359</v>
      </c>
    </row>
    <row r="65" spans="1:32">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row>
    <row r="66" spans="1:32">
      <c r="A66" s="15" t="s">
        <v>1145</v>
      </c>
      <c r="B66" s="306">
        <f>'Adjusted Consumption'!B72*(ramps!C10*parameters!$B71)+'Adjusted Consumption'!B74*(ramps!C10*parameters!$B80)</f>
        <v>0</v>
      </c>
      <c r="C66" s="306">
        <f>'Adjusted Consumption'!C72*(ramps!D10*parameters!$B71)+'Adjusted Consumption'!C74*(ramps!D10*parameters!$B80)</f>
        <v>0</v>
      </c>
      <c r="D66" s="306">
        <f>'Adjusted Consumption'!D72*(ramps!E10*parameters!$B71)+'Adjusted Consumption'!D74*(ramps!E10*parameters!$B80)</f>
        <v>0</v>
      </c>
      <c r="E66" s="306">
        <f>'Adjusted Consumption'!E72*(ramps!F10*parameters!$B71)+'Adjusted Consumption'!E74*(ramps!F10*parameters!$B80)</f>
        <v>0</v>
      </c>
      <c r="F66" s="306">
        <f>'Adjusted Consumption'!F72*(ramps!G10*parameters!$B71)+'Adjusted Consumption'!F74*(ramps!G10*parameters!$B80)</f>
        <v>0</v>
      </c>
      <c r="G66" s="306">
        <f>'Adjusted Consumption'!G72*(ramps!H10*parameters!$B71)+'Adjusted Consumption'!G74*(ramps!H10*parameters!$B80)</f>
        <v>0</v>
      </c>
      <c r="H66" s="306">
        <f>'Adjusted Consumption'!H72*(ramps!I10*parameters!$B71)+'Adjusted Consumption'!H74*(ramps!I10*parameters!$B80)</f>
        <v>0</v>
      </c>
      <c r="I66" s="306">
        <f>'Adjusted Consumption'!I72*(ramps!J10*parameters!$B71)+'Adjusted Consumption'!I74*(ramps!J10*parameters!$B80)</f>
        <v>0</v>
      </c>
      <c r="J66" s="306">
        <f>'Adjusted Consumption'!J72*(ramps!K10*parameters!$B71)+'Adjusted Consumption'!J74*(ramps!K10*parameters!$B80)</f>
        <v>0</v>
      </c>
      <c r="K66" s="306">
        <f>'Adjusted Consumption'!K72*(ramps!L10*parameters!$B71)+'Adjusted Consumption'!K74*(ramps!L10*parameters!$B80)</f>
        <v>0</v>
      </c>
      <c r="L66" s="306">
        <f>'Adjusted Consumption'!L72*(ramps!M10*parameters!$B71)+'Adjusted Consumption'!L74*(ramps!M10*parameters!$B80)</f>
        <v>0</v>
      </c>
      <c r="M66" s="306">
        <f>'Adjusted Consumption'!M72*(ramps!N10*parameters!$B71)+'Adjusted Consumption'!M74*(ramps!N10*parameters!$B80)</f>
        <v>0</v>
      </c>
      <c r="N66" s="306">
        <f>'Adjusted Consumption'!N72*(ramps!O10*parameters!$B71)+'Adjusted Consumption'!N74*(ramps!O10*parameters!$B80)</f>
        <v>0</v>
      </c>
      <c r="O66" s="306">
        <f>'Adjusted Consumption'!O72*(ramps!P10*parameters!$B71)+'Adjusted Consumption'!O74*(ramps!P10*parameters!$B80)</f>
        <v>0</v>
      </c>
      <c r="P66" s="306">
        <f>'Adjusted Consumption'!P72*(ramps!Q10*parameters!$B71)+'Adjusted Consumption'!P74*(ramps!Q10*parameters!$B80)</f>
        <v>0</v>
      </c>
      <c r="Q66" s="306">
        <f>'Adjusted Consumption'!Q72*(ramps!R10*parameters!$B71)+'Adjusted Consumption'!Q74*(ramps!R10*parameters!$B80)</f>
        <v>0</v>
      </c>
      <c r="R66" s="306">
        <f>'Adjusted Consumption'!R72*(ramps!S10*parameters!$B71)+'Adjusted Consumption'!R74*(ramps!S10*parameters!$B80)</f>
        <v>0</v>
      </c>
      <c r="S66" s="306">
        <f>'Adjusted Consumption'!S72*(ramps!T10*parameters!$B71)+'Adjusted Consumption'!S74*(ramps!T10*parameters!$B80)</f>
        <v>0</v>
      </c>
      <c r="T66" s="306">
        <f>'Adjusted Consumption'!T72*(ramps!U10*parameters!$B71)+'Adjusted Consumption'!T74*(ramps!U10*parameters!$B80)</f>
        <v>0</v>
      </c>
      <c r="U66" s="306">
        <f>'Adjusted Consumption'!U72*(ramps!V10*parameters!$B71)+'Adjusted Consumption'!U74*(ramps!V10*parameters!$B80)</f>
        <v>0</v>
      </c>
      <c r="V66" s="306">
        <f>'Adjusted Consumption'!V72*(ramps!W10*parameters!$B71)+'Adjusted Consumption'!V74*(ramps!W10*parameters!$B80)</f>
        <v>0</v>
      </c>
      <c r="W66" s="306">
        <f>'Adjusted Consumption'!W72*(ramps!X10*parameters!$B71)+'Adjusted Consumption'!W74*(ramps!X10*parameters!$B80)</f>
        <v>0</v>
      </c>
      <c r="X66" s="306">
        <f>'Adjusted Consumption'!X72*(ramps!Y10*parameters!$B71)+'Adjusted Consumption'!X74*(ramps!Y10*parameters!$B80)</f>
        <v>0</v>
      </c>
      <c r="Y66" s="306">
        <f>'Adjusted Consumption'!Y72*(ramps!Z10*parameters!$B71)+'Adjusted Consumption'!Y74*(ramps!Z10*parameters!$B80)</f>
        <v>0</v>
      </c>
      <c r="Z66" s="306">
        <f>'Adjusted Consumption'!Z72*(ramps!AA10*parameters!$B71)+'Adjusted Consumption'!Z74*(ramps!AA10*parameters!$B80)</f>
        <v>0</v>
      </c>
      <c r="AA66" s="306">
        <f>'Adjusted Consumption'!AA72*(ramps!AB10*parameters!$B71)+'Adjusted Consumption'!AA74*(ramps!AB10*parameters!$B80)</f>
        <v>0</v>
      </c>
      <c r="AB66" s="306">
        <f>'Adjusted Consumption'!AB72*(ramps!AC10*parameters!$B71)+'Adjusted Consumption'!AB74*(ramps!AC10*parameters!$B80)</f>
        <v>0</v>
      </c>
      <c r="AC66" s="306">
        <f>'Adjusted Consumption'!AC72*(ramps!AD10*parameters!$B71)+'Adjusted Consumption'!AC74*(ramps!AD10*parameters!$B80)</f>
        <v>0</v>
      </c>
      <c r="AD66" s="306">
        <f>'Adjusted Consumption'!AD72*(ramps!AE10*parameters!$B71)+'Adjusted Consumption'!AD74*(ramps!AE10*parameters!$B80)</f>
        <v>0</v>
      </c>
      <c r="AE66" s="306">
        <f>'Adjusted Consumption'!AE72*(ramps!AF10*parameters!$B71)+'Adjusted Consumption'!AE74*(ramps!AF10*parameters!$B80)</f>
        <v>0</v>
      </c>
      <c r="AF66" s="306">
        <f>'Adjusted Consumption'!AF72*(ramps!AG10*parameters!$B71)+'Adjusted Consumption'!AF74*(ramps!AG10*parameters!$B80)</f>
        <v>0</v>
      </c>
    </row>
    <row r="67" spans="1:32">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row>
    <row r="68" spans="1:32" s="5" customFormat="1" ht="13">
      <c r="A68" s="250" t="s">
        <v>416</v>
      </c>
      <c r="B68" s="380"/>
      <c r="C68" s="380"/>
      <c r="D68" s="380"/>
      <c r="E68" s="380"/>
      <c r="F68" s="380"/>
      <c r="G68" s="380"/>
      <c r="H68" s="380"/>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1"/>
    </row>
    <row r="69" spans="1:32" s="396" customFormat="1" ht="12.9" customHeight="1">
      <c r="A69" s="253" t="s">
        <v>199</v>
      </c>
      <c r="B69" s="253">
        <v>2020</v>
      </c>
      <c r="C69" s="253">
        <v>2021</v>
      </c>
      <c r="D69" s="253">
        <v>2022</v>
      </c>
      <c r="E69" s="253">
        <v>2023</v>
      </c>
      <c r="F69" s="253">
        <v>2024</v>
      </c>
      <c r="G69" s="253">
        <v>2025</v>
      </c>
      <c r="H69" s="253">
        <v>2026</v>
      </c>
      <c r="I69" s="253">
        <v>2027</v>
      </c>
      <c r="J69" s="253">
        <v>2028</v>
      </c>
      <c r="K69" s="253">
        <v>2029</v>
      </c>
      <c r="L69" s="253">
        <v>2030</v>
      </c>
      <c r="M69" s="253">
        <v>2031</v>
      </c>
      <c r="N69" s="253">
        <v>2032</v>
      </c>
      <c r="O69" s="253">
        <v>2033</v>
      </c>
      <c r="P69" s="253">
        <v>2034</v>
      </c>
      <c r="Q69" s="253">
        <v>2035</v>
      </c>
      <c r="R69" s="253">
        <v>2036</v>
      </c>
      <c r="S69" s="253">
        <v>2037</v>
      </c>
      <c r="T69" s="253">
        <v>2038</v>
      </c>
      <c r="U69" s="253">
        <v>2039</v>
      </c>
      <c r="V69" s="253">
        <v>2040</v>
      </c>
      <c r="W69" s="253">
        <v>2041</v>
      </c>
      <c r="X69" s="253">
        <v>2042</v>
      </c>
      <c r="Y69" s="253">
        <v>2043</v>
      </c>
      <c r="Z69" s="253">
        <v>2044</v>
      </c>
      <c r="AA69" s="253">
        <v>2045</v>
      </c>
      <c r="AB69" s="253">
        <v>2046</v>
      </c>
      <c r="AC69" s="253">
        <v>2047</v>
      </c>
      <c r="AD69" s="253">
        <v>2048</v>
      </c>
      <c r="AE69" s="253">
        <v>2049</v>
      </c>
      <c r="AF69" s="253">
        <v>2050</v>
      </c>
    </row>
    <row r="70" spans="1:32">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row>
    <row r="71" spans="1:32">
      <c r="A71" s="15" t="s">
        <v>1321</v>
      </c>
      <c r="B71" s="307">
        <f>'Baseline Consumption'!Q86</f>
        <v>9.9688725224071698E-3</v>
      </c>
      <c r="C71" s="307">
        <f>'Baseline Consumption'!R86</f>
        <v>4.9844362612035849E-3</v>
      </c>
      <c r="D71" s="307">
        <f>'Baseline Consumption'!S86</f>
        <v>4.9844362612035849E-3</v>
      </c>
      <c r="E71" s="307">
        <f>'Baseline Consumption'!T86</f>
        <v>4.9844362612035849E-3</v>
      </c>
      <c r="F71" s="307">
        <f>'Baseline Consumption'!U86</f>
        <v>4.9844362612035849E-3</v>
      </c>
      <c r="G71" s="307">
        <f>'Baseline Consumption'!V86</f>
        <v>4.9844362612035849E-3</v>
      </c>
      <c r="H71" s="307">
        <f>'Baseline Consumption'!W86</f>
        <v>0</v>
      </c>
      <c r="I71" s="307">
        <f>'Baseline Consumption'!X86</f>
        <v>0</v>
      </c>
      <c r="J71" s="307">
        <f>'Baseline Consumption'!Y86</f>
        <v>0</v>
      </c>
      <c r="K71" s="307">
        <f>'Baseline Consumption'!Z86</f>
        <v>0</v>
      </c>
      <c r="L71" s="307">
        <f>'Baseline Consumption'!AA86</f>
        <v>0</v>
      </c>
      <c r="M71" s="307">
        <f>'Baseline Consumption'!AB86</f>
        <v>0</v>
      </c>
      <c r="N71" s="307">
        <f>'Baseline Consumption'!AC86</f>
        <v>0</v>
      </c>
      <c r="O71" s="307">
        <f>'Baseline Consumption'!AD86</f>
        <v>0</v>
      </c>
      <c r="P71" s="307">
        <f>'Baseline Consumption'!AE86</f>
        <v>0</v>
      </c>
      <c r="Q71" s="307">
        <f>'Baseline Consumption'!AF86</f>
        <v>0</v>
      </c>
      <c r="R71" s="307">
        <f>'Baseline Consumption'!AG86</f>
        <v>0</v>
      </c>
      <c r="S71" s="307">
        <f>'Baseline Consumption'!AH86</f>
        <v>0</v>
      </c>
      <c r="T71" s="307">
        <f>'Baseline Consumption'!AI86</f>
        <v>0</v>
      </c>
      <c r="U71" s="307">
        <f>'Baseline Consumption'!AJ86</f>
        <v>0</v>
      </c>
      <c r="V71" s="307">
        <f>'Baseline Consumption'!AK86</f>
        <v>0</v>
      </c>
      <c r="W71" s="307">
        <f>'Baseline Consumption'!AL86</f>
        <v>0</v>
      </c>
      <c r="X71" s="307">
        <f>'Baseline Consumption'!AM86</f>
        <v>0</v>
      </c>
      <c r="Y71" s="307">
        <f>'Baseline Consumption'!AN86</f>
        <v>0</v>
      </c>
      <c r="Z71" s="307">
        <f>'Baseline Consumption'!AO86</f>
        <v>0</v>
      </c>
      <c r="AA71" s="307">
        <f>'Baseline Consumption'!AP86</f>
        <v>0</v>
      </c>
      <c r="AB71" s="307">
        <f>'Baseline Consumption'!AQ86</f>
        <v>0</v>
      </c>
      <c r="AC71" s="307">
        <f>'Baseline Consumption'!AR86</f>
        <v>0</v>
      </c>
      <c r="AD71" s="307">
        <f>'Baseline Consumption'!AS86</f>
        <v>0</v>
      </c>
      <c r="AE71" s="307">
        <f>'Baseline Consumption'!AT86</f>
        <v>0</v>
      </c>
      <c r="AF71" s="307">
        <f>'Baseline Consumption'!AU86</f>
        <v>0</v>
      </c>
    </row>
    <row r="72" spans="1:32">
      <c r="A72" s="15" t="s">
        <v>1323</v>
      </c>
      <c r="B72" s="307">
        <f>B71*'Baseline Consumption'!Q89*BtuTOkWh</f>
        <v>3.0638011513604804E-2</v>
      </c>
      <c r="C72" s="307">
        <f>C71*'Baseline Consumption'!R89*BtuTOkWh</f>
        <v>1.5303207295313734E-2</v>
      </c>
      <c r="D72" s="307">
        <f>D71*'Baseline Consumption'!S89*BtuTOkWh</f>
        <v>1.5309833349565479E-2</v>
      </c>
      <c r="E72" s="307">
        <f>E71*'Baseline Consumption'!T89*BtuTOkWh</f>
        <v>1.5322833576597637E-2</v>
      </c>
      <c r="F72" s="307">
        <f>F71*'Baseline Consumption'!U89*BtuTOkWh</f>
        <v>1.5324305494828138E-2</v>
      </c>
      <c r="G72" s="307">
        <f>G71*'Baseline Consumption'!V89*BtuTOkWh</f>
        <v>1.5324128455299044E-2</v>
      </c>
      <c r="H72" s="307">
        <f>H71*'Baseline Consumption'!W89*BtuTOkWh</f>
        <v>0</v>
      </c>
      <c r="I72" s="307">
        <f>I71*'Baseline Consumption'!X89*BtuTOkWh</f>
        <v>0</v>
      </c>
      <c r="J72" s="307">
        <f>J71*'Baseline Consumption'!Y89*BtuTOkWh</f>
        <v>0</v>
      </c>
      <c r="K72" s="307">
        <f>K71*'Baseline Consumption'!Z89*BtuTOkWh</f>
        <v>0</v>
      </c>
      <c r="L72" s="307">
        <f>L71*'Baseline Consumption'!AA89*BtuTOkWh</f>
        <v>0</v>
      </c>
      <c r="M72" s="307">
        <f>M71*'Baseline Consumption'!AB89*BtuTOkWh</f>
        <v>0</v>
      </c>
      <c r="N72" s="307">
        <f>N71*'Baseline Consumption'!AC89*BtuTOkWh</f>
        <v>0</v>
      </c>
      <c r="O72" s="307">
        <f>O71*'Baseline Consumption'!AD89*BtuTOkWh</f>
        <v>0</v>
      </c>
      <c r="P72" s="307">
        <f>P71*'Baseline Consumption'!AE89*BtuTOkWh</f>
        <v>0</v>
      </c>
      <c r="Q72" s="307">
        <f>Q71*'Baseline Consumption'!AF89*BtuTOkWh</f>
        <v>0</v>
      </c>
      <c r="R72" s="307">
        <f>R71*'Baseline Consumption'!AG89*BtuTOkWh</f>
        <v>0</v>
      </c>
      <c r="S72" s="307">
        <f>S71*'Baseline Consumption'!AH89*BtuTOkWh</f>
        <v>0</v>
      </c>
      <c r="T72" s="307">
        <f>T71*'Baseline Consumption'!AI89*BtuTOkWh</f>
        <v>0</v>
      </c>
      <c r="U72" s="307">
        <f>U71*'Baseline Consumption'!AJ89*BtuTOkWh</f>
        <v>0</v>
      </c>
      <c r="V72" s="307">
        <f>V71*'Baseline Consumption'!AK89*BtuTOkWh</f>
        <v>0</v>
      </c>
      <c r="W72" s="307">
        <f>W71*'Baseline Consumption'!AL89*BtuTOkWh</f>
        <v>0</v>
      </c>
      <c r="X72" s="307">
        <f>X71*'Baseline Consumption'!AM89*BtuTOkWh</f>
        <v>0</v>
      </c>
      <c r="Y72" s="307">
        <f>Y71*'Baseline Consumption'!AN89*BtuTOkWh</f>
        <v>0</v>
      </c>
      <c r="Z72" s="307">
        <f>Z71*'Baseline Consumption'!AO89*BtuTOkWh</f>
        <v>0</v>
      </c>
      <c r="AA72" s="307">
        <f>AA71*'Baseline Consumption'!AP89*BtuTOkWh</f>
        <v>0</v>
      </c>
      <c r="AB72" s="307">
        <f>AB71*'Baseline Consumption'!AQ89*BtuTOkWh</f>
        <v>0</v>
      </c>
      <c r="AC72" s="307">
        <f>AC71*'Baseline Consumption'!AR89*BtuTOkWh</f>
        <v>0</v>
      </c>
      <c r="AD72" s="307">
        <f>AD71*'Baseline Consumption'!AS89*BtuTOkWh</f>
        <v>0</v>
      </c>
      <c r="AE72" s="307">
        <f>AE71*'Baseline Consumption'!AT89*BtuTOkWh</f>
        <v>0</v>
      </c>
      <c r="AF72" s="307">
        <f>AF71*'Baseline Consumption'!AU89*BtuTOkWh</f>
        <v>0</v>
      </c>
    </row>
    <row r="73" spans="1:32">
      <c r="A73" s="15" t="s">
        <v>1322</v>
      </c>
      <c r="B73" s="307">
        <f>MAX('Adjusted Consumption'!B214-B72,0)</f>
        <v>7.1875159341273573E-2</v>
      </c>
      <c r="C73" s="307">
        <f>MAX('Adjusted Consumption'!C214-C72,0)</f>
        <v>6.7262232928729487E-2</v>
      </c>
      <c r="D73" s="307">
        <f>MAX('Adjusted Consumption'!D214-D72,0)</f>
        <v>5.2352969504961822E-2</v>
      </c>
      <c r="E73" s="307">
        <f>MAX('Adjusted Consumption'!E214-E72,0)</f>
        <v>3.4460456701873074E-2</v>
      </c>
      <c r="F73" s="307">
        <f>MAX('Adjusted Consumption'!F214-F72,0)</f>
        <v>1.7210447961300994E-2</v>
      </c>
      <c r="G73" s="307">
        <f>MAX('Adjusted Consumption'!G214-G72,0)</f>
        <v>5.8108531400658317E-4</v>
      </c>
      <c r="H73" s="307">
        <f>MAX('Adjusted Consumption'!H214-H72,0)</f>
        <v>0</v>
      </c>
      <c r="I73" s="307">
        <f>MAX('Adjusted Consumption'!I214-I72,0)</f>
        <v>0</v>
      </c>
      <c r="J73" s="307">
        <f>MAX('Adjusted Consumption'!J214-J72,0)</f>
        <v>0</v>
      </c>
      <c r="K73" s="307">
        <f>MAX('Adjusted Consumption'!K214-K72,0)</f>
        <v>0</v>
      </c>
      <c r="L73" s="307">
        <f>MAX('Adjusted Consumption'!L214-L72,0)</f>
        <v>0</v>
      </c>
      <c r="M73" s="307">
        <f>MAX('Adjusted Consumption'!M214-M72,0)</f>
        <v>0</v>
      </c>
      <c r="N73" s="307">
        <f>MAX('Adjusted Consumption'!N214-N72,0)</f>
        <v>0</v>
      </c>
      <c r="O73" s="307">
        <f>MAX('Adjusted Consumption'!O214-O72,0)</f>
        <v>0</v>
      </c>
      <c r="P73" s="307">
        <f>MAX('Adjusted Consumption'!P214-P72,0)</f>
        <v>0</v>
      </c>
      <c r="Q73" s="307">
        <f>MAX('Adjusted Consumption'!Q214-Q72,0)</f>
        <v>0</v>
      </c>
      <c r="R73" s="307">
        <f>MAX('Adjusted Consumption'!R214-R72,0)</f>
        <v>0</v>
      </c>
      <c r="S73" s="307">
        <f>MAX('Adjusted Consumption'!S214-S72,0)</f>
        <v>0</v>
      </c>
      <c r="T73" s="307">
        <f>MAX('Adjusted Consumption'!T214-T72,0)</f>
        <v>0</v>
      </c>
      <c r="U73" s="307">
        <f>MAX('Adjusted Consumption'!U214-U72,0)</f>
        <v>0</v>
      </c>
      <c r="V73" s="307">
        <f>MAX('Adjusted Consumption'!V214-V72,0)</f>
        <v>0</v>
      </c>
      <c r="W73" s="307">
        <f>MAX('Adjusted Consumption'!W214-W72,0)</f>
        <v>0</v>
      </c>
      <c r="X73" s="307">
        <f>MAX('Adjusted Consumption'!X214-X72,0)</f>
        <v>0</v>
      </c>
      <c r="Y73" s="307">
        <f>MAX('Adjusted Consumption'!Y214-Y72,0)</f>
        <v>0</v>
      </c>
      <c r="Z73" s="307">
        <f>MAX('Adjusted Consumption'!Z214-Z72,0)</f>
        <v>0</v>
      </c>
      <c r="AA73" s="307">
        <f>MAX('Adjusted Consumption'!AA214-AA72,0)</f>
        <v>0</v>
      </c>
      <c r="AB73" s="307">
        <f>MAX('Adjusted Consumption'!AB214-AB72,0)</f>
        <v>0</v>
      </c>
      <c r="AC73" s="307">
        <f>MAX('Adjusted Consumption'!AC214-AC72,0)</f>
        <v>0</v>
      </c>
      <c r="AD73" s="307">
        <f>MAX('Adjusted Consumption'!AD214-AD72,0)</f>
        <v>0</v>
      </c>
      <c r="AE73" s="307">
        <f>MAX('Adjusted Consumption'!AE214-AE72,0)</f>
        <v>0</v>
      </c>
      <c r="AF73" s="307">
        <f>MAX('Adjusted Consumption'!AF214-AF72,0)</f>
        <v>0</v>
      </c>
    </row>
    <row r="74" spans="1:32">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row>
    <row r="75" spans="1:32">
      <c r="A75" s="113" t="s">
        <v>1130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row>
    <row r="76" spans="1:32">
      <c r="A76" s="51" t="s">
        <v>352</v>
      </c>
      <c r="B76" s="306">
        <f>B73*ramps!C17*1000</f>
        <v>68.065775896186068</v>
      </c>
      <c r="C76" s="306">
        <f>C73*ramps!D17*1000</f>
        <v>82.806534958558871</v>
      </c>
      <c r="D76" s="306">
        <f>D73*ramps!E17*1000</f>
        <v>79.325219393918147</v>
      </c>
      <c r="E76" s="306">
        <f>E73*ramps!F17*1000</f>
        <v>62.00469974368022</v>
      </c>
      <c r="F76" s="306">
        <f>F73*ramps!G17*1000</f>
        <v>35.856247282574493</v>
      </c>
      <c r="G76" s="306">
        <f>G73*ramps!H17*1000</f>
        <v>1.3757194809105857</v>
      </c>
      <c r="H76" s="306">
        <f>H73*ramps!I17*1000</f>
        <v>0</v>
      </c>
      <c r="I76" s="306">
        <f>I73*ramps!J17*1000</f>
        <v>0</v>
      </c>
      <c r="J76" s="306">
        <f>J73*ramps!K17*1000</f>
        <v>0</v>
      </c>
      <c r="K76" s="306">
        <f>K73*ramps!L17*1000</f>
        <v>0</v>
      </c>
      <c r="L76" s="306">
        <f>L73*ramps!M17*1000</f>
        <v>0</v>
      </c>
      <c r="M76" s="306">
        <f>M73*ramps!N17*1000</f>
        <v>0</v>
      </c>
      <c r="N76" s="306">
        <f>N73*ramps!O17*1000</f>
        <v>0</v>
      </c>
      <c r="O76" s="306">
        <f>O73*ramps!P17*1000</f>
        <v>0</v>
      </c>
      <c r="P76" s="306">
        <f>P73*ramps!Q17*1000</f>
        <v>0</v>
      </c>
      <c r="Q76" s="306">
        <f>Q73*ramps!R17*1000</f>
        <v>0</v>
      </c>
      <c r="R76" s="306">
        <f>R73*ramps!S17*1000</f>
        <v>0</v>
      </c>
      <c r="S76" s="306">
        <f>S73*ramps!T17*1000</f>
        <v>0</v>
      </c>
      <c r="T76" s="306">
        <f>T73*ramps!U17*1000</f>
        <v>0</v>
      </c>
      <c r="U76" s="306">
        <f>U73*ramps!V17*1000</f>
        <v>0</v>
      </c>
      <c r="V76" s="306">
        <f>V73*ramps!W17*1000</f>
        <v>0</v>
      </c>
      <c r="W76" s="306">
        <f>W73*ramps!X17*1000</f>
        <v>0</v>
      </c>
      <c r="X76" s="306">
        <f>X73*ramps!Y17*1000</f>
        <v>0</v>
      </c>
      <c r="Y76" s="306">
        <f>Y73*ramps!Z17*1000</f>
        <v>0</v>
      </c>
      <c r="Z76" s="306">
        <f>Z73*ramps!AA17*1000</f>
        <v>0</v>
      </c>
      <c r="AA76" s="306">
        <f>AA73*ramps!AB17*1000</f>
        <v>0</v>
      </c>
      <c r="AB76" s="306">
        <f>AB73*ramps!AC17*1000</f>
        <v>0</v>
      </c>
      <c r="AC76" s="306">
        <f>AC73*ramps!AD17*1000</f>
        <v>0</v>
      </c>
      <c r="AD76" s="306">
        <f>AD73*ramps!AE17*1000</f>
        <v>0</v>
      </c>
      <c r="AE76" s="306">
        <f>AE73*ramps!AF17*1000</f>
        <v>0</v>
      </c>
      <c r="AF76" s="306">
        <f>AF73*ramps!AG17*1000</f>
        <v>0</v>
      </c>
    </row>
    <row r="77" spans="1:32">
      <c r="A77" s="51" t="s">
        <v>393</v>
      </c>
      <c r="B77" s="306">
        <f>'Adjusted Consumption'!B215*ramps!C16*1000</f>
        <v>23.679392902824297</v>
      </c>
      <c r="C77" s="306">
        <f>'Adjusted Consumption'!C215*ramps!D16*1000</f>
        <v>34.891890479427481</v>
      </c>
      <c r="D77" s="306">
        <f>'Adjusted Consumption'!D215*ramps!E16*1000</f>
        <v>41.898285495265583</v>
      </c>
      <c r="E77" s="306">
        <f>'Adjusted Consumption'!E215*ramps!F16*1000</f>
        <v>57.095411871206593</v>
      </c>
      <c r="F77" s="306">
        <f>'Adjusted Consumption'!F215*ramps!G16*1000</f>
        <v>67.843169373086369</v>
      </c>
      <c r="G77" s="306">
        <f>'Adjusted Consumption'!G215*ramps!H16*1000</f>
        <v>75.418586350122226</v>
      </c>
      <c r="H77" s="306">
        <f>'Adjusted Consumption'!H215*ramps!I16*1000</f>
        <v>90.155908515471012</v>
      </c>
      <c r="I77" s="306">
        <f>'Adjusted Consumption'!I215*ramps!J16*1000</f>
        <v>97.413253664045428</v>
      </c>
      <c r="J77" s="306">
        <f>'Adjusted Consumption'!J215*ramps!K16*1000</f>
        <v>107.52254149896851</v>
      </c>
      <c r="K77" s="306">
        <f>'Adjusted Consumption'!K215*ramps!L16*1000</f>
        <v>120.45096011634476</v>
      </c>
      <c r="L77" s="306">
        <f>'Adjusted Consumption'!L215*ramps!M16*1000</f>
        <v>129.36348688084979</v>
      </c>
      <c r="M77" s="306">
        <f>'Adjusted Consumption'!M215*ramps!N16*1000</f>
        <v>137.90035378563982</v>
      </c>
      <c r="N77" s="306">
        <f>'Adjusted Consumption'!N215*ramps!O16*1000</f>
        <v>143.19436580115141</v>
      </c>
      <c r="O77" s="306">
        <f>'Adjusted Consumption'!O215*ramps!P16*1000</f>
        <v>142.06493206048134</v>
      </c>
      <c r="P77" s="306">
        <f>'Adjusted Consumption'!P215*ramps!Q16*1000</f>
        <v>134.16070522901461</v>
      </c>
      <c r="Q77" s="306">
        <f>'Adjusted Consumption'!Q215*ramps!R16*1000</f>
        <v>123.22417924123009</v>
      </c>
      <c r="R77" s="306">
        <f>'Adjusted Consumption'!R215*ramps!S16*1000</f>
        <v>111.71207802556876</v>
      </c>
      <c r="S77" s="306">
        <f>'Adjusted Consumption'!S215*ramps!T16*1000</f>
        <v>100.15952902936786</v>
      </c>
      <c r="T77" s="306">
        <f>'Adjusted Consumption'!T215*ramps!U16*1000</f>
        <v>88.391648778655934</v>
      </c>
      <c r="U77" s="306">
        <f>'Adjusted Consumption'!U215*ramps!V16*1000</f>
        <v>76.408415515384277</v>
      </c>
      <c r="V77" s="306">
        <f>'Adjusted Consumption'!V215*ramps!W16*1000</f>
        <v>64.212457855468287</v>
      </c>
      <c r="W77" s="306">
        <f>'Adjusted Consumption'!W215*ramps!X16*1000</f>
        <v>51.801602828897593</v>
      </c>
      <c r="X77" s="306">
        <f>'Adjusted Consumption'!X215*ramps!Y16*1000</f>
        <v>39.173586046877759</v>
      </c>
      <c r="Y77" s="306">
        <f>'Adjusted Consumption'!Y215*ramps!Z16*1000</f>
        <v>26.329816583266727</v>
      </c>
      <c r="Z77" s="306">
        <f>'Adjusted Consumption'!Z215*ramps!AA16*1000</f>
        <v>13.271668099439934</v>
      </c>
      <c r="AA77" s="306">
        <f>'Adjusted Consumption'!AA215*ramps!AB16*1000</f>
        <v>0</v>
      </c>
      <c r="AB77" s="306">
        <f>'Adjusted Consumption'!AB215*ramps!AC16*1000</f>
        <v>0</v>
      </c>
      <c r="AC77" s="306">
        <f>'Adjusted Consumption'!AC215*ramps!AD16*1000</f>
        <v>0</v>
      </c>
      <c r="AD77" s="306">
        <f>'Adjusted Consumption'!AD215*ramps!AE16*1000</f>
        <v>0</v>
      </c>
      <c r="AE77" s="306">
        <f>'Adjusted Consumption'!AE215*ramps!AF16*1000</f>
        <v>0</v>
      </c>
      <c r="AF77" s="306">
        <f>'Adjusted Consumption'!AF215*ramps!AG16*1000</f>
        <v>0</v>
      </c>
    </row>
    <row r="78" spans="1:32">
      <c r="A78" s="51" t="s">
        <v>394</v>
      </c>
      <c r="B78" s="306">
        <f>'Adjusted Consumption'!B216*ramps!C24*1000</f>
        <v>0</v>
      </c>
      <c r="C78" s="306">
        <f>'Adjusted Consumption'!C216*ramps!D24*1000</f>
        <v>0</v>
      </c>
      <c r="D78" s="306">
        <f>'Adjusted Consumption'!D216*ramps!E24*1000</f>
        <v>0</v>
      </c>
      <c r="E78" s="306">
        <f>'Adjusted Consumption'!E216*ramps!F24*1000</f>
        <v>0</v>
      </c>
      <c r="F78" s="306">
        <f>'Adjusted Consumption'!F216*ramps!G24*1000</f>
        <v>0</v>
      </c>
      <c r="G78" s="306">
        <f>'Adjusted Consumption'!G216*ramps!H24*1000</f>
        <v>0</v>
      </c>
      <c r="H78" s="306">
        <f>'Adjusted Consumption'!H216*ramps!I24*1000</f>
        <v>0</v>
      </c>
      <c r="I78" s="306">
        <f>'Adjusted Consumption'!I216*ramps!J24*1000</f>
        <v>0</v>
      </c>
      <c r="J78" s="306">
        <f>'Adjusted Consumption'!J216*ramps!K24*1000</f>
        <v>0</v>
      </c>
      <c r="K78" s="306">
        <f>'Adjusted Consumption'!K216*ramps!L24*1000</f>
        <v>0</v>
      </c>
      <c r="L78" s="306">
        <f>'Adjusted Consumption'!L216*ramps!M24*1000</f>
        <v>0</v>
      </c>
      <c r="M78" s="306">
        <f>'Adjusted Consumption'!M216*ramps!N24*1000</f>
        <v>0</v>
      </c>
      <c r="N78" s="306">
        <f>'Adjusted Consumption'!N216*ramps!O24*1000</f>
        <v>0</v>
      </c>
      <c r="O78" s="306">
        <f>'Adjusted Consumption'!O216*ramps!P24*1000</f>
        <v>0</v>
      </c>
      <c r="P78" s="306">
        <f>'Adjusted Consumption'!P216*ramps!Q24*1000</f>
        <v>0</v>
      </c>
      <c r="Q78" s="306">
        <f>'Adjusted Consumption'!Q216*ramps!R24*1000</f>
        <v>0</v>
      </c>
      <c r="R78" s="306">
        <f>'Adjusted Consumption'!R216*ramps!S24*1000</f>
        <v>0</v>
      </c>
      <c r="S78" s="306">
        <f>'Adjusted Consumption'!S216*ramps!T24*1000</f>
        <v>0</v>
      </c>
      <c r="T78" s="306">
        <f>'Adjusted Consumption'!T216*ramps!U24*1000</f>
        <v>0</v>
      </c>
      <c r="U78" s="306">
        <f>'Adjusted Consumption'!U216*ramps!V24*1000</f>
        <v>0</v>
      </c>
      <c r="V78" s="306">
        <f>'Adjusted Consumption'!V216*ramps!W24*1000</f>
        <v>0</v>
      </c>
      <c r="W78" s="306">
        <f>'Adjusted Consumption'!W216*ramps!X24*1000</f>
        <v>0</v>
      </c>
      <c r="X78" s="306">
        <f>'Adjusted Consumption'!X216*ramps!Y24*1000</f>
        <v>0</v>
      </c>
      <c r="Y78" s="306">
        <f>'Adjusted Consumption'!Y216*ramps!Z24*1000</f>
        <v>0</v>
      </c>
      <c r="Z78" s="306">
        <f>'Adjusted Consumption'!Z216*ramps!AA24*1000</f>
        <v>0</v>
      </c>
      <c r="AA78" s="306">
        <f>'Adjusted Consumption'!AA216*ramps!AB24*1000</f>
        <v>0</v>
      </c>
      <c r="AB78" s="306">
        <f>'Adjusted Consumption'!AB216*ramps!AC24*1000</f>
        <v>0</v>
      </c>
      <c r="AC78" s="306">
        <f>'Adjusted Consumption'!AC216*ramps!AD24*1000</f>
        <v>0</v>
      </c>
      <c r="AD78" s="306">
        <f>'Adjusted Consumption'!AD216*ramps!AE24*1000</f>
        <v>0</v>
      </c>
      <c r="AE78" s="306">
        <f>'Adjusted Consumption'!AE216*ramps!AF24*1000</f>
        <v>0</v>
      </c>
      <c r="AF78" s="306">
        <f>'Adjusted Consumption'!AF216*ramps!AG24*1000</f>
        <v>0</v>
      </c>
    </row>
    <row r="79" spans="1:32">
      <c r="A79" s="51" t="s">
        <v>395</v>
      </c>
      <c r="B79" s="306">
        <f>'Adjusted Consumption'!B217*ramps!C19*1000</f>
        <v>0.50927375404993769</v>
      </c>
      <c r="C79" s="306">
        <f>'Adjusted Consumption'!C217*ramps!D19*1000</f>
        <v>0.6497475105726398</v>
      </c>
      <c r="D79" s="306">
        <f>'Adjusted Consumption'!D217*ramps!E19*1000</f>
        <v>0.77737846734151261</v>
      </c>
      <c r="E79" s="306">
        <f>'Adjusted Consumption'!E217*ramps!F19*1000</f>
        <v>0.90751300547003799</v>
      </c>
      <c r="F79" s="306">
        <f>'Adjusted Consumption'!F217*ramps!G19*1000</f>
        <v>1.0363965741171184</v>
      </c>
      <c r="G79" s="306">
        <f>'Adjusted Consumption'!G217*ramps!H19*1000</f>
        <v>1.163715695030147</v>
      </c>
      <c r="H79" s="306">
        <f>'Adjusted Consumption'!H217*ramps!I19*1000</f>
        <v>1.2887942779891706</v>
      </c>
      <c r="I79" s="306">
        <f>'Adjusted Consumption'!I217*ramps!J19*1000</f>
        <v>1.3591802231854606</v>
      </c>
      <c r="J79" s="306">
        <f>'Adjusted Consumption'!J217*ramps!K19*1000</f>
        <v>1.398380280337711</v>
      </c>
      <c r="K79" s="306">
        <f>'Adjusted Consumption'!K217*ramps!L19*1000</f>
        <v>1.4312168525052402</v>
      </c>
      <c r="L79" s="306">
        <f>'Adjusted Consumption'!L217*ramps!M19*1000</f>
        <v>1.4594118470285384</v>
      </c>
      <c r="M79" s="306">
        <f>'Adjusted Consumption'!M217*ramps!N19*1000</f>
        <v>1.4710334028736198</v>
      </c>
      <c r="N79" s="306">
        <f>'Adjusted Consumption'!N217*ramps!O19*1000</f>
        <v>1.473649236713751</v>
      </c>
      <c r="O79" s="306">
        <f>'Adjusted Consumption'!O217*ramps!P19*1000</f>
        <v>1.4620259499975095</v>
      </c>
      <c r="P79" s="306">
        <f>'Adjusted Consumption'!P217*ramps!Q19*1000</f>
        <v>1.3806815634929563</v>
      </c>
      <c r="Q79" s="306">
        <f>'Adjusted Consumption'!Q217*ramps!R19*1000</f>
        <v>1.2681310236443468</v>
      </c>
      <c r="R79" s="306">
        <f>'Adjusted Consumption'!R217*ramps!S19*1000</f>
        <v>1.1496570943489086</v>
      </c>
      <c r="S79" s="306">
        <f>'Adjusted Consumption'!S217*ramps!T19*1000</f>
        <v>1.0307669067699448</v>
      </c>
      <c r="T79" s="306">
        <f>'Adjusted Consumption'!T217*ramps!U19*1000</f>
        <v>0.90966069108767189</v>
      </c>
      <c r="U79" s="306">
        <f>'Adjusted Consumption'!U217*ramps!V19*1000</f>
        <v>0.78633822338453963</v>
      </c>
      <c r="V79" s="306">
        <f>'Adjusted Consumption'!V217*ramps!W19*1000</f>
        <v>0.66082655540811697</v>
      </c>
      <c r="W79" s="306">
        <f>'Adjusted Consumption'!W217*ramps!X19*1000</f>
        <v>0.53310332457745346</v>
      </c>
      <c r="X79" s="306">
        <f>'Adjusted Consumption'!X217*ramps!Y19*1000</f>
        <v>0.40314522749789444</v>
      </c>
      <c r="Y79" s="306">
        <f>'Adjusted Consumption'!Y217*ramps!Z19*1000</f>
        <v>0.27096676530294106</v>
      </c>
      <c r="Z79" s="306">
        <f>'Adjusted Consumption'!Z217*ramps!AA19*1000</f>
        <v>0.13658207468733136</v>
      </c>
      <c r="AA79" s="306">
        <f>'Adjusted Consumption'!AA217*ramps!AB19*1000</f>
        <v>0</v>
      </c>
      <c r="AB79" s="306">
        <f>'Adjusted Consumption'!AB217*ramps!AC19*1000</f>
        <v>0</v>
      </c>
      <c r="AC79" s="306">
        <f>'Adjusted Consumption'!AC217*ramps!AD19*1000</f>
        <v>0</v>
      </c>
      <c r="AD79" s="306">
        <f>'Adjusted Consumption'!AD217*ramps!AE19*1000</f>
        <v>0</v>
      </c>
      <c r="AE79" s="306">
        <f>'Adjusted Consumption'!AE217*ramps!AF19*1000</f>
        <v>0</v>
      </c>
      <c r="AF79" s="306">
        <f>'Adjusted Consumption'!AF217*ramps!AG19*1000</f>
        <v>0</v>
      </c>
    </row>
    <row r="80" spans="1:32">
      <c r="A80" s="15" t="s">
        <v>1131</v>
      </c>
      <c r="B80" s="306">
        <f t="shared" ref="B80:AF80" si="8">SUM(B76:B79)</f>
        <v>92.254442553060315</v>
      </c>
      <c r="C80" s="306">
        <f t="shared" si="8"/>
        <v>118.34817294855898</v>
      </c>
      <c r="D80" s="306">
        <f t="shared" si="8"/>
        <v>122.00088335652524</v>
      </c>
      <c r="E80" s="306">
        <f t="shared" si="8"/>
        <v>120.00762462035685</v>
      </c>
      <c r="F80" s="306">
        <f t="shared" si="8"/>
        <v>104.73581322977797</v>
      </c>
      <c r="G80" s="306">
        <f t="shared" si="8"/>
        <v>77.958021526062964</v>
      </c>
      <c r="H80" s="306">
        <f t="shared" si="8"/>
        <v>91.444702793460181</v>
      </c>
      <c r="I80" s="306">
        <f t="shared" si="8"/>
        <v>98.772433887230889</v>
      </c>
      <c r="J80" s="306">
        <f t="shared" si="8"/>
        <v>108.92092177930621</v>
      </c>
      <c r="K80" s="306">
        <f t="shared" si="8"/>
        <v>121.88217696885</v>
      </c>
      <c r="L80" s="306">
        <f t="shared" si="8"/>
        <v>130.82289872787834</v>
      </c>
      <c r="M80" s="306">
        <f t="shared" si="8"/>
        <v>139.37138718851344</v>
      </c>
      <c r="N80" s="306">
        <f t="shared" si="8"/>
        <v>144.66801503786516</v>
      </c>
      <c r="O80" s="306">
        <f t="shared" si="8"/>
        <v>143.52695801047884</v>
      </c>
      <c r="P80" s="306">
        <f t="shared" si="8"/>
        <v>135.54138679250758</v>
      </c>
      <c r="Q80" s="306">
        <f t="shared" si="8"/>
        <v>124.49231026487443</v>
      </c>
      <c r="R80" s="306">
        <f t="shared" si="8"/>
        <v>112.86173511991767</v>
      </c>
      <c r="S80" s="306">
        <f t="shared" si="8"/>
        <v>101.1902959361378</v>
      </c>
      <c r="T80" s="306">
        <f t="shared" si="8"/>
        <v>89.3013094697436</v>
      </c>
      <c r="U80" s="306">
        <f t="shared" si="8"/>
        <v>77.19475373876881</v>
      </c>
      <c r="V80" s="306">
        <f t="shared" si="8"/>
        <v>64.873284410876408</v>
      </c>
      <c r="W80" s="306">
        <f t="shared" si="8"/>
        <v>52.334706153475047</v>
      </c>
      <c r="X80" s="306">
        <f t="shared" si="8"/>
        <v>39.576731274375653</v>
      </c>
      <c r="Y80" s="306">
        <f t="shared" si="8"/>
        <v>26.600783348569667</v>
      </c>
      <c r="Z80" s="306">
        <f t="shared" si="8"/>
        <v>13.408250174127264</v>
      </c>
      <c r="AA80" s="306">
        <f t="shared" si="8"/>
        <v>0</v>
      </c>
      <c r="AB80" s="306">
        <f t="shared" si="8"/>
        <v>0</v>
      </c>
      <c r="AC80" s="306">
        <f t="shared" si="8"/>
        <v>0</v>
      </c>
      <c r="AD80" s="306">
        <f t="shared" si="8"/>
        <v>0</v>
      </c>
      <c r="AE80" s="306">
        <f t="shared" si="8"/>
        <v>0</v>
      </c>
      <c r="AF80" s="306">
        <f t="shared" si="8"/>
        <v>0</v>
      </c>
    </row>
    <row r="81" spans="1:32">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c r="AF81" s="306"/>
    </row>
    <row r="82" spans="1:32" s="5" customFormat="1" ht="13">
      <c r="A82" s="250" t="s">
        <v>1272</v>
      </c>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1"/>
    </row>
    <row r="83" spans="1:32" s="396" customFormat="1" ht="12.9" customHeight="1">
      <c r="A83" s="253" t="s">
        <v>199</v>
      </c>
      <c r="B83" s="253">
        <v>2020</v>
      </c>
      <c r="C83" s="253">
        <v>2021</v>
      </c>
      <c r="D83" s="253">
        <v>2022</v>
      </c>
      <c r="E83" s="253">
        <v>2023</v>
      </c>
      <c r="F83" s="253">
        <v>2024</v>
      </c>
      <c r="G83" s="253">
        <v>2025</v>
      </c>
      <c r="H83" s="253">
        <v>2026</v>
      </c>
      <c r="I83" s="253">
        <v>2027</v>
      </c>
      <c r="J83" s="253">
        <v>2028</v>
      </c>
      <c r="K83" s="253">
        <v>2029</v>
      </c>
      <c r="L83" s="253">
        <v>2030</v>
      </c>
      <c r="M83" s="253">
        <v>2031</v>
      </c>
      <c r="N83" s="253">
        <v>2032</v>
      </c>
      <c r="O83" s="253">
        <v>2033</v>
      </c>
      <c r="P83" s="253">
        <v>2034</v>
      </c>
      <c r="Q83" s="253">
        <v>2035</v>
      </c>
      <c r="R83" s="253">
        <v>2036</v>
      </c>
      <c r="S83" s="253">
        <v>2037</v>
      </c>
      <c r="T83" s="253">
        <v>2038</v>
      </c>
      <c r="U83" s="253">
        <v>2039</v>
      </c>
      <c r="V83" s="253">
        <v>2040</v>
      </c>
      <c r="W83" s="253">
        <v>2041</v>
      </c>
      <c r="X83" s="253">
        <v>2042</v>
      </c>
      <c r="Y83" s="253">
        <v>2043</v>
      </c>
      <c r="Z83" s="253">
        <v>2044</v>
      </c>
      <c r="AA83" s="253">
        <v>2045</v>
      </c>
      <c r="AB83" s="253">
        <v>2046</v>
      </c>
      <c r="AC83" s="253">
        <v>2047</v>
      </c>
      <c r="AD83" s="253">
        <v>2048</v>
      </c>
      <c r="AE83" s="253">
        <v>2049</v>
      </c>
      <c r="AF83" s="253">
        <v>2050</v>
      </c>
    </row>
    <row r="84" spans="1:32" s="36" customFormat="1">
      <c r="A84" s="36" t="s">
        <v>1041</v>
      </c>
      <c r="B84" s="315">
        <f t="shared" ref="B84:V84" si="9">B14+B27+B49+B64</f>
        <v>613.26206546993319</v>
      </c>
      <c r="C84" s="315">
        <f t="shared" si="9"/>
        <v>788.4984498943295</v>
      </c>
      <c r="D84" s="315">
        <f t="shared" si="9"/>
        <v>930.56183595226139</v>
      </c>
      <c r="E84" s="315">
        <f t="shared" si="9"/>
        <v>1064.4138790761504</v>
      </c>
      <c r="F84" s="315">
        <f t="shared" si="9"/>
        <v>1194.1010316559793</v>
      </c>
      <c r="G84" s="315">
        <f t="shared" si="9"/>
        <v>1297.3212869024642</v>
      </c>
      <c r="H84" s="315">
        <f t="shared" si="9"/>
        <v>1435.5747657501979</v>
      </c>
      <c r="I84" s="315">
        <f t="shared" si="9"/>
        <v>1553.0636777299287</v>
      </c>
      <c r="J84" s="315">
        <f t="shared" si="9"/>
        <v>1674.9399990990375</v>
      </c>
      <c r="K84" s="315">
        <f t="shared" si="9"/>
        <v>1779.8186796823709</v>
      </c>
      <c r="L84" s="315">
        <f t="shared" si="9"/>
        <v>1897.3984487874172</v>
      </c>
      <c r="M84" s="315">
        <f t="shared" si="9"/>
        <v>2009.6997391418645</v>
      </c>
      <c r="N84" s="315">
        <f t="shared" si="9"/>
        <v>2120.4542308785385</v>
      </c>
      <c r="O84" s="315">
        <f t="shared" si="9"/>
        <v>2222.4242428280568</v>
      </c>
      <c r="P84" s="315">
        <f t="shared" si="9"/>
        <v>2247.0618630854533</v>
      </c>
      <c r="Q84" s="315">
        <f t="shared" si="9"/>
        <v>2233.3039223277265</v>
      </c>
      <c r="R84" s="315">
        <f t="shared" si="9"/>
        <v>2216.422963169498</v>
      </c>
      <c r="S84" s="315">
        <f t="shared" si="9"/>
        <v>2203.566621441606</v>
      </c>
      <c r="T84" s="315">
        <f t="shared" si="9"/>
        <v>2192.9549668903542</v>
      </c>
      <c r="U84" s="315">
        <f t="shared" si="9"/>
        <v>2186.3310874182071</v>
      </c>
      <c r="V84" s="315">
        <f t="shared" si="9"/>
        <v>2178.634049587894</v>
      </c>
      <c r="W84" s="315">
        <f t="shared" ref="W84:AF84" si="10">W14+W27+W49+W64</f>
        <v>2174.3099131615882</v>
      </c>
      <c r="X84" s="315">
        <f t="shared" si="10"/>
        <v>2167.3020872864918</v>
      </c>
      <c r="Y84" s="315">
        <f t="shared" si="10"/>
        <v>2162.6973162937593</v>
      </c>
      <c r="Z84" s="315">
        <f t="shared" si="10"/>
        <v>2160.8026099937142</v>
      </c>
      <c r="AA84" s="315">
        <f t="shared" si="10"/>
        <v>2163.4859999910313</v>
      </c>
      <c r="AB84" s="315">
        <f t="shared" si="10"/>
        <v>2173.3713717276923</v>
      </c>
      <c r="AC84" s="315">
        <f t="shared" si="10"/>
        <v>2185.2249787621176</v>
      </c>
      <c r="AD84" s="315">
        <f t="shared" si="10"/>
        <v>2197.8682260330952</v>
      </c>
      <c r="AE84" s="315">
        <f t="shared" si="10"/>
        <v>2206.6634865576525</v>
      </c>
      <c r="AF84" s="315">
        <f t="shared" si="10"/>
        <v>2217.6537951556511</v>
      </c>
    </row>
    <row r="85" spans="1:32">
      <c r="B85" s="329"/>
      <c r="C85" s="329"/>
      <c r="D85" s="329"/>
      <c r="E85" s="329"/>
      <c r="F85" s="329"/>
      <c r="G85" s="329"/>
      <c r="H85" s="329"/>
      <c r="I85" s="329"/>
      <c r="J85" s="329"/>
      <c r="K85" s="329"/>
      <c r="L85" s="329"/>
      <c r="M85" s="329"/>
      <c r="N85" s="329"/>
      <c r="O85" s="329"/>
      <c r="P85" s="329"/>
      <c r="Q85" s="329"/>
      <c r="R85" s="329"/>
      <c r="S85" s="329"/>
      <c r="T85" s="329"/>
      <c r="U85" s="329"/>
      <c r="V85" s="329"/>
      <c r="W85" s="329"/>
      <c r="X85" s="329"/>
      <c r="Y85" s="329"/>
      <c r="Z85" s="329"/>
      <c r="AA85" s="329"/>
      <c r="AB85" s="329"/>
      <c r="AC85" s="329"/>
      <c r="AD85" s="329"/>
      <c r="AE85" s="329"/>
      <c r="AF85" s="329"/>
    </row>
    <row r="86" spans="1:32" customFormat="1"/>
    <row r="87" spans="1:32" customFormat="1"/>
    <row r="88" spans="1:32" customFormat="1"/>
    <row r="89" spans="1:32" customFormat="1"/>
    <row r="90" spans="1:32" customFormat="1"/>
    <row r="91" spans="1:32" customFormat="1"/>
    <row r="92" spans="1:32" customFormat="1"/>
    <row r="93" spans="1:32" customFormat="1"/>
    <row r="94" spans="1:32" customFormat="1"/>
    <row r="95" spans="1:32" customFormat="1"/>
    <row r="96" spans="1:32"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sheetData>
  <phoneticPr fontId="7"/>
  <pageMargins left="0.7" right="0.7" top="0.75" bottom="0.75" header="0.3" footer="0.3"/>
  <pageSetup orientation="portrait" horizontalDpi="300" verticalDpi="30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3"/>
  <dimension ref="B1:F223"/>
  <sheetViews>
    <sheetView workbookViewId="0"/>
  </sheetViews>
  <sheetFormatPr defaultColWidth="10.88671875" defaultRowHeight="12"/>
  <cols>
    <col min="1" max="1" width="2.88671875" style="280" customWidth="1"/>
    <col min="2" max="3" width="12.88671875" style="95" customWidth="1"/>
    <col min="4" max="4" width="21.33203125" style="95" customWidth="1"/>
    <col min="5" max="5" width="11.109375" style="95" customWidth="1"/>
    <col min="6" max="7" width="10.88671875" style="280" customWidth="1"/>
    <col min="8" max="8" width="10.88671875" style="280"/>
    <col min="9" max="9" width="10.88671875" style="280" customWidth="1"/>
    <col min="10" max="16384" width="10.88671875" style="280"/>
  </cols>
  <sheetData>
    <row r="1" spans="2:5" ht="32.15" customHeight="1">
      <c r="B1" s="331" t="s">
        <v>557</v>
      </c>
      <c r="C1" s="332"/>
      <c r="D1" s="332"/>
      <c r="E1" s="332"/>
    </row>
    <row r="2" spans="2:5" ht="12.9" customHeight="1">
      <c r="B2" s="333"/>
      <c r="C2" s="332"/>
      <c r="D2" s="332"/>
      <c r="E2" s="332"/>
    </row>
    <row r="3" spans="2:5">
      <c r="B3" s="334" t="s">
        <v>558</v>
      </c>
      <c r="C3" s="334"/>
      <c r="D3" s="335"/>
      <c r="E3" s="253" t="s">
        <v>559</v>
      </c>
    </row>
    <row r="4" spans="2:5">
      <c r="B4" s="254" t="s">
        <v>560</v>
      </c>
      <c r="C4" s="254" t="s">
        <v>561</v>
      </c>
      <c r="D4" s="336" t="s">
        <v>562</v>
      </c>
      <c r="E4" s="254" t="s">
        <v>563</v>
      </c>
    </row>
    <row r="5" spans="2:5">
      <c r="D5" s="96"/>
    </row>
    <row r="6" spans="2:5" ht="13">
      <c r="B6" s="250" t="s">
        <v>564</v>
      </c>
      <c r="C6" s="240"/>
      <c r="D6" s="240"/>
      <c r="E6" s="241"/>
    </row>
    <row r="7" spans="2:5">
      <c r="B7" s="280" t="s">
        <v>565</v>
      </c>
      <c r="C7" s="280" t="s">
        <v>566</v>
      </c>
      <c r="D7" s="280" t="s">
        <v>567</v>
      </c>
      <c r="E7" s="97">
        <f>1/E9</f>
        <v>0.39370078740157477</v>
      </c>
    </row>
    <row r="8" spans="2:5">
      <c r="B8" s="280" t="s">
        <v>568</v>
      </c>
      <c r="C8" s="280" t="s">
        <v>569</v>
      </c>
      <c r="D8" s="280" t="s">
        <v>570</v>
      </c>
      <c r="E8" s="280">
        <v>0.30480000000000002</v>
      </c>
    </row>
    <row r="9" spans="2:5">
      <c r="B9" s="280" t="s">
        <v>566</v>
      </c>
      <c r="C9" s="280" t="s">
        <v>565</v>
      </c>
      <c r="D9" s="280" t="s">
        <v>571</v>
      </c>
      <c r="E9" s="165">
        <f>E10/10</f>
        <v>2.54</v>
      </c>
    </row>
    <row r="10" spans="2:5">
      <c r="B10" s="280" t="s">
        <v>566</v>
      </c>
      <c r="C10" s="280" t="s">
        <v>572</v>
      </c>
      <c r="D10" s="280" t="s">
        <v>573</v>
      </c>
      <c r="E10" s="280">
        <v>25.4</v>
      </c>
    </row>
    <row r="11" spans="2:5">
      <c r="B11" s="280" t="s">
        <v>574</v>
      </c>
      <c r="C11" s="280" t="s">
        <v>575</v>
      </c>
      <c r="D11" s="280" t="s">
        <v>576</v>
      </c>
      <c r="E11" s="97">
        <f>1/E12</f>
        <v>0.62150403977625857</v>
      </c>
    </row>
    <row r="12" spans="2:5">
      <c r="B12" s="280" t="s">
        <v>575</v>
      </c>
      <c r="C12" s="280" t="s">
        <v>574</v>
      </c>
      <c r="D12" s="280" t="s">
        <v>577</v>
      </c>
      <c r="E12" s="280">
        <v>1.609</v>
      </c>
    </row>
    <row r="13" spans="2:5">
      <c r="B13" s="280" t="s">
        <v>572</v>
      </c>
      <c r="C13" s="280" t="s">
        <v>566</v>
      </c>
      <c r="D13" s="280" t="s">
        <v>578</v>
      </c>
      <c r="E13" s="100">
        <f>1/E10</f>
        <v>3.937007874015748E-2</v>
      </c>
    </row>
    <row r="14" spans="2:5">
      <c r="B14" s="280"/>
      <c r="C14" s="280"/>
      <c r="D14" s="280"/>
      <c r="E14" s="280"/>
    </row>
    <row r="15" spans="2:5" ht="13">
      <c r="B15" s="250" t="s">
        <v>579</v>
      </c>
      <c r="C15" s="240"/>
      <c r="D15" s="240"/>
      <c r="E15" s="241"/>
    </row>
    <row r="16" spans="2:5">
      <c r="B16" s="280" t="s">
        <v>580</v>
      </c>
      <c r="C16" s="280" t="s">
        <v>581</v>
      </c>
      <c r="D16" s="280" t="s">
        <v>582</v>
      </c>
      <c r="E16" s="280">
        <v>2.2049999999999999E-3</v>
      </c>
    </row>
    <row r="17" spans="2:5">
      <c r="B17" s="280" t="s">
        <v>583</v>
      </c>
      <c r="C17" s="280" t="s">
        <v>580</v>
      </c>
      <c r="D17" s="280" t="s">
        <v>584</v>
      </c>
      <c r="E17" s="280">
        <v>1000</v>
      </c>
    </row>
    <row r="18" spans="2:5">
      <c r="B18" s="280" t="s">
        <v>583</v>
      </c>
      <c r="C18" s="280" t="s">
        <v>581</v>
      </c>
      <c r="D18" s="280" t="s">
        <v>585</v>
      </c>
      <c r="E18" s="165">
        <f>1/E20</f>
        <v>2.204585537918871</v>
      </c>
    </row>
    <row r="19" spans="2:5">
      <c r="B19" s="280" t="s">
        <v>581</v>
      </c>
      <c r="C19" s="280" t="s">
        <v>580</v>
      </c>
      <c r="D19" s="280" t="s">
        <v>586</v>
      </c>
      <c r="E19" s="185">
        <f>lbTOkg*1000</f>
        <v>453.6</v>
      </c>
    </row>
    <row r="20" spans="2:5">
      <c r="B20" s="280" t="s">
        <v>581</v>
      </c>
      <c r="C20" s="280" t="s">
        <v>583</v>
      </c>
      <c r="D20" s="280" t="s">
        <v>587</v>
      </c>
      <c r="E20" s="280">
        <v>0.4536</v>
      </c>
    </row>
    <row r="21" spans="2:5">
      <c r="B21" s="280" t="s">
        <v>581</v>
      </c>
      <c r="C21" s="280" t="s">
        <v>588</v>
      </c>
      <c r="D21" s="280" t="s">
        <v>589</v>
      </c>
      <c r="E21" s="98">
        <f>lbTOkg/1000</f>
        <v>4.5360000000000002E-4</v>
      </c>
    </row>
    <row r="22" spans="2:5">
      <c r="B22" s="280" t="s">
        <v>581</v>
      </c>
      <c r="C22" s="280" t="s">
        <v>590</v>
      </c>
      <c r="D22" s="280" t="s">
        <v>591</v>
      </c>
      <c r="E22" s="98">
        <f>1/E27</f>
        <v>5.0000000000000001E-4</v>
      </c>
    </row>
    <row r="23" spans="2:5">
      <c r="B23" s="280" t="s">
        <v>588</v>
      </c>
      <c r="C23" s="280" t="s">
        <v>583</v>
      </c>
      <c r="D23" s="280" t="s">
        <v>592</v>
      </c>
      <c r="E23" s="280">
        <v>1000</v>
      </c>
    </row>
    <row r="24" spans="2:5">
      <c r="B24" s="280" t="s">
        <v>588</v>
      </c>
      <c r="C24" s="280" t="s">
        <v>590</v>
      </c>
      <c r="D24" s="280" t="s">
        <v>593</v>
      </c>
      <c r="E24" s="165">
        <f>1/E29</f>
        <v>1.1023170704821534</v>
      </c>
    </row>
    <row r="25" spans="2:5">
      <c r="B25" s="280" t="s">
        <v>581</v>
      </c>
      <c r="C25" s="280" t="s">
        <v>594</v>
      </c>
      <c r="D25" s="280" t="s">
        <v>595</v>
      </c>
      <c r="E25" s="280">
        <v>16</v>
      </c>
    </row>
    <row r="26" spans="2:5">
      <c r="B26" s="280" t="s">
        <v>594</v>
      </c>
      <c r="C26" s="280" t="s">
        <v>583</v>
      </c>
      <c r="D26" s="280" t="s">
        <v>596</v>
      </c>
      <c r="E26" s="105">
        <f>lbTOkg/lbTOoz</f>
        <v>2.835E-2</v>
      </c>
    </row>
    <row r="27" spans="2:5">
      <c r="B27" s="280" t="s">
        <v>590</v>
      </c>
      <c r="C27" s="280" t="s">
        <v>581</v>
      </c>
      <c r="D27" s="280" t="s">
        <v>597</v>
      </c>
      <c r="E27" s="280">
        <v>2000</v>
      </c>
    </row>
    <row r="28" spans="2:5">
      <c r="B28" s="280" t="s">
        <v>590</v>
      </c>
      <c r="C28" s="280" t="s">
        <v>583</v>
      </c>
      <c r="D28" s="280" t="s">
        <v>598</v>
      </c>
      <c r="E28" s="185">
        <f>tonTOMg*1000</f>
        <v>907.18</v>
      </c>
    </row>
    <row r="29" spans="2:5">
      <c r="B29" s="280" t="s">
        <v>590</v>
      </c>
      <c r="C29" s="280" t="s">
        <v>588</v>
      </c>
      <c r="D29" s="280" t="s">
        <v>599</v>
      </c>
      <c r="E29" s="280">
        <v>0.90717999999999999</v>
      </c>
    </row>
    <row r="30" spans="2:5">
      <c r="E30" s="100"/>
    </row>
    <row r="31" spans="2:5" ht="13">
      <c r="B31" s="250" t="s">
        <v>600</v>
      </c>
      <c r="C31" s="240"/>
      <c r="D31" s="240"/>
      <c r="E31" s="241"/>
    </row>
    <row r="32" spans="2:5">
      <c r="B32" s="280" t="s">
        <v>601</v>
      </c>
      <c r="C32" s="280" t="s">
        <v>602</v>
      </c>
      <c r="D32" s="280" t="s">
        <v>603</v>
      </c>
      <c r="E32" s="104">
        <v>1440</v>
      </c>
    </row>
    <row r="33" spans="2:5">
      <c r="B33" s="280" t="s">
        <v>601</v>
      </c>
      <c r="C33" s="280" t="s">
        <v>465</v>
      </c>
      <c r="D33" s="280" t="s">
        <v>604</v>
      </c>
      <c r="E33" s="99">
        <f>1/E44</f>
        <v>2.7379257474537291E-3</v>
      </c>
    </row>
    <row r="34" spans="2:5">
      <c r="B34" s="280" t="s">
        <v>605</v>
      </c>
      <c r="C34" s="280" t="s">
        <v>601</v>
      </c>
      <c r="D34" s="280" t="s">
        <v>606</v>
      </c>
      <c r="E34" s="100">
        <v>4.1669999999999999E-2</v>
      </c>
    </row>
    <row r="35" spans="2:5">
      <c r="B35" s="280" t="s">
        <v>605</v>
      </c>
      <c r="C35" s="280" t="s">
        <v>602</v>
      </c>
      <c r="D35" s="280" t="s">
        <v>607</v>
      </c>
      <c r="E35" s="104">
        <v>60</v>
      </c>
    </row>
    <row r="36" spans="2:5">
      <c r="B36" s="280" t="s">
        <v>605</v>
      </c>
      <c r="C36" s="280" t="s">
        <v>608</v>
      </c>
      <c r="D36" s="280" t="s">
        <v>609</v>
      </c>
      <c r="E36" s="280">
        <v>3600</v>
      </c>
    </row>
    <row r="37" spans="2:5">
      <c r="B37" s="280" t="s">
        <v>605</v>
      </c>
      <c r="C37" s="280" t="s">
        <v>465</v>
      </c>
      <c r="D37" s="280" t="s">
        <v>610</v>
      </c>
      <c r="E37" s="98">
        <f>1/E45</f>
        <v>1.1415525114155251E-4</v>
      </c>
    </row>
    <row r="38" spans="2:5">
      <c r="B38" s="280" t="s">
        <v>602</v>
      </c>
      <c r="C38" s="280" t="s">
        <v>601</v>
      </c>
      <c r="D38" s="280" t="s">
        <v>611</v>
      </c>
      <c r="E38" s="280">
        <f>1/dayTOmin</f>
        <v>6.9444444444444447E-4</v>
      </c>
    </row>
    <row r="39" spans="2:5">
      <c r="B39" s="280" t="s">
        <v>612</v>
      </c>
      <c r="C39" s="280" t="s">
        <v>601</v>
      </c>
      <c r="D39" s="280" t="s">
        <v>613</v>
      </c>
      <c r="E39" s="102">
        <f>yrTOday/yrTOmo</f>
        <v>30.436666666666667</v>
      </c>
    </row>
    <row r="40" spans="2:5">
      <c r="B40" s="280" t="s">
        <v>612</v>
      </c>
      <c r="C40" s="280" t="s">
        <v>465</v>
      </c>
      <c r="D40" s="280" t="s">
        <v>614</v>
      </c>
      <c r="E40" s="105">
        <f>1/yrTOmo</f>
        <v>8.3333333333333329E-2</v>
      </c>
    </row>
    <row r="41" spans="2:5">
      <c r="B41" s="280" t="s">
        <v>608</v>
      </c>
      <c r="C41" s="280" t="s">
        <v>601</v>
      </c>
      <c r="D41" s="280" t="s">
        <v>615</v>
      </c>
      <c r="E41" s="101">
        <v>1.1574E-5</v>
      </c>
    </row>
    <row r="42" spans="2:5">
      <c r="B42" s="280" t="s">
        <v>608</v>
      </c>
      <c r="C42" s="280" t="s">
        <v>605</v>
      </c>
      <c r="D42" s="280" t="s">
        <v>616</v>
      </c>
      <c r="E42" s="98">
        <f>1/E36</f>
        <v>2.7777777777777778E-4</v>
      </c>
    </row>
    <row r="43" spans="2:5">
      <c r="B43" s="280" t="s">
        <v>608</v>
      </c>
      <c r="C43" s="280" t="s">
        <v>465</v>
      </c>
      <c r="D43" s="280" t="s">
        <v>617</v>
      </c>
      <c r="E43" s="103">
        <f>1/E47</f>
        <v>3.1709791983764586E-8</v>
      </c>
    </row>
    <row r="44" spans="2:5">
      <c r="B44" s="280" t="s">
        <v>465</v>
      </c>
      <c r="C44" s="280" t="s">
        <v>601</v>
      </c>
      <c r="D44" s="280" t="s">
        <v>618</v>
      </c>
      <c r="E44" s="102">
        <v>365.24</v>
      </c>
    </row>
    <row r="45" spans="2:5">
      <c r="B45" s="280" t="s">
        <v>465</v>
      </c>
      <c r="C45" s="280" t="s">
        <v>605</v>
      </c>
      <c r="D45" s="280" t="s">
        <v>619</v>
      </c>
      <c r="E45" s="280">
        <v>8760</v>
      </c>
    </row>
    <row r="46" spans="2:5">
      <c r="B46" s="280" t="s">
        <v>465</v>
      </c>
      <c r="C46" s="280" t="s">
        <v>612</v>
      </c>
      <c r="D46" s="280" t="s">
        <v>620</v>
      </c>
      <c r="E46" s="280">
        <v>12</v>
      </c>
    </row>
    <row r="47" spans="2:5">
      <c r="B47" s="280" t="s">
        <v>465</v>
      </c>
      <c r="C47" s="280" t="s">
        <v>608</v>
      </c>
      <c r="D47" s="280" t="s">
        <v>621</v>
      </c>
      <c r="E47" s="103">
        <f>yrTOhr*hrTOs</f>
        <v>31536000</v>
      </c>
    </row>
    <row r="48" spans="2:5">
      <c r="B48" s="280"/>
      <c r="C48" s="280"/>
      <c r="D48" s="280"/>
      <c r="E48" s="280"/>
    </row>
    <row r="49" spans="2:5" ht="13">
      <c r="B49" s="250" t="s">
        <v>622</v>
      </c>
      <c r="C49" s="240"/>
      <c r="D49" s="240"/>
      <c r="E49" s="241"/>
    </row>
    <row r="50" spans="2:5">
      <c r="B50" s="280" t="s">
        <v>623</v>
      </c>
      <c r="C50" s="280" t="s">
        <v>624</v>
      </c>
      <c r="D50" s="280" t="s">
        <v>625</v>
      </c>
      <c r="E50" s="280">
        <v>43560</v>
      </c>
    </row>
    <row r="51" spans="2:5">
      <c r="B51" s="280" t="s">
        <v>623</v>
      </c>
      <c r="C51" s="280" t="s">
        <v>626</v>
      </c>
      <c r="D51" s="280" t="s">
        <v>627</v>
      </c>
      <c r="E51" s="280">
        <v>0.40468700000000002</v>
      </c>
    </row>
    <row r="52" spans="2:5">
      <c r="B52" s="280" t="s">
        <v>623</v>
      </c>
      <c r="C52" s="280" t="s">
        <v>628</v>
      </c>
      <c r="D52" s="280" t="s">
        <v>629</v>
      </c>
      <c r="E52" s="280">
        <v>4.0468600000000002E-3</v>
      </c>
    </row>
    <row r="53" spans="2:5">
      <c r="B53" s="280" t="s">
        <v>623</v>
      </c>
      <c r="C53" s="280" t="s">
        <v>630</v>
      </c>
      <c r="D53" s="280" t="s">
        <v>631</v>
      </c>
      <c r="E53" s="280">
        <v>4046.856421</v>
      </c>
    </row>
    <row r="54" spans="2:5">
      <c r="B54" s="280" t="s">
        <v>623</v>
      </c>
      <c r="C54" s="280" t="s">
        <v>632</v>
      </c>
      <c r="D54" s="280" t="s">
        <v>633</v>
      </c>
      <c r="E54" s="280">
        <v>1.5625000000000001E-3</v>
      </c>
    </row>
    <row r="55" spans="2:5">
      <c r="B55" s="280" t="s">
        <v>624</v>
      </c>
      <c r="C55" s="280" t="s">
        <v>630</v>
      </c>
      <c r="D55" s="280" t="s">
        <v>634</v>
      </c>
      <c r="E55" s="280">
        <v>9.2899999999999996E-2</v>
      </c>
    </row>
    <row r="56" spans="2:5">
      <c r="B56" s="280" t="s">
        <v>624</v>
      </c>
      <c r="C56" s="280" t="s">
        <v>635</v>
      </c>
      <c r="D56" s="280" t="s">
        <v>636</v>
      </c>
      <c r="E56" s="110">
        <f>1/E68</f>
        <v>0.1111111111111111</v>
      </c>
    </row>
    <row r="57" spans="2:5">
      <c r="B57" s="280" t="s">
        <v>626</v>
      </c>
      <c r="C57" s="280" t="s">
        <v>623</v>
      </c>
      <c r="D57" s="280" t="s">
        <v>637</v>
      </c>
      <c r="E57" s="165">
        <f>1/E51</f>
        <v>2.4710455240716898</v>
      </c>
    </row>
    <row r="58" spans="2:5">
      <c r="B58" s="280" t="s">
        <v>626</v>
      </c>
      <c r="C58" s="280" t="s">
        <v>628</v>
      </c>
      <c r="D58" s="280" t="s">
        <v>638</v>
      </c>
      <c r="E58" s="102">
        <v>0.01</v>
      </c>
    </row>
    <row r="59" spans="2:5">
      <c r="B59" s="280" t="s">
        <v>628</v>
      </c>
      <c r="C59" s="280" t="s">
        <v>623</v>
      </c>
      <c r="D59" s="280" t="s">
        <v>639</v>
      </c>
      <c r="E59" s="185">
        <f>1/acreTOkm2</f>
        <v>247.10516301527602</v>
      </c>
    </row>
    <row r="60" spans="2:5">
      <c r="B60" s="280" t="s">
        <v>628</v>
      </c>
      <c r="C60" s="280" t="s">
        <v>626</v>
      </c>
      <c r="D60" s="280" t="s">
        <v>640</v>
      </c>
      <c r="E60" s="185">
        <f>1/haTOkm2</f>
        <v>100</v>
      </c>
    </row>
    <row r="61" spans="2:5">
      <c r="B61" s="280" t="s">
        <v>628</v>
      </c>
      <c r="C61" s="280" t="s">
        <v>630</v>
      </c>
      <c r="D61" s="280" t="s">
        <v>641</v>
      </c>
      <c r="E61" s="106">
        <v>1000000</v>
      </c>
    </row>
    <row r="62" spans="2:5">
      <c r="B62" s="280" t="s">
        <v>628</v>
      </c>
      <c r="C62" s="280" t="s">
        <v>632</v>
      </c>
      <c r="D62" s="280" t="s">
        <v>642</v>
      </c>
      <c r="E62" s="110">
        <v>0.3861</v>
      </c>
    </row>
    <row r="63" spans="2:5">
      <c r="B63" s="280" t="s">
        <v>630</v>
      </c>
      <c r="C63" s="280" t="s">
        <v>623</v>
      </c>
      <c r="D63" s="280" t="s">
        <v>643</v>
      </c>
      <c r="E63" s="98">
        <f>1/E53</f>
        <v>2.4710538155265082E-4</v>
      </c>
    </row>
    <row r="64" spans="2:5">
      <c r="B64" s="280" t="s">
        <v>630</v>
      </c>
      <c r="C64" s="280" t="s">
        <v>624</v>
      </c>
      <c r="D64" s="280" t="s">
        <v>644</v>
      </c>
      <c r="E64" s="155">
        <f>1/E55</f>
        <v>10.764262648008613</v>
      </c>
    </row>
    <row r="65" spans="2:5">
      <c r="B65" s="280" t="s">
        <v>630</v>
      </c>
      <c r="C65" s="280" t="s">
        <v>626</v>
      </c>
      <c r="D65" s="280" t="s">
        <v>645</v>
      </c>
      <c r="E65" s="280">
        <v>1E-4</v>
      </c>
    </row>
    <row r="66" spans="2:5">
      <c r="B66" s="280" t="s">
        <v>630</v>
      </c>
      <c r="C66" s="280" t="s">
        <v>628</v>
      </c>
      <c r="D66" s="280" t="s">
        <v>646</v>
      </c>
      <c r="E66" s="101">
        <v>9.9999999999999995E-7</v>
      </c>
    </row>
    <row r="67" spans="2:5">
      <c r="B67" s="280" t="s">
        <v>632</v>
      </c>
      <c r="C67" s="280" t="s">
        <v>623</v>
      </c>
      <c r="D67" s="280" t="s">
        <v>647</v>
      </c>
      <c r="E67" s="157">
        <f>1/E54</f>
        <v>640</v>
      </c>
    </row>
    <row r="68" spans="2:5">
      <c r="B68" s="280" t="s">
        <v>635</v>
      </c>
      <c r="C68" s="280" t="s">
        <v>624</v>
      </c>
      <c r="D68" s="280" t="s">
        <v>648</v>
      </c>
      <c r="E68" s="104">
        <v>9</v>
      </c>
    </row>
    <row r="69" spans="2:5">
      <c r="B69" s="280" t="s">
        <v>632</v>
      </c>
      <c r="C69" s="280" t="s">
        <v>628</v>
      </c>
      <c r="D69" s="280" t="s">
        <v>649</v>
      </c>
      <c r="E69" s="100">
        <v>2.5899899999999998</v>
      </c>
    </row>
    <row r="70" spans="2:5">
      <c r="B70" s="280"/>
      <c r="C70" s="280"/>
      <c r="D70" s="280"/>
      <c r="E70" s="280"/>
    </row>
    <row r="71" spans="2:5" ht="13">
      <c r="B71" s="250" t="s">
        <v>650</v>
      </c>
      <c r="C71" s="240"/>
      <c r="D71" s="240"/>
      <c r="E71" s="241"/>
    </row>
    <row r="72" spans="2:5">
      <c r="B72" s="280" t="s">
        <v>651</v>
      </c>
      <c r="C72" s="280" t="s">
        <v>652</v>
      </c>
      <c r="D72" s="280" t="s">
        <v>653</v>
      </c>
      <c r="E72" s="103">
        <v>325900</v>
      </c>
    </row>
    <row r="73" spans="2:5">
      <c r="B73" s="280" t="s">
        <v>651</v>
      </c>
      <c r="C73" s="280" t="s">
        <v>654</v>
      </c>
      <c r="D73" s="280" t="s">
        <v>655</v>
      </c>
      <c r="E73" s="280">
        <v>1233.482</v>
      </c>
    </row>
    <row r="74" spans="2:5">
      <c r="B74" s="280" t="s">
        <v>656</v>
      </c>
      <c r="C74" s="280" t="s">
        <v>652</v>
      </c>
      <c r="D74" s="280" t="s">
        <v>657</v>
      </c>
      <c r="E74" s="280">
        <v>27154.286</v>
      </c>
    </row>
    <row r="75" spans="2:5">
      <c r="B75" s="280" t="s">
        <v>658</v>
      </c>
      <c r="C75" s="280" t="s">
        <v>652</v>
      </c>
      <c r="D75" s="280" t="s">
        <v>659</v>
      </c>
      <c r="E75" s="104">
        <v>42</v>
      </c>
    </row>
    <row r="76" spans="2:5">
      <c r="B76" s="280" t="s">
        <v>658</v>
      </c>
      <c r="C76" s="280" t="s">
        <v>660</v>
      </c>
      <c r="D76" s="280" t="s">
        <v>661</v>
      </c>
      <c r="E76" s="185">
        <f>bblTOgal*galTOL</f>
        <v>158.98680000000002</v>
      </c>
    </row>
    <row r="77" spans="2:5">
      <c r="B77" s="280" t="s">
        <v>662</v>
      </c>
      <c r="C77" s="280" t="s">
        <v>652</v>
      </c>
      <c r="D77" s="280" t="s">
        <v>663</v>
      </c>
      <c r="E77" s="280">
        <v>7.4805200000000003</v>
      </c>
    </row>
    <row r="78" spans="2:5">
      <c r="B78" s="280" t="s">
        <v>662</v>
      </c>
      <c r="C78" s="280" t="s">
        <v>660</v>
      </c>
      <c r="D78" s="280" t="s">
        <v>664</v>
      </c>
      <c r="E78" s="280">
        <v>28.316870000000002</v>
      </c>
    </row>
    <row r="79" spans="2:5">
      <c r="B79" s="280" t="s">
        <v>662</v>
      </c>
      <c r="C79" s="280" t="s">
        <v>654</v>
      </c>
      <c r="D79" s="280" t="s">
        <v>665</v>
      </c>
      <c r="E79" s="280">
        <v>2.8320000000000001E-2</v>
      </c>
    </row>
    <row r="80" spans="2:5">
      <c r="B80" s="280" t="s">
        <v>652</v>
      </c>
      <c r="C80" s="280" t="s">
        <v>651</v>
      </c>
      <c r="D80" s="280" t="s">
        <v>666</v>
      </c>
      <c r="E80" s="103">
        <f>1/E72</f>
        <v>3.068425897514575E-6</v>
      </c>
    </row>
    <row r="81" spans="2:5">
      <c r="B81" s="280" t="s">
        <v>652</v>
      </c>
      <c r="C81" s="280" t="s">
        <v>656</v>
      </c>
      <c r="D81" s="280" t="s">
        <v>667</v>
      </c>
      <c r="E81" s="103">
        <f>1/E74</f>
        <v>3.6826598939114067E-5</v>
      </c>
    </row>
    <row r="82" spans="2:5">
      <c r="B82" s="280" t="s">
        <v>652</v>
      </c>
      <c r="C82" s="280" t="s">
        <v>658</v>
      </c>
      <c r="D82" s="280" t="s">
        <v>668</v>
      </c>
      <c r="E82" s="105">
        <f>1/bblTOgal</f>
        <v>2.3809523809523808E-2</v>
      </c>
    </row>
    <row r="83" spans="2:5">
      <c r="B83" s="280" t="s">
        <v>652</v>
      </c>
      <c r="C83" s="280" t="s">
        <v>660</v>
      </c>
      <c r="D83" s="280" t="s">
        <v>669</v>
      </c>
      <c r="E83" s="280">
        <v>3.7854000000000001</v>
      </c>
    </row>
    <row r="84" spans="2:5">
      <c r="B84" s="280" t="s">
        <v>652</v>
      </c>
      <c r="C84" s="280" t="s">
        <v>654</v>
      </c>
      <c r="D84" s="280" t="s">
        <v>670</v>
      </c>
      <c r="E84" s="280">
        <v>3.7850000000000002E-3</v>
      </c>
    </row>
    <row r="85" spans="2:5">
      <c r="B85" s="280" t="s">
        <v>660</v>
      </c>
      <c r="C85" s="280" t="s">
        <v>662</v>
      </c>
      <c r="D85" s="280" t="s">
        <v>671</v>
      </c>
      <c r="E85" s="280">
        <v>3.5310000000000001E-2</v>
      </c>
    </row>
    <row r="86" spans="2:5">
      <c r="B86" s="280" t="s">
        <v>660</v>
      </c>
      <c r="C86" s="280" t="s">
        <v>652</v>
      </c>
      <c r="D86" s="280" t="s">
        <v>672</v>
      </c>
      <c r="E86" s="110">
        <f>1/galTOliter</f>
        <v>0.2641728747292228</v>
      </c>
    </row>
    <row r="87" spans="2:5">
      <c r="B87" s="280" t="s">
        <v>660</v>
      </c>
      <c r="C87" s="280" t="s">
        <v>654</v>
      </c>
      <c r="D87" s="280" t="s">
        <v>673</v>
      </c>
      <c r="E87" s="280">
        <v>1E-3</v>
      </c>
    </row>
    <row r="88" spans="2:5">
      <c r="B88" s="280" t="s">
        <v>654</v>
      </c>
      <c r="C88" s="280" t="s">
        <v>651</v>
      </c>
      <c r="D88" s="280" t="s">
        <v>674</v>
      </c>
      <c r="E88" s="98">
        <f>1/E73</f>
        <v>8.1071308701707845E-4</v>
      </c>
    </row>
    <row r="89" spans="2:5">
      <c r="B89" s="280" t="s">
        <v>654</v>
      </c>
      <c r="C89" s="280" t="s">
        <v>662</v>
      </c>
      <c r="D89" s="280" t="s">
        <v>675</v>
      </c>
      <c r="E89" s="155">
        <f>1/E79</f>
        <v>35.310734463276837</v>
      </c>
    </row>
    <row r="90" spans="2:5">
      <c r="B90" s="280" t="s">
        <v>654</v>
      </c>
      <c r="C90" s="280" t="s">
        <v>652</v>
      </c>
      <c r="D90" s="280" t="s">
        <v>676</v>
      </c>
      <c r="E90" s="157">
        <f>1/E84</f>
        <v>264.20079260237782</v>
      </c>
    </row>
    <row r="91" spans="2:5">
      <c r="B91" s="280" t="s">
        <v>654</v>
      </c>
      <c r="C91" s="280" t="s">
        <v>677</v>
      </c>
      <c r="D91" s="280" t="s">
        <v>678</v>
      </c>
      <c r="E91" s="104">
        <f>1/LTOm3</f>
        <v>1000</v>
      </c>
    </row>
    <row r="92" spans="2:5">
      <c r="B92" s="280" t="s">
        <v>679</v>
      </c>
      <c r="C92" s="280" t="s">
        <v>654</v>
      </c>
      <c r="D92" s="280" t="s">
        <v>680</v>
      </c>
      <c r="E92" s="280">
        <v>0.76454999999999995</v>
      </c>
    </row>
    <row r="93" spans="2:5">
      <c r="B93" s="280"/>
      <c r="C93" s="280"/>
      <c r="D93" s="280"/>
      <c r="E93" s="157"/>
    </row>
    <row r="94" spans="2:5" ht="13">
      <c r="B94" s="250" t="s">
        <v>681</v>
      </c>
      <c r="C94" s="240"/>
      <c r="D94" s="240"/>
      <c r="E94" s="241"/>
    </row>
    <row r="95" spans="2:5">
      <c r="B95" s="280" t="s">
        <v>581</v>
      </c>
      <c r="C95" s="280" t="s">
        <v>682</v>
      </c>
      <c r="D95" s="280" t="s">
        <v>683</v>
      </c>
      <c r="E95" s="100">
        <v>4.4482200000000001</v>
      </c>
    </row>
    <row r="96" spans="2:5">
      <c r="B96" s="280"/>
      <c r="C96" s="280"/>
      <c r="D96" s="280"/>
      <c r="E96" s="157"/>
    </row>
    <row r="97" spans="2:6" ht="13">
      <c r="B97" s="250" t="s">
        <v>684</v>
      </c>
      <c r="C97" s="240"/>
      <c r="D97" s="240"/>
      <c r="E97" s="241"/>
    </row>
    <row r="98" spans="2:6">
      <c r="B98" s="280" t="s">
        <v>685</v>
      </c>
      <c r="C98" s="280" t="s">
        <v>686</v>
      </c>
      <c r="D98" s="280" t="s">
        <v>687</v>
      </c>
      <c r="E98" s="105">
        <v>1.01325</v>
      </c>
    </row>
    <row r="99" spans="2:6">
      <c r="B99" s="280" t="s">
        <v>685</v>
      </c>
      <c r="C99" s="280" t="s">
        <v>688</v>
      </c>
      <c r="D99" s="280" t="s">
        <v>689</v>
      </c>
      <c r="E99" s="110">
        <v>14.696</v>
      </c>
    </row>
    <row r="100" spans="2:6">
      <c r="B100" s="280" t="s">
        <v>686</v>
      </c>
      <c r="C100" s="280" t="s">
        <v>690</v>
      </c>
      <c r="D100" s="280" t="s">
        <v>691</v>
      </c>
      <c r="E100" s="280">
        <v>100000</v>
      </c>
    </row>
    <row r="101" spans="2:6">
      <c r="B101" s="280" t="s">
        <v>686</v>
      </c>
      <c r="C101" s="280" t="s">
        <v>688</v>
      </c>
      <c r="D101" s="280" t="s">
        <v>692</v>
      </c>
      <c r="E101" s="110">
        <v>14.5038</v>
      </c>
    </row>
    <row r="102" spans="2:6">
      <c r="B102" s="280" t="s">
        <v>688</v>
      </c>
      <c r="C102" s="280" t="s">
        <v>690</v>
      </c>
      <c r="D102" s="280" t="s">
        <v>693</v>
      </c>
      <c r="E102" s="102">
        <v>6894.76</v>
      </c>
    </row>
    <row r="103" spans="2:6">
      <c r="B103" s="280"/>
      <c r="C103" s="280"/>
      <c r="D103" s="280"/>
      <c r="E103" s="280"/>
    </row>
    <row r="104" spans="2:6" ht="13">
      <c r="B104" s="250" t="s">
        <v>694</v>
      </c>
      <c r="C104" s="240"/>
      <c r="D104" s="240"/>
      <c r="E104" s="241"/>
    </row>
    <row r="105" spans="2:6">
      <c r="B105" s="280" t="s">
        <v>695</v>
      </c>
      <c r="C105" s="280" t="s">
        <v>696</v>
      </c>
      <c r="D105" s="280" t="s">
        <v>697</v>
      </c>
      <c r="E105" s="280">
        <v>251.99600000000001</v>
      </c>
    </row>
    <row r="106" spans="2:6">
      <c r="B106" s="280" t="s">
        <v>695</v>
      </c>
      <c r="C106" s="280" t="s">
        <v>698</v>
      </c>
      <c r="D106" s="280" t="s">
        <v>699</v>
      </c>
      <c r="E106" s="280">
        <v>1054.18</v>
      </c>
    </row>
    <row r="107" spans="2:6">
      <c r="B107" s="280" t="s">
        <v>695</v>
      </c>
      <c r="C107" s="280" t="s">
        <v>700</v>
      </c>
      <c r="D107" s="280" t="s">
        <v>701</v>
      </c>
      <c r="E107" s="165">
        <f>E106/1000</f>
        <v>1.0541800000000001</v>
      </c>
    </row>
    <row r="108" spans="2:6">
      <c r="B108" s="280" t="s">
        <v>695</v>
      </c>
      <c r="C108" s="280" t="s">
        <v>702</v>
      </c>
      <c r="D108" s="280" t="s">
        <v>703</v>
      </c>
      <c r="E108" s="280">
        <v>2.92875E-4</v>
      </c>
      <c r="F108" s="280">
        <f>1/BtuTOkWh</f>
        <v>3414.4259496372174</v>
      </c>
    </row>
    <row r="109" spans="2:6">
      <c r="B109" s="280" t="s">
        <v>695</v>
      </c>
      <c r="C109" s="280" t="s">
        <v>704</v>
      </c>
      <c r="D109" s="280" t="s">
        <v>705</v>
      </c>
      <c r="E109" s="99">
        <f>E106/1000000</f>
        <v>1.05418E-3</v>
      </c>
    </row>
    <row r="110" spans="2:6">
      <c r="B110" s="280" t="s">
        <v>695</v>
      </c>
      <c r="C110" s="280" t="s">
        <v>706</v>
      </c>
      <c r="D110" s="280" t="s">
        <v>707</v>
      </c>
      <c r="E110" s="97">
        <f>E108*1000</f>
        <v>0.292875</v>
      </c>
    </row>
    <row r="111" spans="2:6">
      <c r="B111" s="280" t="s">
        <v>696</v>
      </c>
      <c r="C111" s="280" t="s">
        <v>695</v>
      </c>
      <c r="D111" s="280" t="s">
        <v>708</v>
      </c>
      <c r="E111" s="99">
        <f>1/E105</f>
        <v>3.9683169574120224E-3</v>
      </c>
    </row>
    <row r="112" spans="2:6">
      <c r="B112" s="280" t="s">
        <v>696</v>
      </c>
      <c r="C112" s="280" t="s">
        <v>698</v>
      </c>
      <c r="D112" s="280" t="s">
        <v>709</v>
      </c>
      <c r="E112" s="280">
        <v>4.1840000000000002</v>
      </c>
    </row>
    <row r="113" spans="2:5">
      <c r="B113" s="280" t="s">
        <v>710</v>
      </c>
      <c r="C113" s="280" t="s">
        <v>711</v>
      </c>
      <c r="D113" s="280" t="s">
        <v>712</v>
      </c>
      <c r="E113" s="157">
        <f>1/E150</f>
        <v>277.82330993134985</v>
      </c>
    </row>
    <row r="114" spans="2:5">
      <c r="B114" s="280" t="s">
        <v>713</v>
      </c>
      <c r="C114" s="280" t="s">
        <v>704</v>
      </c>
      <c r="D114" s="280" t="s">
        <v>714</v>
      </c>
      <c r="E114" s="157">
        <v>131.84779857142857</v>
      </c>
    </row>
    <row r="115" spans="2:5">
      <c r="B115" s="280" t="s">
        <v>715</v>
      </c>
      <c r="C115" s="280" t="s">
        <v>487</v>
      </c>
      <c r="D115" s="280" t="s">
        <v>716</v>
      </c>
      <c r="E115" s="97">
        <f>1/E139</f>
        <v>0.2778233099313499</v>
      </c>
    </row>
    <row r="116" spans="2:5">
      <c r="B116" s="280" t="s">
        <v>715</v>
      </c>
      <c r="C116" s="280" t="s">
        <v>717</v>
      </c>
      <c r="D116" s="280" t="s">
        <v>718</v>
      </c>
      <c r="E116" s="97">
        <f>kJTOBtu</f>
        <v>0.94860460262953183</v>
      </c>
    </row>
    <row r="117" spans="2:5">
      <c r="B117" s="280" t="s">
        <v>715</v>
      </c>
      <c r="C117" s="280" t="s">
        <v>719</v>
      </c>
      <c r="D117" s="280" t="s">
        <v>720</v>
      </c>
      <c r="E117" s="97">
        <f>GJTOmmBtu*mmBtuTOtherm</f>
        <v>9.4860460262953179</v>
      </c>
    </row>
    <row r="118" spans="2:5">
      <c r="B118" s="280" t="s">
        <v>698</v>
      </c>
      <c r="C118" s="280" t="s">
        <v>695</v>
      </c>
      <c r="D118" s="280" t="s">
        <v>721</v>
      </c>
      <c r="E118" s="98">
        <f>1/E106</f>
        <v>9.4860460262953192E-4</v>
      </c>
    </row>
    <row r="119" spans="2:5">
      <c r="B119" s="280" t="s">
        <v>698</v>
      </c>
      <c r="C119" s="280" t="s">
        <v>696</v>
      </c>
      <c r="D119" s="280" t="s">
        <v>722</v>
      </c>
      <c r="E119" s="97">
        <f>1/E112</f>
        <v>0.23900573613766729</v>
      </c>
    </row>
    <row r="120" spans="2:5">
      <c r="B120" s="280" t="s">
        <v>698</v>
      </c>
      <c r="C120" s="280" t="s">
        <v>706</v>
      </c>
      <c r="D120" s="280" t="s">
        <v>723</v>
      </c>
      <c r="E120" s="98">
        <f>1/E153</f>
        <v>2.7782330993134986E-4</v>
      </c>
    </row>
    <row r="121" spans="2:5">
      <c r="B121" s="280" t="s">
        <v>724</v>
      </c>
      <c r="C121" s="280" t="s">
        <v>704</v>
      </c>
      <c r="D121" s="280" t="s">
        <v>725</v>
      </c>
      <c r="E121" s="99">
        <f>E112/1000</f>
        <v>4.1840000000000002E-3</v>
      </c>
    </row>
    <row r="122" spans="2:5">
      <c r="B122" s="280" t="s">
        <v>700</v>
      </c>
      <c r="C122" s="280" t="s">
        <v>695</v>
      </c>
      <c r="D122" s="280" t="s">
        <v>726</v>
      </c>
      <c r="E122" s="97">
        <f>1/E107</f>
        <v>0.94860460262953183</v>
      </c>
    </row>
    <row r="123" spans="2:5">
      <c r="B123" s="280" t="s">
        <v>702</v>
      </c>
      <c r="C123" s="280" t="s">
        <v>695</v>
      </c>
      <c r="D123" s="280" t="s">
        <v>727</v>
      </c>
      <c r="E123" s="106">
        <f>1/E108</f>
        <v>3414.4259496372174</v>
      </c>
    </row>
    <row r="124" spans="2:5">
      <c r="B124" s="280" t="s">
        <v>702</v>
      </c>
      <c r="C124" s="280" t="s">
        <v>704</v>
      </c>
      <c r="D124" s="280" t="s">
        <v>728</v>
      </c>
      <c r="E124" s="165">
        <f>E153/1000</f>
        <v>3.5994099999999998</v>
      </c>
    </row>
    <row r="125" spans="2:5">
      <c r="B125" s="280" t="s">
        <v>704</v>
      </c>
      <c r="C125" s="280" t="s">
        <v>695</v>
      </c>
      <c r="D125" s="280" t="s">
        <v>729</v>
      </c>
      <c r="E125" s="157">
        <f>1000000/E106</f>
        <v>948.60460262953188</v>
      </c>
    </row>
    <row r="126" spans="2:5">
      <c r="B126" s="280" t="s">
        <v>704</v>
      </c>
      <c r="C126" s="280" t="s">
        <v>702</v>
      </c>
      <c r="D126" s="280" t="s">
        <v>730</v>
      </c>
      <c r="E126" s="97">
        <f>1/E124</f>
        <v>0.2778233099313499</v>
      </c>
    </row>
    <row r="127" spans="2:5">
      <c r="B127" s="280" t="s">
        <v>704</v>
      </c>
      <c r="C127" s="280" t="s">
        <v>724</v>
      </c>
      <c r="D127" s="280" t="s">
        <v>731</v>
      </c>
      <c r="E127" s="157">
        <f>1/E121</f>
        <v>239.0057361376673</v>
      </c>
    </row>
    <row r="128" spans="2:5">
      <c r="B128" s="280" t="s">
        <v>704</v>
      </c>
      <c r="C128" s="280" t="s">
        <v>487</v>
      </c>
      <c r="D128" s="280" t="s">
        <v>732</v>
      </c>
      <c r="E128" s="98">
        <f>MJTOkWh/1000</f>
        <v>2.7782330993134991E-4</v>
      </c>
    </row>
    <row r="129" spans="2:5">
      <c r="B129" s="280" t="s">
        <v>704</v>
      </c>
      <c r="C129" s="280" t="s">
        <v>719</v>
      </c>
      <c r="D129" s="280" t="s">
        <v>733</v>
      </c>
      <c r="E129" s="108">
        <f>GJTOtherm/1000</f>
        <v>9.4860460262953181E-3</v>
      </c>
    </row>
    <row r="130" spans="2:5">
      <c r="B130" s="280" t="s">
        <v>717</v>
      </c>
      <c r="C130" s="280" t="s">
        <v>702</v>
      </c>
      <c r="D130" s="280" t="s">
        <v>856</v>
      </c>
      <c r="E130" s="104">
        <f>mmBtuTOMWh*1000</f>
        <v>292.875</v>
      </c>
    </row>
    <row r="131" spans="2:5">
      <c r="B131" s="280" t="s">
        <v>717</v>
      </c>
      <c r="C131" s="280" t="s">
        <v>704</v>
      </c>
      <c r="D131" s="280" t="s">
        <v>734</v>
      </c>
      <c r="E131" s="97">
        <f>BtuTOJ</f>
        <v>1054.18</v>
      </c>
    </row>
    <row r="132" spans="2:5">
      <c r="B132" s="280" t="s">
        <v>717</v>
      </c>
      <c r="C132" s="280" t="s">
        <v>487</v>
      </c>
      <c r="D132" s="280" t="s">
        <v>735</v>
      </c>
      <c r="E132" s="102">
        <f>E108*1000</f>
        <v>0.292875</v>
      </c>
    </row>
    <row r="133" spans="2:5">
      <c r="B133" s="280" t="s">
        <v>717</v>
      </c>
      <c r="C133" s="280" t="s">
        <v>719</v>
      </c>
      <c r="D133" s="280" t="s">
        <v>736</v>
      </c>
      <c r="E133" s="108">
        <v>10</v>
      </c>
    </row>
    <row r="134" spans="2:5">
      <c r="B134" s="280" t="s">
        <v>717</v>
      </c>
      <c r="C134" s="280" t="s">
        <v>737</v>
      </c>
      <c r="D134" s="280" t="s">
        <v>738</v>
      </c>
      <c r="E134" s="104">
        <f>mmBtuTOMJ/1000000</f>
        <v>1.05418E-3</v>
      </c>
    </row>
    <row r="135" spans="2:5">
      <c r="B135" s="280" t="s">
        <v>739</v>
      </c>
      <c r="C135" s="280" t="s">
        <v>740</v>
      </c>
      <c r="D135" s="280" t="s">
        <v>741</v>
      </c>
      <c r="E135" s="103">
        <v>11630</v>
      </c>
    </row>
    <row r="136" spans="2:5">
      <c r="B136" s="280" t="s">
        <v>739</v>
      </c>
      <c r="C136" s="280" t="s">
        <v>717</v>
      </c>
      <c r="D136" s="280" t="s">
        <v>742</v>
      </c>
      <c r="E136" s="104">
        <v>39680000</v>
      </c>
    </row>
    <row r="137" spans="2:5">
      <c r="B137" s="280" t="s">
        <v>739</v>
      </c>
      <c r="C137" s="280" t="s">
        <v>737</v>
      </c>
      <c r="D137" s="280" t="s">
        <v>743</v>
      </c>
      <c r="E137" s="104">
        <v>41868</v>
      </c>
    </row>
    <row r="138" spans="2:5">
      <c r="B138" s="280" t="s">
        <v>744</v>
      </c>
      <c r="C138" s="280" t="s">
        <v>487</v>
      </c>
      <c r="D138" s="280" t="s">
        <v>745</v>
      </c>
      <c r="E138" s="165">
        <f>yrTOhr</f>
        <v>8760</v>
      </c>
    </row>
    <row r="139" spans="2:5">
      <c r="B139" s="280" t="s">
        <v>487</v>
      </c>
      <c r="C139" s="280" t="s">
        <v>715</v>
      </c>
      <c r="D139" s="280" t="s">
        <v>746</v>
      </c>
      <c r="E139" s="165">
        <f>E124</f>
        <v>3.5994099999999998</v>
      </c>
    </row>
    <row r="140" spans="2:5">
      <c r="B140" s="280" t="s">
        <v>487</v>
      </c>
      <c r="C140" s="280" t="s">
        <v>717</v>
      </c>
      <c r="D140" s="280" t="s">
        <v>747</v>
      </c>
      <c r="E140" s="107">
        <f>1/E132</f>
        <v>3.4144259496372174</v>
      </c>
    </row>
    <row r="141" spans="2:5">
      <c r="B141" s="280" t="s">
        <v>487</v>
      </c>
      <c r="C141" s="280" t="s">
        <v>744</v>
      </c>
      <c r="D141" s="280" t="s">
        <v>748</v>
      </c>
      <c r="E141" s="99">
        <f>hrTOyr</f>
        <v>1.1415525114155251E-4</v>
      </c>
    </row>
    <row r="142" spans="2:5">
      <c r="B142" s="280" t="s">
        <v>487</v>
      </c>
      <c r="C142" s="280" t="s">
        <v>737</v>
      </c>
      <c r="D142" s="280" t="s">
        <v>749</v>
      </c>
      <c r="E142" s="165">
        <f>MWhTOGJ/1000</f>
        <v>3.5994099999999999E-3</v>
      </c>
    </row>
    <row r="143" spans="2:5">
      <c r="B143" s="280" t="s">
        <v>750</v>
      </c>
      <c r="C143" s="280" t="s">
        <v>710</v>
      </c>
      <c r="D143" s="280" t="s">
        <v>751</v>
      </c>
      <c r="E143" s="185">
        <f>quadTOTWh*TWhTOEJ</f>
        <v>1.0541772037499999</v>
      </c>
    </row>
    <row r="144" spans="2:5">
      <c r="B144" s="280" t="s">
        <v>750</v>
      </c>
      <c r="C144" s="280" t="s">
        <v>711</v>
      </c>
      <c r="D144" s="280" t="s">
        <v>752</v>
      </c>
      <c r="E144" s="104">
        <f>1/E151</f>
        <v>292.875</v>
      </c>
    </row>
    <row r="145" spans="2:5">
      <c r="B145" s="280" t="s">
        <v>719</v>
      </c>
      <c r="C145" s="280" t="s">
        <v>695</v>
      </c>
      <c r="D145" s="280" t="s">
        <v>753</v>
      </c>
      <c r="E145" s="108">
        <v>100000</v>
      </c>
    </row>
    <row r="146" spans="2:5">
      <c r="B146" s="280" t="s">
        <v>719</v>
      </c>
      <c r="C146" s="280" t="s">
        <v>715</v>
      </c>
      <c r="D146" s="280" t="s">
        <v>754</v>
      </c>
      <c r="E146" s="102">
        <f>1/GJTOtherm</f>
        <v>0.10541800000000003</v>
      </c>
    </row>
    <row r="147" spans="2:5">
      <c r="B147" s="280" t="s">
        <v>719</v>
      </c>
      <c r="C147" s="280" t="s">
        <v>702</v>
      </c>
      <c r="D147" s="280" t="s">
        <v>755</v>
      </c>
      <c r="E147" s="185">
        <f>thermTOBtu*BtuTOkWh</f>
        <v>29.287500000000001</v>
      </c>
    </row>
    <row r="148" spans="2:5">
      <c r="B148" s="280" t="s">
        <v>719</v>
      </c>
      <c r="C148" s="280" t="s">
        <v>704</v>
      </c>
      <c r="D148" s="280" t="s">
        <v>756</v>
      </c>
      <c r="E148" s="280">
        <f>1/MJTOtherm</f>
        <v>105.41800000000002</v>
      </c>
    </row>
    <row r="149" spans="2:5">
      <c r="B149" s="280" t="s">
        <v>719</v>
      </c>
      <c r="C149" s="280" t="s">
        <v>737</v>
      </c>
      <c r="D149" s="280" t="s">
        <v>757</v>
      </c>
      <c r="E149" s="99">
        <f>thermTOMJ/1000000</f>
        <v>1.0541800000000003E-4</v>
      </c>
    </row>
    <row r="150" spans="2:5">
      <c r="B150" s="280" t="s">
        <v>711</v>
      </c>
      <c r="C150" s="280" t="s">
        <v>710</v>
      </c>
      <c r="D150" s="280" t="s">
        <v>758</v>
      </c>
      <c r="E150" s="99">
        <f>WhTOJ/1000000</f>
        <v>3.5994099999999999E-3</v>
      </c>
    </row>
    <row r="151" spans="2:5">
      <c r="B151" s="280" t="s">
        <v>711</v>
      </c>
      <c r="C151" s="280" t="s">
        <v>750</v>
      </c>
      <c r="D151" s="280" t="s">
        <v>759</v>
      </c>
      <c r="E151" s="165">
        <f>E140/1000</f>
        <v>3.4144259496372174E-3</v>
      </c>
    </row>
    <row r="152" spans="2:5">
      <c r="B152" s="280" t="s">
        <v>706</v>
      </c>
      <c r="C152" s="280" t="s">
        <v>695</v>
      </c>
      <c r="D152" s="280" t="s">
        <v>760</v>
      </c>
      <c r="E152" s="280">
        <f>1/E110</f>
        <v>3.4144259496372174</v>
      </c>
    </row>
    <row r="153" spans="2:5">
      <c r="B153" s="280" t="s">
        <v>706</v>
      </c>
      <c r="C153" s="280" t="s">
        <v>698</v>
      </c>
      <c r="D153" s="280" t="s">
        <v>761</v>
      </c>
      <c r="E153" s="280">
        <v>3599.41</v>
      </c>
    </row>
    <row r="154" spans="2:5" s="84" customFormat="1"/>
    <row r="155" spans="2:5" ht="13">
      <c r="B155" s="250" t="s">
        <v>762</v>
      </c>
      <c r="C155" s="240"/>
      <c r="D155" s="240"/>
      <c r="E155" s="241"/>
    </row>
    <row r="156" spans="2:5">
      <c r="B156" s="280" t="s">
        <v>763</v>
      </c>
      <c r="C156" s="280" t="s">
        <v>489</v>
      </c>
      <c r="D156" s="280" t="s">
        <v>764</v>
      </c>
      <c r="E156" s="104">
        <f>1000/E36</f>
        <v>0.27777777777777779</v>
      </c>
    </row>
    <row r="157" spans="2:5">
      <c r="B157" s="280" t="s">
        <v>765</v>
      </c>
      <c r="C157" s="280" t="s">
        <v>766</v>
      </c>
      <c r="D157" s="280" t="s">
        <v>767</v>
      </c>
      <c r="E157" s="100">
        <v>1000000</v>
      </c>
    </row>
    <row r="158" spans="2:5">
      <c r="B158" s="280" t="s">
        <v>765</v>
      </c>
      <c r="C158" s="280" t="s">
        <v>768</v>
      </c>
      <c r="D158" s="280" t="s">
        <v>769</v>
      </c>
      <c r="E158" s="201">
        <f>1/E165</f>
        <v>2.9910371318822026E-2</v>
      </c>
    </row>
    <row r="159" spans="2:5">
      <c r="B159" s="280" t="s">
        <v>765</v>
      </c>
      <c r="C159" s="280" t="s">
        <v>770</v>
      </c>
      <c r="D159" s="280" t="s">
        <v>771</v>
      </c>
      <c r="E159" s="280">
        <f>1/E166</f>
        <v>8.76</v>
      </c>
    </row>
    <row r="160" spans="2:5">
      <c r="B160" s="280" t="s">
        <v>772</v>
      </c>
      <c r="C160" s="280" t="s">
        <v>766</v>
      </c>
      <c r="D160" s="280" t="s">
        <v>773</v>
      </c>
      <c r="E160" s="165">
        <v>0.746</v>
      </c>
    </row>
    <row r="161" spans="2:5">
      <c r="B161" s="280" t="s">
        <v>766</v>
      </c>
      <c r="C161" s="280" t="s">
        <v>772</v>
      </c>
      <c r="D161" s="280" t="s">
        <v>774</v>
      </c>
      <c r="E161" s="110">
        <f>1/E160</f>
        <v>1.3404825737265416</v>
      </c>
    </row>
    <row r="162" spans="2:5">
      <c r="B162" s="280" t="s">
        <v>775</v>
      </c>
      <c r="C162" s="280" t="s">
        <v>766</v>
      </c>
      <c r="D162" s="280" t="s">
        <v>776</v>
      </c>
      <c r="E162" s="165">
        <f>GJ.hrTOMW</f>
        <v>0.27777777777777779</v>
      </c>
    </row>
    <row r="163" spans="2:5">
      <c r="B163" s="280" t="s">
        <v>489</v>
      </c>
      <c r="C163" s="280" t="s">
        <v>763</v>
      </c>
      <c r="D163" s="280" t="s">
        <v>777</v>
      </c>
      <c r="E163" s="104">
        <f>1/E156</f>
        <v>3.5999999999999996</v>
      </c>
    </row>
    <row r="164" spans="2:5">
      <c r="B164" s="280" t="s">
        <v>489</v>
      </c>
      <c r="C164" s="280" t="s">
        <v>766</v>
      </c>
      <c r="D164" s="280" t="s">
        <v>778</v>
      </c>
      <c r="E164" s="102">
        <v>1000</v>
      </c>
    </row>
    <row r="165" spans="2:5">
      <c r="B165" s="280" t="s">
        <v>768</v>
      </c>
      <c r="C165" s="280" t="s">
        <v>765</v>
      </c>
      <c r="D165" s="280" t="s">
        <v>779</v>
      </c>
      <c r="E165" s="110">
        <f>quadTOTWh*hrTOyr*1000</f>
        <v>33.43321917808219</v>
      </c>
    </row>
    <row r="166" spans="2:5">
      <c r="B166" s="280" t="s">
        <v>770</v>
      </c>
      <c r="C166" s="280" t="s">
        <v>765</v>
      </c>
      <c r="D166" s="280" t="s">
        <v>780</v>
      </c>
      <c r="E166" s="280">
        <f>1000*hrTOyr</f>
        <v>0.11415525114155251</v>
      </c>
    </row>
    <row r="167" spans="2:5" s="84" customFormat="1"/>
    <row r="168" spans="2:5" ht="13">
      <c r="B168" s="250" t="s">
        <v>781</v>
      </c>
      <c r="C168" s="240"/>
      <c r="D168" s="240"/>
      <c r="E168" s="241"/>
    </row>
    <row r="169" spans="2:5">
      <c r="B169" s="280" t="s">
        <v>782</v>
      </c>
      <c r="C169" s="280" t="s">
        <v>783</v>
      </c>
      <c r="D169" s="280" t="s">
        <v>784</v>
      </c>
      <c r="E169" s="155">
        <v>6.3089999999999993E-2</v>
      </c>
    </row>
    <row r="170" spans="2:5">
      <c r="B170" s="280" t="s">
        <v>785</v>
      </c>
      <c r="C170" s="280" t="s">
        <v>782</v>
      </c>
      <c r="D170" s="280" t="s">
        <v>786</v>
      </c>
      <c r="E170" s="110">
        <f>1/E169</f>
        <v>15.85037248375337</v>
      </c>
    </row>
    <row r="171" spans="2:5" ht="14.5">
      <c r="B171" s="280" t="s">
        <v>787</v>
      </c>
      <c r="C171" s="280" t="s">
        <v>782</v>
      </c>
      <c r="D171" s="280" t="s">
        <v>788</v>
      </c>
      <c r="E171" s="280">
        <f>L.sTOgpm*41:41/LTOm3</f>
        <v>0.1834522111269615</v>
      </c>
    </row>
    <row r="172" spans="2:5" s="84" customFormat="1"/>
    <row r="173" spans="2:5" ht="13">
      <c r="B173" s="250" t="s">
        <v>789</v>
      </c>
      <c r="C173" s="240"/>
      <c r="D173" s="240"/>
      <c r="E173" s="241"/>
    </row>
    <row r="174" spans="2:5">
      <c r="B174" s="280" t="s">
        <v>790</v>
      </c>
      <c r="C174" s="280" t="s">
        <v>791</v>
      </c>
      <c r="D174" s="280" t="s">
        <v>792</v>
      </c>
      <c r="E174" s="98">
        <f>1/(E160*1000)</f>
        <v>1.3404825737265416E-3</v>
      </c>
    </row>
    <row r="175" spans="2:5">
      <c r="B175" s="280" t="s">
        <v>793</v>
      </c>
      <c r="C175" s="280" t="s">
        <v>791</v>
      </c>
      <c r="D175" s="280" t="s">
        <v>794</v>
      </c>
      <c r="E175" s="97">
        <f>1/E178</f>
        <v>9.4860460262953192E-4</v>
      </c>
    </row>
    <row r="176" spans="2:5">
      <c r="B176" s="280" t="s">
        <v>795</v>
      </c>
      <c r="C176" s="280" t="s">
        <v>791</v>
      </c>
      <c r="D176" s="280" t="s">
        <v>796</v>
      </c>
      <c r="E176" s="157">
        <f>1/E179</f>
        <v>0.94860460262953183</v>
      </c>
    </row>
    <row r="177" spans="2:5">
      <c r="B177" s="280" t="s">
        <v>791</v>
      </c>
      <c r="C177" s="280" t="s">
        <v>790</v>
      </c>
      <c r="D177" s="280" t="s">
        <v>797</v>
      </c>
      <c r="E177" s="106">
        <f>1/E174</f>
        <v>746</v>
      </c>
    </row>
    <row r="178" spans="2:5">
      <c r="B178" s="280" t="s">
        <v>791</v>
      </c>
      <c r="C178" s="280" t="s">
        <v>793</v>
      </c>
      <c r="D178" s="280" t="s">
        <v>798</v>
      </c>
      <c r="E178" s="165">
        <f>E106</f>
        <v>1054.18</v>
      </c>
    </row>
    <row r="179" spans="2:5">
      <c r="B179" s="280" t="s">
        <v>791</v>
      </c>
      <c r="C179" s="280" t="s">
        <v>795</v>
      </c>
      <c r="D179" s="280" t="s">
        <v>799</v>
      </c>
      <c r="E179" s="280">
        <f>E107</f>
        <v>1.0541800000000001</v>
      </c>
    </row>
    <row r="180" spans="2:5" s="84" customFormat="1"/>
    <row r="181" spans="2:5" ht="13">
      <c r="B181" s="250" t="s">
        <v>800</v>
      </c>
      <c r="C181" s="240"/>
      <c r="D181" s="240"/>
      <c r="E181" s="241"/>
    </row>
    <row r="182" spans="2:5">
      <c r="B182" s="280" t="s">
        <v>801</v>
      </c>
      <c r="C182" s="280" t="s">
        <v>802</v>
      </c>
      <c r="D182" s="280" t="s">
        <v>803</v>
      </c>
      <c r="E182" s="165">
        <f>E18*E161</f>
        <v>2.9552084958698002</v>
      </c>
    </row>
    <row r="183" spans="2:5">
      <c r="B183" s="280" t="s">
        <v>804</v>
      </c>
      <c r="C183" s="280" t="s">
        <v>802</v>
      </c>
      <c r="D183" s="280" t="s">
        <v>805</v>
      </c>
      <c r="E183" s="165">
        <f>E18</f>
        <v>2.204585537918871</v>
      </c>
    </row>
    <row r="184" spans="2:5">
      <c r="B184" s="280" t="s">
        <v>806</v>
      </c>
      <c r="C184" s="280" t="s">
        <v>802</v>
      </c>
      <c r="D184" s="280" t="s">
        <v>807</v>
      </c>
      <c r="E184" s="98">
        <f>1/E190</f>
        <v>7.9352072310405646</v>
      </c>
    </row>
    <row r="185" spans="2:5">
      <c r="B185" s="280" t="s">
        <v>808</v>
      </c>
      <c r="C185" s="280" t="s">
        <v>809</v>
      </c>
      <c r="D185" s="280" t="s">
        <v>810</v>
      </c>
      <c r="E185" s="157">
        <f>E21</f>
        <v>4.5360000000000002E-4</v>
      </c>
    </row>
    <row r="186" spans="2:5">
      <c r="B186" s="280" t="s">
        <v>808</v>
      </c>
      <c r="C186" s="280" t="s">
        <v>811</v>
      </c>
      <c r="D186" s="280" t="s">
        <v>812</v>
      </c>
      <c r="E186" s="97">
        <f>1/E192</f>
        <v>430.28704775275571</v>
      </c>
    </row>
    <row r="187" spans="2:5">
      <c r="B187" s="280" t="s">
        <v>808</v>
      </c>
      <c r="C187" s="280" t="s">
        <v>813</v>
      </c>
      <c r="D187" s="280" t="s">
        <v>814</v>
      </c>
      <c r="E187" s="97">
        <f>1/E193</f>
        <v>0.45360000000000006</v>
      </c>
    </row>
    <row r="188" spans="2:5">
      <c r="B188" s="280" t="s">
        <v>802</v>
      </c>
      <c r="C188" s="280" t="s">
        <v>801</v>
      </c>
      <c r="D188" s="280" t="s">
        <v>815</v>
      </c>
      <c r="E188" s="280">
        <f>1/E182</f>
        <v>0.33838560000000006</v>
      </c>
    </row>
    <row r="189" spans="2:5">
      <c r="B189" s="280" t="s">
        <v>802</v>
      </c>
      <c r="C189" s="280" t="s">
        <v>804</v>
      </c>
      <c r="D189" s="280" t="s">
        <v>816</v>
      </c>
      <c r="E189" s="97">
        <f>1/E183</f>
        <v>0.45360000000000006</v>
      </c>
    </row>
    <row r="190" spans="2:5">
      <c r="B190" s="280" t="s">
        <v>802</v>
      </c>
      <c r="C190" s="280" t="s">
        <v>806</v>
      </c>
      <c r="D190" s="280" t="s">
        <v>817</v>
      </c>
      <c r="E190" s="280">
        <f>E20/E139</f>
        <v>0.12602065338486029</v>
      </c>
    </row>
    <row r="191" spans="2:5">
      <c r="B191" s="280" t="s">
        <v>802</v>
      </c>
      <c r="C191" s="280" t="s">
        <v>818</v>
      </c>
      <c r="D191" s="280" t="s">
        <v>819</v>
      </c>
      <c r="E191" s="99">
        <f>1/E194</f>
        <v>0.5</v>
      </c>
    </row>
    <row r="192" spans="2:5">
      <c r="B192" s="280" t="s">
        <v>811</v>
      </c>
      <c r="C192" s="280" t="s">
        <v>808</v>
      </c>
      <c r="D192" s="280" t="s">
        <v>820</v>
      </c>
      <c r="E192" s="165">
        <f>E18/(E118*1000000)</f>
        <v>2.3240299823633157E-3</v>
      </c>
    </row>
    <row r="193" spans="2:5">
      <c r="B193" s="280" t="s">
        <v>813</v>
      </c>
      <c r="C193" s="280" t="s">
        <v>808</v>
      </c>
      <c r="D193" s="280" t="s">
        <v>821</v>
      </c>
      <c r="E193" s="165">
        <f>E18</f>
        <v>2.204585537918871</v>
      </c>
    </row>
    <row r="194" spans="2:5">
      <c r="B194" s="280" t="s">
        <v>818</v>
      </c>
      <c r="C194" s="280" t="s">
        <v>802</v>
      </c>
      <c r="D194" s="280" t="s">
        <v>822</v>
      </c>
      <c r="E194" s="280">
        <f>2000/1000</f>
        <v>2</v>
      </c>
    </row>
    <row r="195" spans="2:5" s="84" customFormat="1"/>
    <row r="196" spans="2:5" ht="13">
      <c r="B196" s="250" t="s">
        <v>823</v>
      </c>
      <c r="C196" s="240"/>
      <c r="D196" s="240"/>
      <c r="E196" s="241"/>
    </row>
    <row r="197" spans="2:5">
      <c r="B197" s="280" t="s">
        <v>824</v>
      </c>
      <c r="C197" s="280" t="s">
        <v>825</v>
      </c>
      <c r="D197" s="280" t="s">
        <v>826</v>
      </c>
      <c r="E197" s="108">
        <f>E107/(E20*1000)</f>
        <v>2.3240299823633157E-3</v>
      </c>
    </row>
    <row r="198" spans="2:5">
      <c r="B198" s="280" t="s">
        <v>824</v>
      </c>
      <c r="C198" s="280" t="s">
        <v>827</v>
      </c>
      <c r="D198" s="280" t="s">
        <v>828</v>
      </c>
      <c r="E198" s="108">
        <f>1/E203</f>
        <v>2E-3</v>
      </c>
    </row>
    <row r="199" spans="2:5">
      <c r="B199" s="280" t="s">
        <v>829</v>
      </c>
      <c r="C199" s="280" t="s">
        <v>825</v>
      </c>
      <c r="D199" s="280" t="s">
        <v>830</v>
      </c>
      <c r="E199" s="157">
        <f>E124/(E20*2000)</f>
        <v>3.9676036155202815E-3</v>
      </c>
    </row>
    <row r="200" spans="2:5">
      <c r="B200" s="280" t="s">
        <v>825</v>
      </c>
      <c r="C200" s="280" t="s">
        <v>824</v>
      </c>
      <c r="D200" s="280" t="s">
        <v>831</v>
      </c>
      <c r="E200" s="185">
        <f>1/E197</f>
        <v>430.28704775275571</v>
      </c>
    </row>
    <row r="201" spans="2:5">
      <c r="B201" s="280" t="s">
        <v>825</v>
      </c>
      <c r="C201" s="280" t="s">
        <v>829</v>
      </c>
      <c r="D201" s="280" t="s">
        <v>832</v>
      </c>
      <c r="E201" s="110">
        <f>1/E199</f>
        <v>252.04130676972062</v>
      </c>
    </row>
    <row r="202" spans="2:5">
      <c r="B202" s="280" t="s">
        <v>825</v>
      </c>
      <c r="C202" s="280" t="s">
        <v>827</v>
      </c>
      <c r="D202" s="280" t="s">
        <v>833</v>
      </c>
      <c r="E202" s="185">
        <f>MJ.kgTOBtu.lb*Btu.lbTOmmBtu.ton</f>
        <v>0.86057409550551145</v>
      </c>
    </row>
    <row r="203" spans="2:5">
      <c r="B203" s="280" t="s">
        <v>827</v>
      </c>
      <c r="C203" s="280" t="s">
        <v>824</v>
      </c>
      <c r="D203" s="280" t="s">
        <v>834</v>
      </c>
      <c r="E203" s="108">
        <f>1000000/E27</f>
        <v>500</v>
      </c>
    </row>
    <row r="204" spans="2:5" s="84" customFormat="1"/>
    <row r="205" spans="2:5" ht="13">
      <c r="B205" s="250" t="s">
        <v>835</v>
      </c>
      <c r="C205" s="240"/>
      <c r="D205" s="240"/>
      <c r="E205" s="241"/>
    </row>
    <row r="206" spans="2:5">
      <c r="B206" s="280" t="s">
        <v>836</v>
      </c>
      <c r="C206" s="280" t="s">
        <v>837</v>
      </c>
      <c r="D206" s="280" t="s">
        <v>838</v>
      </c>
      <c r="E206" s="155">
        <f>BtuTOkJ/(1000*ft3TOm3)</f>
        <v>3.7223870056497181E-2</v>
      </c>
    </row>
    <row r="207" spans="2:5">
      <c r="B207" s="280" t="s">
        <v>837</v>
      </c>
      <c r="C207" s="280" t="s">
        <v>836</v>
      </c>
      <c r="D207" s="280" t="s">
        <v>839</v>
      </c>
      <c r="E207" s="155">
        <f>1/E206</f>
        <v>26.864482346468339</v>
      </c>
    </row>
    <row r="208" spans="2:5" s="84" customFormat="1"/>
    <row r="209" spans="2:5" ht="13">
      <c r="B209" s="250" t="s">
        <v>840</v>
      </c>
      <c r="C209" s="240"/>
      <c r="D209" s="240"/>
      <c r="E209" s="241"/>
    </row>
    <row r="210" spans="2:5">
      <c r="B210" s="280" t="s">
        <v>841</v>
      </c>
      <c r="C210" s="280" t="s">
        <v>842</v>
      </c>
      <c r="D210" s="280" t="s">
        <v>843</v>
      </c>
      <c r="E210" s="155">
        <f>kmTOmi*E83</f>
        <v>2.3526413921690494</v>
      </c>
    </row>
    <row r="211" spans="2:5" s="84" customFormat="1"/>
    <row r="212" spans="2:5" ht="13">
      <c r="B212" s="250" t="s">
        <v>844</v>
      </c>
      <c r="C212" s="240"/>
      <c r="D212" s="240"/>
      <c r="E212" s="241"/>
    </row>
    <row r="213" spans="2:5">
      <c r="B213" s="280" t="s">
        <v>845</v>
      </c>
      <c r="C213" s="280" t="s">
        <v>846</v>
      </c>
      <c r="D213" s="280" t="s">
        <v>847</v>
      </c>
      <c r="E213" s="95">
        <f>MgTOton/haTOacre</f>
        <v>0.44609338830221129</v>
      </c>
    </row>
    <row r="214" spans="2:5">
      <c r="B214" s="280"/>
      <c r="C214" s="280"/>
      <c r="D214" s="280"/>
      <c r="E214" s="109"/>
    </row>
    <row r="215" spans="2:5">
      <c r="B215" s="337"/>
      <c r="C215" s="338"/>
      <c r="D215" s="338"/>
      <c r="E215" s="339"/>
    </row>
    <row r="216" spans="2:5">
      <c r="B216" s="280" t="s">
        <v>848</v>
      </c>
      <c r="C216" s="280"/>
      <c r="D216" s="280"/>
    </row>
    <row r="217" spans="2:5">
      <c r="B217" s="280" t="s">
        <v>849</v>
      </c>
      <c r="C217" s="280"/>
      <c r="D217" s="280"/>
    </row>
    <row r="218" spans="2:5">
      <c r="B218" s="280" t="s">
        <v>850</v>
      </c>
      <c r="C218" s="280"/>
      <c r="D218" s="280"/>
    </row>
    <row r="219" spans="2:5">
      <c r="B219" s="280" t="s">
        <v>851</v>
      </c>
      <c r="C219" s="280"/>
      <c r="D219" s="280"/>
    </row>
    <row r="220" spans="2:5">
      <c r="B220" s="280" t="s">
        <v>852</v>
      </c>
      <c r="C220" s="280"/>
      <c r="D220" s="280"/>
    </row>
    <row r="221" spans="2:5">
      <c r="B221" s="280" t="s">
        <v>853</v>
      </c>
      <c r="C221" s="280"/>
      <c r="D221" s="280"/>
    </row>
    <row r="222" spans="2:5">
      <c r="B222" s="280" t="s">
        <v>854</v>
      </c>
      <c r="C222" s="280"/>
      <c r="D222" s="280"/>
    </row>
    <row r="223" spans="2:5">
      <c r="B223" s="280" t="s">
        <v>855</v>
      </c>
    </row>
  </sheetData>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104"/>
  <sheetViews>
    <sheetView topLeftCell="A43" workbookViewId="0">
      <selection activeCell="B53" sqref="B53"/>
    </sheetView>
  </sheetViews>
  <sheetFormatPr defaultRowHeight="12"/>
  <cols>
    <col min="2" max="2" width="40.88671875" customWidth="1"/>
    <col min="3" max="3" width="6.33203125" customWidth="1"/>
    <col min="4" max="4" width="60.88671875" customWidth="1"/>
    <col min="5" max="5" width="40.88671875" customWidth="1"/>
    <col min="6" max="6" width="80.88671875" customWidth="1"/>
  </cols>
  <sheetData>
    <row r="1" spans="1:6" ht="25">
      <c r="A1" s="556" t="s">
        <v>311</v>
      </c>
      <c r="B1" s="556"/>
    </row>
    <row r="3" spans="1:6">
      <c r="A3" s="294" t="s">
        <v>90</v>
      </c>
      <c r="B3" s="294" t="s">
        <v>83</v>
      </c>
      <c r="C3" s="294" t="s">
        <v>91</v>
      </c>
      <c r="D3" s="294" t="s">
        <v>92</v>
      </c>
      <c r="E3" s="294" t="s">
        <v>5</v>
      </c>
      <c r="F3" s="294" t="s">
        <v>6</v>
      </c>
    </row>
    <row r="4" spans="1:6">
      <c r="A4" s="19" t="s">
        <v>97</v>
      </c>
      <c r="B4" s="19" t="s">
        <v>119</v>
      </c>
      <c r="C4" s="48">
        <v>2010</v>
      </c>
      <c r="D4" s="19" t="s">
        <v>120</v>
      </c>
      <c r="E4" s="19"/>
      <c r="F4" s="30" t="s">
        <v>41</v>
      </c>
    </row>
    <row r="5" spans="1:6">
      <c r="A5" s="19" t="s">
        <v>98</v>
      </c>
      <c r="B5" s="19" t="s">
        <v>121</v>
      </c>
      <c r="C5" s="48">
        <v>2016</v>
      </c>
      <c r="D5" s="19" t="s">
        <v>122</v>
      </c>
      <c r="E5" s="19"/>
      <c r="F5" s="30" t="s">
        <v>133</v>
      </c>
    </row>
    <row r="6" spans="1:6">
      <c r="A6" s="19" t="s">
        <v>99</v>
      </c>
      <c r="B6" s="211" t="s">
        <v>1148</v>
      </c>
      <c r="C6" s="48">
        <v>2017</v>
      </c>
      <c r="D6" s="19" t="s">
        <v>1149</v>
      </c>
      <c r="E6" s="19"/>
      <c r="F6" s="136" t="s">
        <v>1147</v>
      </c>
    </row>
    <row r="7" spans="1:6">
      <c r="A7" s="19" t="s">
        <v>100</v>
      </c>
      <c r="B7" s="19" t="s">
        <v>11</v>
      </c>
      <c r="C7" s="48">
        <v>2000</v>
      </c>
      <c r="D7" s="19" t="s">
        <v>1057</v>
      </c>
      <c r="E7" s="19"/>
      <c r="F7" s="136" t="s">
        <v>1146</v>
      </c>
    </row>
    <row r="8" spans="1:6" ht="24">
      <c r="A8" s="19" t="s">
        <v>101</v>
      </c>
      <c r="B8" s="19" t="s">
        <v>134</v>
      </c>
      <c r="C8" s="48">
        <v>2011</v>
      </c>
      <c r="D8" s="19" t="s">
        <v>135</v>
      </c>
      <c r="E8" s="19"/>
      <c r="F8" s="129" t="s">
        <v>946</v>
      </c>
    </row>
    <row r="9" spans="1:6" ht="24">
      <c r="A9" s="19" t="s">
        <v>102</v>
      </c>
      <c r="B9" s="19" t="s">
        <v>134</v>
      </c>
      <c r="C9" s="48">
        <v>2011</v>
      </c>
      <c r="D9" s="19" t="s">
        <v>136</v>
      </c>
      <c r="E9" s="19"/>
      <c r="F9" s="128" t="s">
        <v>947</v>
      </c>
    </row>
    <row r="10" spans="1:6" ht="24">
      <c r="A10" s="19" t="s">
        <v>103</v>
      </c>
      <c r="B10" s="19" t="s">
        <v>119</v>
      </c>
      <c r="C10" s="48">
        <v>2010</v>
      </c>
      <c r="D10" s="19" t="s">
        <v>137</v>
      </c>
      <c r="E10" s="19"/>
      <c r="F10" s="30" t="s">
        <v>138</v>
      </c>
    </row>
    <row r="11" spans="1:6" s="5" customFormat="1" ht="24">
      <c r="A11" s="19" t="s">
        <v>104</v>
      </c>
      <c r="B11" s="19" t="s">
        <v>119</v>
      </c>
      <c r="C11" s="48">
        <v>2003</v>
      </c>
      <c r="D11" s="19" t="s">
        <v>204</v>
      </c>
      <c r="E11" s="19"/>
      <c r="F11" s="30" t="s">
        <v>205</v>
      </c>
    </row>
    <row r="12" spans="1:6" s="5" customFormat="1" ht="24">
      <c r="A12" s="19" t="s">
        <v>105</v>
      </c>
      <c r="B12" s="19" t="s">
        <v>141</v>
      </c>
      <c r="C12" s="48">
        <v>2004</v>
      </c>
      <c r="D12" s="19" t="s">
        <v>142</v>
      </c>
      <c r="E12" s="19"/>
      <c r="F12" s="30" t="s">
        <v>368</v>
      </c>
    </row>
    <row r="13" spans="1:6" ht="24">
      <c r="A13" s="19" t="s">
        <v>106</v>
      </c>
      <c r="B13" s="19" t="s">
        <v>140</v>
      </c>
      <c r="C13" s="48">
        <v>2004</v>
      </c>
      <c r="D13" s="19" t="s">
        <v>139</v>
      </c>
      <c r="E13" s="19"/>
      <c r="F13" s="30" t="s">
        <v>369</v>
      </c>
    </row>
    <row r="14" spans="1:6" ht="24">
      <c r="A14" s="19" t="s">
        <v>107</v>
      </c>
      <c r="B14" s="19" t="s">
        <v>144</v>
      </c>
      <c r="C14" s="48">
        <v>1996</v>
      </c>
      <c r="D14" s="19" t="s">
        <v>143</v>
      </c>
      <c r="E14" s="19"/>
      <c r="F14" s="30" t="s">
        <v>145</v>
      </c>
    </row>
    <row r="15" spans="1:6" ht="24">
      <c r="A15" s="19" t="s">
        <v>108</v>
      </c>
      <c r="B15" s="19" t="s">
        <v>146</v>
      </c>
      <c r="C15" s="48">
        <v>2006</v>
      </c>
      <c r="D15" s="19" t="s">
        <v>147</v>
      </c>
      <c r="E15" s="19"/>
      <c r="F15" s="30" t="s">
        <v>148</v>
      </c>
    </row>
    <row r="16" spans="1:6">
      <c r="A16" s="19" t="s">
        <v>109</v>
      </c>
      <c r="B16" s="19" t="s">
        <v>149</v>
      </c>
      <c r="C16" s="48">
        <v>1982</v>
      </c>
      <c r="D16" s="19" t="s">
        <v>150</v>
      </c>
      <c r="E16" s="19"/>
      <c r="F16" s="30"/>
    </row>
    <row r="17" spans="1:6">
      <c r="A17" s="19" t="s">
        <v>110</v>
      </c>
      <c r="B17" s="19" t="s">
        <v>151</v>
      </c>
      <c r="C17" s="48">
        <v>1991</v>
      </c>
      <c r="D17" s="19" t="s">
        <v>152</v>
      </c>
      <c r="E17" s="19"/>
      <c r="F17" s="30" t="s">
        <v>370</v>
      </c>
    </row>
    <row r="18" spans="1:6">
      <c r="A18" s="19" t="s">
        <v>111</v>
      </c>
      <c r="B18" s="19" t="s">
        <v>154</v>
      </c>
      <c r="C18" s="48">
        <v>1984</v>
      </c>
      <c r="D18" s="19" t="s">
        <v>153</v>
      </c>
      <c r="E18" s="19"/>
      <c r="F18" s="30" t="s">
        <v>155</v>
      </c>
    </row>
    <row r="19" spans="1:6">
      <c r="A19" s="19" t="s">
        <v>112</v>
      </c>
      <c r="B19" s="19" t="s">
        <v>156</v>
      </c>
      <c r="C19" s="48">
        <v>2006</v>
      </c>
      <c r="D19" s="19" t="s">
        <v>157</v>
      </c>
      <c r="E19" s="19" t="s">
        <v>174</v>
      </c>
      <c r="F19" s="30" t="s">
        <v>158</v>
      </c>
    </row>
    <row r="20" spans="1:6" ht="24">
      <c r="A20" s="19" t="s">
        <v>113</v>
      </c>
      <c r="B20" s="19" t="s">
        <v>159</v>
      </c>
      <c r="C20" s="48">
        <v>2007</v>
      </c>
      <c r="D20" s="19" t="s">
        <v>160</v>
      </c>
      <c r="E20" s="19"/>
      <c r="F20" s="30" t="s">
        <v>374</v>
      </c>
    </row>
    <row r="21" spans="1:6">
      <c r="A21" s="19" t="s">
        <v>114</v>
      </c>
      <c r="B21" s="19" t="s">
        <v>161</v>
      </c>
      <c r="C21" s="48">
        <v>1999</v>
      </c>
      <c r="D21" s="19" t="s">
        <v>162</v>
      </c>
      <c r="E21" s="19"/>
      <c r="F21" s="30" t="s">
        <v>371</v>
      </c>
    </row>
    <row r="22" spans="1:6" ht="24">
      <c r="A22" s="19" t="s">
        <v>115</v>
      </c>
      <c r="B22" s="19" t="s">
        <v>167</v>
      </c>
      <c r="C22" s="48">
        <v>1997</v>
      </c>
      <c r="D22" s="19" t="s">
        <v>163</v>
      </c>
      <c r="E22" s="19" t="s">
        <v>165</v>
      </c>
      <c r="F22" s="30" t="s">
        <v>164</v>
      </c>
    </row>
    <row r="23" spans="1:6" ht="24">
      <c r="A23" s="19" t="s">
        <v>116</v>
      </c>
      <c r="B23" s="19" t="s">
        <v>167</v>
      </c>
      <c r="C23" s="48">
        <v>1997</v>
      </c>
      <c r="D23" s="19" t="s">
        <v>163</v>
      </c>
      <c r="E23" s="19" t="s">
        <v>166</v>
      </c>
      <c r="F23" s="30" t="s">
        <v>170</v>
      </c>
    </row>
    <row r="24" spans="1:6" ht="24">
      <c r="A24" s="19" t="s">
        <v>117</v>
      </c>
      <c r="B24" s="19" t="s">
        <v>168</v>
      </c>
      <c r="C24" s="48">
        <v>2011</v>
      </c>
      <c r="D24" s="19" t="s">
        <v>169</v>
      </c>
      <c r="E24" s="19" t="s">
        <v>171</v>
      </c>
      <c r="F24" s="30" t="s">
        <v>375</v>
      </c>
    </row>
    <row r="25" spans="1:6">
      <c r="A25" s="19" t="s">
        <v>118</v>
      </c>
      <c r="B25" s="19" t="s">
        <v>173</v>
      </c>
      <c r="C25" s="48">
        <v>2001</v>
      </c>
      <c r="D25" s="19" t="s">
        <v>172</v>
      </c>
      <c r="E25" s="19"/>
      <c r="F25" s="30" t="s">
        <v>372</v>
      </c>
    </row>
    <row r="26" spans="1:6">
      <c r="A26" s="19" t="s">
        <v>176</v>
      </c>
      <c r="B26" s="19" t="s">
        <v>175</v>
      </c>
      <c r="C26" s="48">
        <v>2006</v>
      </c>
      <c r="D26" s="19" t="s">
        <v>177</v>
      </c>
      <c r="E26" s="19"/>
      <c r="F26" s="30" t="s">
        <v>178</v>
      </c>
    </row>
    <row r="27" spans="1:6" ht="24">
      <c r="A27" s="19" t="s">
        <v>179</v>
      </c>
      <c r="B27" s="19" t="s">
        <v>180</v>
      </c>
      <c r="C27" s="48">
        <v>1992</v>
      </c>
      <c r="D27" s="19" t="s">
        <v>181</v>
      </c>
      <c r="E27" s="19"/>
      <c r="F27" s="30" t="s">
        <v>373</v>
      </c>
    </row>
    <row r="28" spans="1:6" ht="24">
      <c r="A28" s="19" t="s">
        <v>182</v>
      </c>
      <c r="B28" s="19" t="s">
        <v>183</v>
      </c>
      <c r="C28" s="48">
        <v>1980</v>
      </c>
      <c r="D28" s="19" t="s">
        <v>184</v>
      </c>
      <c r="E28" s="19"/>
      <c r="F28" s="30" t="s">
        <v>185</v>
      </c>
    </row>
    <row r="29" spans="1:6" s="5" customFormat="1" ht="24">
      <c r="A29" s="19" t="s">
        <v>186</v>
      </c>
      <c r="B29" s="19" t="s">
        <v>188</v>
      </c>
      <c r="C29" s="48">
        <v>1999</v>
      </c>
      <c r="D29" s="19" t="s">
        <v>187</v>
      </c>
      <c r="E29" s="19"/>
      <c r="F29" s="30"/>
    </row>
    <row r="30" spans="1:6" ht="24">
      <c r="A30" s="19" t="s">
        <v>201</v>
      </c>
      <c r="B30" s="19" t="s">
        <v>202</v>
      </c>
      <c r="C30" s="48">
        <v>1997</v>
      </c>
      <c r="D30" s="19" t="s">
        <v>203</v>
      </c>
      <c r="E30" s="19"/>
      <c r="F30" s="30" t="s">
        <v>376</v>
      </c>
    </row>
    <row r="31" spans="1:6" ht="13">
      <c r="A31" s="19" t="s">
        <v>209</v>
      </c>
      <c r="B31" s="19" t="s">
        <v>213</v>
      </c>
      <c r="C31" s="48">
        <v>1988</v>
      </c>
      <c r="D31" s="19" t="s">
        <v>214</v>
      </c>
      <c r="E31" s="19"/>
      <c r="F31" s="30" t="s">
        <v>377</v>
      </c>
    </row>
    <row r="32" spans="1:6">
      <c r="A32" s="19" t="s">
        <v>212</v>
      </c>
      <c r="B32" s="19" t="s">
        <v>119</v>
      </c>
      <c r="C32" s="48">
        <v>2010</v>
      </c>
      <c r="D32" s="19" t="s">
        <v>210</v>
      </c>
      <c r="E32" s="19"/>
      <c r="F32" s="30" t="s">
        <v>211</v>
      </c>
    </row>
    <row r="33" spans="1:7">
      <c r="A33" s="19" t="s">
        <v>236</v>
      </c>
      <c r="B33" s="19" t="s">
        <v>119</v>
      </c>
      <c r="C33" s="48">
        <v>2012</v>
      </c>
      <c r="D33" s="19" t="s">
        <v>237</v>
      </c>
      <c r="E33" s="19"/>
      <c r="F33" s="30"/>
    </row>
    <row r="34" spans="1:7" ht="24">
      <c r="A34" s="19" t="s">
        <v>241</v>
      </c>
      <c r="B34" s="19" t="s">
        <v>119</v>
      </c>
      <c r="C34" s="48">
        <v>2013</v>
      </c>
      <c r="D34" s="19" t="s">
        <v>137</v>
      </c>
      <c r="E34" s="19"/>
      <c r="F34" s="30" t="s">
        <v>242</v>
      </c>
    </row>
    <row r="35" spans="1:7" ht="24">
      <c r="A35" s="19" t="s">
        <v>251</v>
      </c>
      <c r="B35" s="19" t="s">
        <v>119</v>
      </c>
      <c r="C35" s="48">
        <v>2013</v>
      </c>
      <c r="D35" s="19" t="s">
        <v>1048</v>
      </c>
      <c r="E35" s="19"/>
      <c r="F35" s="136" t="s">
        <v>1047</v>
      </c>
    </row>
    <row r="36" spans="1:7">
      <c r="A36" s="19" t="s">
        <v>356</v>
      </c>
      <c r="B36" s="19" t="s">
        <v>367</v>
      </c>
      <c r="C36" s="48">
        <v>2013</v>
      </c>
      <c r="D36" s="19" t="s">
        <v>378</v>
      </c>
      <c r="E36" s="19"/>
      <c r="F36" s="19"/>
    </row>
    <row r="37" spans="1:7" ht="36">
      <c r="A37" s="19" t="s">
        <v>379</v>
      </c>
      <c r="B37" s="19" t="s">
        <v>119</v>
      </c>
      <c r="C37" s="48">
        <v>2014</v>
      </c>
      <c r="D37" s="19" t="s">
        <v>380</v>
      </c>
      <c r="E37" s="19" t="s">
        <v>382</v>
      </c>
      <c r="F37" s="19" t="s">
        <v>381</v>
      </c>
    </row>
    <row r="38" spans="1:7" ht="24">
      <c r="A38" s="19" t="s">
        <v>386</v>
      </c>
      <c r="B38" s="19" t="s">
        <v>119</v>
      </c>
      <c r="C38" s="48">
        <v>2014</v>
      </c>
      <c r="D38" s="19" t="s">
        <v>387</v>
      </c>
      <c r="E38" s="19"/>
      <c r="F38" s="136" t="s">
        <v>969</v>
      </c>
      <c r="G38" s="118" t="s">
        <v>983</v>
      </c>
    </row>
    <row r="39" spans="1:7">
      <c r="A39" s="19" t="s">
        <v>388</v>
      </c>
      <c r="B39" s="19" t="s">
        <v>149</v>
      </c>
      <c r="C39" s="48">
        <v>2014</v>
      </c>
      <c r="D39" s="19" t="s">
        <v>389</v>
      </c>
      <c r="E39" s="19"/>
      <c r="F39" s="19" t="s">
        <v>390</v>
      </c>
    </row>
    <row r="40" spans="1:7" ht="24">
      <c r="A40" s="19" t="s">
        <v>391</v>
      </c>
      <c r="B40" s="19" t="s">
        <v>119</v>
      </c>
      <c r="C40" s="48">
        <v>2014</v>
      </c>
      <c r="D40" s="19" t="s">
        <v>1058</v>
      </c>
      <c r="E40" s="19"/>
      <c r="F40" s="19" t="s">
        <v>392</v>
      </c>
    </row>
    <row r="41" spans="1:7">
      <c r="A41" s="19" t="s">
        <v>410</v>
      </c>
      <c r="B41" s="19" t="s">
        <v>119</v>
      </c>
      <c r="C41" s="48">
        <v>2015</v>
      </c>
      <c r="D41" s="19" t="s">
        <v>1059</v>
      </c>
      <c r="E41" s="19" t="s">
        <v>411</v>
      </c>
      <c r="F41" s="19" t="s">
        <v>412</v>
      </c>
    </row>
    <row r="42" spans="1:7">
      <c r="A42" s="19" t="s">
        <v>437</v>
      </c>
      <c r="B42" s="19" t="s">
        <v>438</v>
      </c>
      <c r="C42" s="48">
        <v>2018</v>
      </c>
      <c r="D42" s="19" t="s">
        <v>1387</v>
      </c>
      <c r="E42" s="19"/>
      <c r="F42" s="426" t="s">
        <v>1388</v>
      </c>
    </row>
    <row r="43" spans="1:7">
      <c r="A43" s="19" t="s">
        <v>443</v>
      </c>
      <c r="B43" s="19" t="s">
        <v>444</v>
      </c>
      <c r="C43" s="48">
        <v>2014</v>
      </c>
      <c r="D43" s="19" t="s">
        <v>442</v>
      </c>
      <c r="E43" s="19"/>
      <c r="F43" s="19"/>
    </row>
    <row r="44" spans="1:7">
      <c r="A44" s="19" t="s">
        <v>445</v>
      </c>
      <c r="B44" s="19" t="s">
        <v>446</v>
      </c>
      <c r="C44" s="48">
        <v>2014</v>
      </c>
      <c r="D44" s="19" t="s">
        <v>447</v>
      </c>
      <c r="E44" s="19"/>
      <c r="F44" s="19" t="s">
        <v>448</v>
      </c>
    </row>
    <row r="45" spans="1:7">
      <c r="A45" s="19" t="s">
        <v>479</v>
      </c>
      <c r="B45" s="19" t="s">
        <v>444</v>
      </c>
      <c r="C45" s="48">
        <v>2010</v>
      </c>
      <c r="D45" s="19" t="s">
        <v>480</v>
      </c>
      <c r="E45" s="19"/>
      <c r="F45" s="19"/>
    </row>
    <row r="46" spans="1:7" s="127" customFormat="1" ht="24">
      <c r="A46" s="126" t="s">
        <v>943</v>
      </c>
      <c r="B46" s="126" t="s">
        <v>119</v>
      </c>
      <c r="C46" s="48">
        <v>2014</v>
      </c>
      <c r="D46" s="126" t="s">
        <v>944</v>
      </c>
      <c r="E46" s="126"/>
      <c r="F46" s="30" t="s">
        <v>945</v>
      </c>
    </row>
    <row r="47" spans="1:7" ht="36">
      <c r="A47" s="19" t="s">
        <v>1008</v>
      </c>
      <c r="B47" s="19" t="s">
        <v>1060</v>
      </c>
      <c r="C47" s="48">
        <v>2014</v>
      </c>
      <c r="D47" s="19" t="s">
        <v>1009</v>
      </c>
      <c r="E47" s="19"/>
      <c r="F47" s="19"/>
    </row>
    <row r="48" spans="1:7" ht="24">
      <c r="A48" s="84" t="s">
        <v>488</v>
      </c>
      <c r="B48" s="19" t="s">
        <v>984</v>
      </c>
      <c r="C48" s="48" t="s">
        <v>1189</v>
      </c>
      <c r="D48" s="137" t="s">
        <v>985</v>
      </c>
      <c r="E48" s="19"/>
      <c r="F48" s="426" t="s">
        <v>1188</v>
      </c>
    </row>
    <row r="49" spans="1:6" ht="24">
      <c r="A49" s="19" t="s">
        <v>547</v>
      </c>
      <c r="B49" s="421" t="s">
        <v>984</v>
      </c>
      <c r="C49" s="48"/>
      <c r="D49" s="19" t="s">
        <v>1378</v>
      </c>
      <c r="E49" s="19"/>
      <c r="F49" s="19"/>
    </row>
    <row r="50" spans="1:6" ht="24">
      <c r="A50" s="19" t="s">
        <v>1379</v>
      </c>
      <c r="B50" s="421" t="s">
        <v>119</v>
      </c>
      <c r="C50" s="48">
        <v>2018</v>
      </c>
      <c r="D50" s="19" t="s">
        <v>1380</v>
      </c>
      <c r="E50" s="19"/>
      <c r="F50" s="19"/>
    </row>
    <row r="51" spans="1:6">
      <c r="A51" s="19" t="s">
        <v>1406</v>
      </c>
      <c r="B51" s="19" t="s">
        <v>1407</v>
      </c>
      <c r="C51" s="48">
        <v>2017</v>
      </c>
      <c r="D51" s="19" t="s">
        <v>1408</v>
      </c>
      <c r="E51" s="19"/>
      <c r="F51" s="19"/>
    </row>
    <row r="52" spans="1:6">
      <c r="A52" s="19"/>
      <c r="B52" s="19"/>
      <c r="C52" s="48"/>
      <c r="D52" s="19"/>
      <c r="E52" s="19"/>
      <c r="F52" s="19"/>
    </row>
    <row r="53" spans="1:6">
      <c r="A53" s="19"/>
      <c r="B53" s="19"/>
      <c r="C53" s="48"/>
      <c r="D53" s="19"/>
      <c r="E53" s="19"/>
      <c r="F53" s="19"/>
    </row>
    <row r="54" spans="1:6">
      <c r="A54" s="19"/>
      <c r="B54" s="19"/>
      <c r="C54" s="48"/>
      <c r="D54" s="19"/>
      <c r="E54" s="19"/>
      <c r="F54" s="19"/>
    </row>
    <row r="55" spans="1:6">
      <c r="A55" s="19"/>
      <c r="B55" s="19"/>
      <c r="C55" s="48"/>
      <c r="D55" s="19"/>
      <c r="E55" s="19"/>
      <c r="F55" s="19"/>
    </row>
    <row r="56" spans="1:6">
      <c r="A56" s="19"/>
      <c r="B56" s="19"/>
      <c r="C56" s="48"/>
      <c r="D56" s="19"/>
      <c r="E56" s="19"/>
      <c r="F56" s="19"/>
    </row>
    <row r="57" spans="1:6">
      <c r="A57" s="19"/>
      <c r="B57" s="19"/>
      <c r="C57" s="48"/>
      <c r="D57" s="19"/>
      <c r="E57" s="19"/>
      <c r="F57" s="19"/>
    </row>
    <row r="58" spans="1:6">
      <c r="A58" s="19"/>
      <c r="B58" s="19"/>
      <c r="C58" s="48"/>
      <c r="D58" s="19"/>
      <c r="E58" s="19"/>
      <c r="F58" s="19"/>
    </row>
    <row r="59" spans="1:6">
      <c r="A59" s="19"/>
      <c r="B59" s="19"/>
      <c r="C59" s="48"/>
      <c r="D59" s="19"/>
      <c r="E59" s="19"/>
      <c r="F59" s="19"/>
    </row>
    <row r="60" spans="1:6">
      <c r="A60" s="19"/>
      <c r="B60" s="19"/>
      <c r="C60" s="48"/>
      <c r="D60" s="19"/>
      <c r="E60" s="19"/>
      <c r="F60" s="19"/>
    </row>
    <row r="61" spans="1:6">
      <c r="A61" s="19"/>
      <c r="B61" s="19"/>
      <c r="C61" s="48"/>
      <c r="D61" s="19"/>
      <c r="E61" s="19"/>
      <c r="F61" s="19"/>
    </row>
    <row r="62" spans="1:6">
      <c r="A62" s="19"/>
      <c r="B62" s="19"/>
      <c r="C62" s="48"/>
      <c r="D62" s="19"/>
      <c r="E62" s="19"/>
      <c r="F62" s="19"/>
    </row>
    <row r="63" spans="1:6">
      <c r="A63" s="19"/>
      <c r="B63" s="19"/>
      <c r="C63" s="48"/>
      <c r="D63" s="19"/>
      <c r="E63" s="19"/>
      <c r="F63" s="19"/>
    </row>
    <row r="64" spans="1:6">
      <c r="A64" s="19"/>
      <c r="B64" s="19"/>
      <c r="C64" s="48"/>
      <c r="D64" s="19"/>
      <c r="E64" s="19"/>
      <c r="F64" s="19"/>
    </row>
    <row r="65" spans="1:6">
      <c r="A65" s="19"/>
      <c r="B65" s="19"/>
      <c r="C65" s="48"/>
      <c r="D65" s="19"/>
      <c r="E65" s="19"/>
      <c r="F65" s="19"/>
    </row>
    <row r="66" spans="1:6">
      <c r="A66" s="19"/>
      <c r="B66" s="19"/>
      <c r="C66" s="48"/>
      <c r="D66" s="19"/>
      <c r="E66" s="19"/>
      <c r="F66" s="19"/>
    </row>
    <row r="67" spans="1:6">
      <c r="A67" s="19"/>
      <c r="B67" s="19"/>
      <c r="C67" s="48"/>
      <c r="D67" s="19"/>
      <c r="E67" s="19"/>
      <c r="F67" s="19"/>
    </row>
    <row r="68" spans="1:6">
      <c r="A68" s="19"/>
      <c r="B68" s="19"/>
      <c r="C68" s="48"/>
      <c r="D68" s="19"/>
      <c r="E68" s="19"/>
      <c r="F68" s="19"/>
    </row>
    <row r="69" spans="1:6">
      <c r="A69" s="19"/>
      <c r="B69" s="19"/>
      <c r="C69" s="48"/>
      <c r="D69" s="19"/>
      <c r="E69" s="19"/>
      <c r="F69" s="19"/>
    </row>
    <row r="70" spans="1:6">
      <c r="A70" s="19"/>
      <c r="B70" s="19"/>
      <c r="C70" s="48"/>
      <c r="D70" s="19"/>
      <c r="E70" s="19"/>
      <c r="F70" s="19"/>
    </row>
    <row r="71" spans="1:6">
      <c r="A71" s="19"/>
      <c r="B71" s="19"/>
      <c r="C71" s="48"/>
      <c r="D71" s="19"/>
      <c r="E71" s="19"/>
      <c r="F71" s="19"/>
    </row>
    <row r="72" spans="1:6">
      <c r="A72" s="19"/>
      <c r="B72" s="19"/>
      <c r="C72" s="48"/>
      <c r="D72" s="19"/>
      <c r="E72" s="19"/>
      <c r="F72" s="19"/>
    </row>
    <row r="73" spans="1:6">
      <c r="A73" s="19"/>
      <c r="B73" s="19"/>
      <c r="C73" s="48"/>
      <c r="D73" s="19"/>
      <c r="E73" s="19"/>
      <c r="F73" s="19"/>
    </row>
    <row r="74" spans="1:6">
      <c r="A74" s="19"/>
      <c r="B74" s="19"/>
      <c r="C74" s="48"/>
      <c r="D74" s="19"/>
      <c r="E74" s="19"/>
      <c r="F74" s="19"/>
    </row>
    <row r="75" spans="1:6">
      <c r="A75" s="19"/>
      <c r="B75" s="19"/>
      <c r="C75" s="48"/>
      <c r="D75" s="19"/>
      <c r="E75" s="19"/>
      <c r="F75" s="19"/>
    </row>
    <row r="76" spans="1:6">
      <c r="A76" s="19"/>
      <c r="B76" s="19"/>
      <c r="C76" s="48"/>
      <c r="D76" s="19"/>
      <c r="E76" s="19"/>
      <c r="F76" s="19"/>
    </row>
    <row r="77" spans="1:6">
      <c r="A77" s="19"/>
      <c r="B77" s="19"/>
      <c r="C77" s="48"/>
      <c r="D77" s="19"/>
      <c r="E77" s="19"/>
      <c r="F77" s="19"/>
    </row>
    <row r="78" spans="1:6">
      <c r="A78" s="19"/>
      <c r="B78" s="19"/>
      <c r="C78" s="48"/>
      <c r="D78" s="19"/>
      <c r="E78" s="19"/>
      <c r="F78" s="19"/>
    </row>
    <row r="79" spans="1:6">
      <c r="A79" s="19"/>
      <c r="B79" s="19"/>
      <c r="C79" s="48"/>
      <c r="D79" s="19"/>
      <c r="E79" s="19"/>
      <c r="F79" s="19"/>
    </row>
    <row r="80" spans="1:6">
      <c r="A80" s="19"/>
      <c r="B80" s="19"/>
      <c r="C80" s="48"/>
      <c r="D80" s="19"/>
      <c r="E80" s="19"/>
      <c r="F80" s="19"/>
    </row>
    <row r="81" spans="1:6">
      <c r="A81" s="19"/>
      <c r="B81" s="19"/>
      <c r="C81" s="48"/>
      <c r="D81" s="19"/>
      <c r="E81" s="19"/>
      <c r="F81" s="19"/>
    </row>
    <row r="82" spans="1:6">
      <c r="A82" s="19"/>
      <c r="B82" s="19"/>
      <c r="C82" s="48"/>
      <c r="D82" s="19"/>
      <c r="E82" s="19"/>
      <c r="F82" s="19"/>
    </row>
    <row r="83" spans="1:6">
      <c r="A83" s="19"/>
      <c r="B83" s="19"/>
      <c r="C83" s="48"/>
      <c r="D83" s="19"/>
      <c r="E83" s="19"/>
      <c r="F83" s="19"/>
    </row>
    <row r="84" spans="1:6">
      <c r="A84" s="19"/>
      <c r="B84" s="19"/>
      <c r="C84" s="48"/>
      <c r="D84" s="19"/>
      <c r="E84" s="19"/>
      <c r="F84" s="19"/>
    </row>
    <row r="85" spans="1:6">
      <c r="A85" s="19"/>
      <c r="B85" s="19"/>
      <c r="C85" s="48"/>
      <c r="D85" s="19"/>
      <c r="E85" s="19"/>
      <c r="F85" s="19"/>
    </row>
    <row r="86" spans="1:6">
      <c r="A86" s="19"/>
      <c r="B86" s="19"/>
      <c r="C86" s="48"/>
      <c r="D86" s="19"/>
      <c r="E86" s="19"/>
      <c r="F86" s="19"/>
    </row>
    <row r="87" spans="1:6">
      <c r="A87" s="19"/>
      <c r="B87" s="19"/>
      <c r="C87" s="48"/>
      <c r="D87" s="19"/>
      <c r="E87" s="19"/>
      <c r="F87" s="19"/>
    </row>
    <row r="88" spans="1:6">
      <c r="A88" s="19"/>
      <c r="B88" s="19"/>
      <c r="C88" s="48"/>
      <c r="D88" s="19"/>
      <c r="E88" s="19"/>
      <c r="F88" s="19"/>
    </row>
    <row r="89" spans="1:6">
      <c r="A89" s="19"/>
      <c r="B89" s="19"/>
      <c r="C89" s="48"/>
      <c r="D89" s="19"/>
      <c r="E89" s="19"/>
      <c r="F89" s="19"/>
    </row>
    <row r="90" spans="1:6">
      <c r="A90" s="19"/>
      <c r="B90" s="19"/>
      <c r="C90" s="48"/>
      <c r="D90" s="19"/>
      <c r="E90" s="19"/>
      <c r="F90" s="19"/>
    </row>
    <row r="91" spans="1:6">
      <c r="A91" s="19"/>
      <c r="B91" s="19"/>
      <c r="C91" s="48"/>
      <c r="D91" s="19"/>
      <c r="E91" s="19"/>
      <c r="F91" s="19"/>
    </row>
    <row r="92" spans="1:6">
      <c r="A92" s="19"/>
      <c r="B92" s="19"/>
      <c r="C92" s="48"/>
      <c r="D92" s="19"/>
      <c r="E92" s="19"/>
      <c r="F92" s="19"/>
    </row>
    <row r="93" spans="1:6">
      <c r="A93" s="19"/>
      <c r="B93" s="19"/>
      <c r="C93" s="48"/>
      <c r="D93" s="19"/>
      <c r="E93" s="19"/>
      <c r="F93" s="19"/>
    </row>
    <row r="94" spans="1:6">
      <c r="A94" s="19"/>
      <c r="B94" s="19"/>
      <c r="C94" s="48"/>
      <c r="D94" s="19"/>
      <c r="E94" s="19"/>
      <c r="F94" s="19"/>
    </row>
    <row r="95" spans="1:6">
      <c r="A95" s="19"/>
      <c r="B95" s="19"/>
      <c r="C95" s="48"/>
      <c r="D95" s="19"/>
      <c r="E95" s="19"/>
      <c r="F95" s="19"/>
    </row>
    <row r="96" spans="1:6">
      <c r="A96" s="19"/>
      <c r="B96" s="19"/>
      <c r="C96" s="48"/>
      <c r="D96" s="19"/>
      <c r="E96" s="19"/>
      <c r="F96" s="19"/>
    </row>
    <row r="97" spans="1:6">
      <c r="A97" s="19"/>
      <c r="B97" s="19"/>
      <c r="C97" s="48"/>
      <c r="D97" s="19"/>
      <c r="E97" s="19"/>
      <c r="F97" s="19"/>
    </row>
    <row r="98" spans="1:6">
      <c r="A98" s="19"/>
      <c r="B98" s="19"/>
      <c r="C98" s="48"/>
      <c r="D98" s="19"/>
      <c r="E98" s="19"/>
      <c r="F98" s="19"/>
    </row>
    <row r="99" spans="1:6">
      <c r="A99" s="19"/>
      <c r="B99" s="19"/>
      <c r="C99" s="48"/>
      <c r="D99" s="19"/>
      <c r="E99" s="19"/>
      <c r="F99" s="19"/>
    </row>
    <row r="100" spans="1:6">
      <c r="A100" s="19"/>
      <c r="B100" s="19"/>
      <c r="C100" s="48"/>
      <c r="D100" s="19"/>
      <c r="E100" s="19"/>
      <c r="F100" s="19"/>
    </row>
    <row r="101" spans="1:6">
      <c r="A101" s="19"/>
      <c r="B101" s="19"/>
      <c r="C101" s="48"/>
      <c r="D101" s="19"/>
      <c r="E101" s="19"/>
      <c r="F101" s="19"/>
    </row>
    <row r="102" spans="1:6">
      <c r="A102" s="19"/>
      <c r="B102" s="19"/>
      <c r="C102" s="48"/>
      <c r="D102" s="19"/>
      <c r="E102" s="19"/>
      <c r="F102" s="19"/>
    </row>
    <row r="103" spans="1:6">
      <c r="A103" s="19"/>
      <c r="B103" s="19"/>
      <c r="C103" s="48"/>
      <c r="D103" s="19"/>
      <c r="E103" s="19"/>
      <c r="F103" s="19"/>
    </row>
    <row r="104" spans="1:6">
      <c r="A104" s="47" t="s">
        <v>366</v>
      </c>
      <c r="B104" s="47" t="s">
        <v>366</v>
      </c>
      <c r="C104" s="47" t="s">
        <v>366</v>
      </c>
      <c r="D104" s="47" t="s">
        <v>366</v>
      </c>
      <c r="E104" s="47" t="s">
        <v>366</v>
      </c>
      <c r="F104" s="47" t="s">
        <v>366</v>
      </c>
    </row>
  </sheetData>
  <mergeCells count="1">
    <mergeCell ref="A1:B1"/>
  </mergeCells>
  <phoneticPr fontId="7"/>
  <hyperlinks>
    <hyperlink ref="F4" r:id="rId1"/>
    <hyperlink ref="F5" r:id="rId2"/>
    <hyperlink ref="F6" r:id="rId3"/>
    <hyperlink ref="F8" r:id="rId4"/>
    <hyperlink ref="F9" r:id="rId5"/>
    <hyperlink ref="F10" r:id="rId6"/>
    <hyperlink ref="F11" r:id="rId7"/>
    <hyperlink ref="F15" r:id="rId8"/>
    <hyperlink ref="F19" r:id="rId9"/>
    <hyperlink ref="F7" r:id="rId10"/>
    <hyperlink ref="F34" r:id="rId11"/>
    <hyperlink ref="F38" r:id="rId12"/>
    <hyperlink ref="G38" r:id="rId13"/>
    <hyperlink ref="F35" r:id="rId14"/>
    <hyperlink ref="F48" r:id="rId15"/>
    <hyperlink ref="F42" r:id="rId16"/>
  </hyperlinks>
  <pageMargins left="0.7" right="0.7" top="0.75" bottom="0.75" header="0.3" footer="0.3"/>
  <pageSetup orientation="portrait" r:id="rId1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28"/>
  <sheetViews>
    <sheetView topLeftCell="A119" zoomScale="110" zoomScaleNormal="110" workbookViewId="0">
      <selection activeCell="A133" sqref="A133"/>
    </sheetView>
  </sheetViews>
  <sheetFormatPr defaultColWidth="9.33203125" defaultRowHeight="12"/>
  <cols>
    <col min="1" max="1" width="14.44140625" style="84" customWidth="1"/>
    <col min="2" max="2" width="14.33203125" style="133" customWidth="1"/>
    <col min="3" max="3" width="19.5546875" style="24" customWidth="1"/>
    <col min="4" max="4" width="83.88671875" style="19" customWidth="1"/>
    <col min="5" max="16384" width="9.33203125" style="24"/>
  </cols>
  <sheetData>
    <row r="1" spans="1:4" ht="25">
      <c r="A1" s="293" t="s">
        <v>262</v>
      </c>
      <c r="B1" s="86"/>
      <c r="C1" s="18"/>
    </row>
    <row r="3" spans="1:4">
      <c r="A3" s="294" t="s">
        <v>215</v>
      </c>
      <c r="B3" s="294" t="s">
        <v>216</v>
      </c>
      <c r="C3" s="294" t="s">
        <v>217</v>
      </c>
      <c r="D3" s="294" t="s">
        <v>218</v>
      </c>
    </row>
    <row r="4" spans="1:4" ht="13">
      <c r="A4" s="250" t="s">
        <v>223</v>
      </c>
      <c r="B4" s="240"/>
      <c r="C4" s="240"/>
      <c r="D4" s="241"/>
    </row>
    <row r="5" spans="1:4">
      <c r="A5" s="148">
        <v>41447</v>
      </c>
      <c r="B5" s="133" t="s">
        <v>224</v>
      </c>
      <c r="C5" s="19" t="s">
        <v>226</v>
      </c>
      <c r="D5" s="19" t="s">
        <v>225</v>
      </c>
    </row>
    <row r="6" spans="1:4" s="291" customFormat="1" ht="13">
      <c r="A6" s="250" t="s">
        <v>222</v>
      </c>
      <c r="B6" s="240"/>
      <c r="C6" s="240"/>
      <c r="D6" s="241"/>
    </row>
    <row r="7" spans="1:4">
      <c r="A7" s="148">
        <v>41449</v>
      </c>
      <c r="B7" s="133" t="s">
        <v>219</v>
      </c>
      <c r="C7" s="19" t="s">
        <v>220</v>
      </c>
      <c r="D7" s="19" t="s">
        <v>221</v>
      </c>
    </row>
    <row r="8" spans="1:4">
      <c r="A8" s="148">
        <v>41470</v>
      </c>
      <c r="B8" s="133" t="s">
        <v>219</v>
      </c>
      <c r="C8" s="19" t="s">
        <v>220</v>
      </c>
      <c r="D8" s="19" t="s">
        <v>966</v>
      </c>
    </row>
    <row r="9" spans="1:4">
      <c r="A9" s="148">
        <v>41473</v>
      </c>
      <c r="B9" s="133" t="s">
        <v>265</v>
      </c>
      <c r="C9" s="19" t="s">
        <v>266</v>
      </c>
      <c r="D9" s="19" t="s">
        <v>267</v>
      </c>
    </row>
    <row r="10" spans="1:4" ht="24">
      <c r="A10" s="148">
        <v>41477</v>
      </c>
      <c r="B10" s="133" t="s">
        <v>219</v>
      </c>
      <c r="C10" s="19" t="s">
        <v>239</v>
      </c>
      <c r="D10" s="19" t="s">
        <v>238</v>
      </c>
    </row>
    <row r="11" spans="1:4">
      <c r="A11" s="148">
        <v>41480</v>
      </c>
      <c r="B11" s="133" t="s">
        <v>265</v>
      </c>
      <c r="C11" s="19" t="s">
        <v>266</v>
      </c>
      <c r="D11" s="19" t="s">
        <v>268</v>
      </c>
    </row>
    <row r="12" spans="1:4" ht="18.75" customHeight="1">
      <c r="A12" s="148">
        <v>41484</v>
      </c>
      <c r="B12" s="133" t="s">
        <v>219</v>
      </c>
      <c r="C12" s="19" t="s">
        <v>253</v>
      </c>
      <c r="D12" s="19" t="s">
        <v>269</v>
      </c>
    </row>
    <row r="13" spans="1:4" ht="29.4" customHeight="1">
      <c r="C13" s="19" t="s">
        <v>220</v>
      </c>
      <c r="D13" s="19" t="s">
        <v>263</v>
      </c>
    </row>
    <row r="14" spans="1:4">
      <c r="C14" s="19" t="s">
        <v>194</v>
      </c>
      <c r="D14" s="19" t="s">
        <v>264</v>
      </c>
    </row>
    <row r="15" spans="1:4">
      <c r="A15" s="148">
        <v>41485</v>
      </c>
      <c r="B15" s="133" t="s">
        <v>265</v>
      </c>
      <c r="C15" s="19" t="s">
        <v>220</v>
      </c>
      <c r="D15" s="19" t="s">
        <v>270</v>
      </c>
    </row>
    <row r="16" spans="1:4">
      <c r="A16" s="148">
        <v>41486</v>
      </c>
      <c r="B16" s="133" t="s">
        <v>219</v>
      </c>
      <c r="C16" s="19" t="s">
        <v>276</v>
      </c>
      <c r="D16" s="19" t="s">
        <v>277</v>
      </c>
    </row>
    <row r="17" spans="1:4" ht="24">
      <c r="A17" s="148">
        <v>41491</v>
      </c>
      <c r="B17" s="133" t="s">
        <v>219</v>
      </c>
      <c r="C17" s="19" t="s">
        <v>284</v>
      </c>
      <c r="D17" s="19" t="s">
        <v>285</v>
      </c>
    </row>
    <row r="18" spans="1:4" ht="24">
      <c r="A18" s="148">
        <v>41492</v>
      </c>
      <c r="B18" s="133" t="s">
        <v>265</v>
      </c>
      <c r="C18" s="19" t="s">
        <v>288</v>
      </c>
      <c r="D18" s="19" t="s">
        <v>289</v>
      </c>
    </row>
    <row r="19" spans="1:4" ht="24">
      <c r="A19" s="148">
        <v>41493</v>
      </c>
      <c r="B19" s="133" t="s">
        <v>219</v>
      </c>
      <c r="C19" s="19" t="s">
        <v>253</v>
      </c>
      <c r="D19" s="19" t="s">
        <v>287</v>
      </c>
    </row>
    <row r="20" spans="1:4">
      <c r="A20" s="148">
        <v>41510</v>
      </c>
      <c r="B20" s="133" t="s">
        <v>219</v>
      </c>
      <c r="C20" s="19" t="s">
        <v>291</v>
      </c>
      <c r="D20" s="19" t="s">
        <v>292</v>
      </c>
    </row>
    <row r="21" spans="1:4" ht="36">
      <c r="A21" s="148">
        <v>41513</v>
      </c>
      <c r="B21" s="133" t="s">
        <v>219</v>
      </c>
      <c r="C21" s="19" t="s">
        <v>293</v>
      </c>
      <c r="D21" s="19" t="s">
        <v>294</v>
      </c>
    </row>
    <row r="22" spans="1:4" ht="24">
      <c r="A22" s="148">
        <v>41514</v>
      </c>
      <c r="B22" s="133" t="s">
        <v>219</v>
      </c>
      <c r="C22" s="19" t="s">
        <v>14</v>
      </c>
      <c r="D22" s="19" t="s">
        <v>299</v>
      </c>
    </row>
    <row r="23" spans="1:4">
      <c r="A23" s="148"/>
      <c r="C23" s="19" t="s">
        <v>300</v>
      </c>
      <c r="D23" s="19" t="s">
        <v>301</v>
      </c>
    </row>
    <row r="24" spans="1:4" ht="14.5">
      <c r="A24" s="148"/>
      <c r="C24" s="19"/>
      <c r="D24" s="29" t="s">
        <v>302</v>
      </c>
    </row>
    <row r="25" spans="1:4" ht="36">
      <c r="A25" s="148">
        <v>41533</v>
      </c>
      <c r="B25" s="133" t="s">
        <v>219</v>
      </c>
      <c r="C25" s="19" t="s">
        <v>303</v>
      </c>
      <c r="D25" s="30" t="s">
        <v>304</v>
      </c>
    </row>
    <row r="26" spans="1:4" ht="14.5">
      <c r="A26" s="148">
        <v>41534</v>
      </c>
      <c r="B26" s="133" t="s">
        <v>219</v>
      </c>
      <c r="C26" s="19"/>
      <c r="D26" s="29" t="s">
        <v>305</v>
      </c>
    </row>
    <row r="27" spans="1:4" ht="24">
      <c r="A27" s="148">
        <v>41547</v>
      </c>
      <c r="B27" s="133" t="s">
        <v>219</v>
      </c>
      <c r="C27" s="19" t="s">
        <v>309</v>
      </c>
      <c r="D27" s="30" t="s">
        <v>310</v>
      </c>
    </row>
    <row r="28" spans="1:4">
      <c r="A28" s="148">
        <v>41750</v>
      </c>
      <c r="B28" s="133" t="s">
        <v>265</v>
      </c>
      <c r="C28" s="19" t="s">
        <v>266</v>
      </c>
      <c r="D28" s="19" t="s">
        <v>312</v>
      </c>
    </row>
    <row r="29" spans="1:4" ht="60">
      <c r="A29" s="148">
        <v>41778</v>
      </c>
      <c r="B29" s="133" t="s">
        <v>265</v>
      </c>
      <c r="C29" s="19" t="s">
        <v>320</v>
      </c>
      <c r="D29" s="19" t="s">
        <v>319</v>
      </c>
    </row>
    <row r="30" spans="1:4" ht="36">
      <c r="A30" s="148">
        <v>41779</v>
      </c>
      <c r="B30" s="133" t="s">
        <v>265</v>
      </c>
      <c r="C30" s="19" t="s">
        <v>318</v>
      </c>
      <c r="D30" s="19" t="s">
        <v>325</v>
      </c>
    </row>
    <row r="31" spans="1:4" ht="36">
      <c r="A31" s="148">
        <v>41780</v>
      </c>
      <c r="B31" s="133" t="s">
        <v>265</v>
      </c>
      <c r="C31" s="19" t="s">
        <v>323</v>
      </c>
      <c r="D31" s="19" t="s">
        <v>324</v>
      </c>
    </row>
    <row r="32" spans="1:4" ht="36">
      <c r="A32" s="148">
        <v>41866</v>
      </c>
      <c r="B32" s="133" t="s">
        <v>265</v>
      </c>
      <c r="C32" s="19" t="s">
        <v>341</v>
      </c>
      <c r="D32" s="30" t="s">
        <v>343</v>
      </c>
    </row>
    <row r="33" spans="1:17">
      <c r="A33" s="148">
        <v>41866</v>
      </c>
      <c r="B33" s="133" t="s">
        <v>265</v>
      </c>
      <c r="C33" s="19" t="s">
        <v>342</v>
      </c>
      <c r="D33" s="30" t="s">
        <v>344</v>
      </c>
    </row>
    <row r="34" spans="1:17" ht="36">
      <c r="A34" s="148">
        <v>41915</v>
      </c>
      <c r="B34" s="133" t="s">
        <v>265</v>
      </c>
      <c r="C34" s="19" t="s">
        <v>348</v>
      </c>
      <c r="D34" s="30" t="s">
        <v>967</v>
      </c>
    </row>
    <row r="35" spans="1:17" ht="57.65" customHeight="1">
      <c r="A35" s="148">
        <v>41934</v>
      </c>
      <c r="B35" s="133" t="s">
        <v>265</v>
      </c>
      <c r="C35" s="19" t="s">
        <v>349</v>
      </c>
      <c r="D35" s="30" t="s">
        <v>968</v>
      </c>
    </row>
    <row r="36" spans="1:17" s="291" customFormat="1" ht="13">
      <c r="A36" s="250" t="s">
        <v>926</v>
      </c>
      <c r="B36" s="240"/>
      <c r="C36" s="240"/>
      <c r="D36" s="241"/>
    </row>
    <row r="37" spans="1:17" s="120" customFormat="1" ht="24">
      <c r="A37" s="148">
        <v>42039</v>
      </c>
      <c r="B37" s="133" t="s">
        <v>1021</v>
      </c>
      <c r="C37" s="121" t="s">
        <v>927</v>
      </c>
      <c r="D37" s="121" t="s">
        <v>1022</v>
      </c>
    </row>
    <row r="38" spans="1:17">
      <c r="C38" s="19"/>
    </row>
    <row r="39" spans="1:17" ht="24">
      <c r="A39" s="148">
        <v>42124</v>
      </c>
      <c r="B39" s="133" t="s">
        <v>964</v>
      </c>
      <c r="C39" s="19" t="s">
        <v>948</v>
      </c>
      <c r="D39" s="19" t="s">
        <v>965</v>
      </c>
    </row>
    <row r="40" spans="1:17">
      <c r="B40" s="133" t="s">
        <v>964</v>
      </c>
      <c r="C40" s="19"/>
    </row>
    <row r="41" spans="1:17" s="19" customFormat="1" ht="48">
      <c r="A41" s="84" t="s">
        <v>952</v>
      </c>
      <c r="B41" s="133" t="s">
        <v>964</v>
      </c>
      <c r="C41" s="19" t="s">
        <v>955</v>
      </c>
      <c r="D41" s="19" t="s">
        <v>954</v>
      </c>
      <c r="E41" s="24"/>
      <c r="F41" s="24"/>
      <c r="G41" s="24"/>
      <c r="H41" s="24"/>
      <c r="I41" s="24"/>
      <c r="J41" s="24"/>
      <c r="K41" s="24"/>
      <c r="L41" s="24"/>
      <c r="M41" s="24"/>
      <c r="N41" s="24"/>
      <c r="O41" s="24"/>
      <c r="P41" s="24"/>
      <c r="Q41" s="24"/>
    </row>
    <row r="42" spans="1:17" s="19" customFormat="1" ht="23.75" customHeight="1">
      <c r="A42" s="148">
        <v>42265</v>
      </c>
      <c r="B42" s="133" t="s">
        <v>964</v>
      </c>
      <c r="C42" s="19" t="s">
        <v>956</v>
      </c>
      <c r="D42" s="19" t="s">
        <v>957</v>
      </c>
      <c r="E42" s="24"/>
      <c r="F42" s="24"/>
      <c r="G42" s="24"/>
      <c r="H42" s="24"/>
      <c r="I42" s="24"/>
      <c r="J42" s="24"/>
      <c r="K42" s="24"/>
      <c r="L42" s="24"/>
      <c r="M42" s="24"/>
      <c r="N42" s="24"/>
      <c r="O42" s="24"/>
      <c r="P42" s="24"/>
      <c r="Q42" s="24"/>
    </row>
    <row r="43" spans="1:17" s="19" customFormat="1" ht="29.4" customHeight="1">
      <c r="A43" s="148">
        <v>42310</v>
      </c>
      <c r="B43" s="133" t="s">
        <v>964</v>
      </c>
      <c r="C43" s="19" t="s">
        <v>963</v>
      </c>
      <c r="D43" s="19" t="s">
        <v>962</v>
      </c>
      <c r="E43" s="24"/>
      <c r="F43" s="24"/>
      <c r="G43" s="24"/>
      <c r="H43" s="24"/>
      <c r="I43" s="24"/>
      <c r="J43" s="24"/>
      <c r="K43" s="24"/>
      <c r="L43" s="24"/>
      <c r="M43" s="24"/>
      <c r="N43" s="24"/>
      <c r="O43" s="24"/>
      <c r="P43" s="24"/>
      <c r="Q43" s="24"/>
    </row>
    <row r="44" spans="1:17" s="19" customFormat="1" ht="20.149999999999999" customHeight="1">
      <c r="A44" s="148">
        <v>42332</v>
      </c>
      <c r="B44" s="133" t="s">
        <v>964</v>
      </c>
      <c r="C44" s="19" t="s">
        <v>958</v>
      </c>
      <c r="D44" s="19" t="s">
        <v>959</v>
      </c>
      <c r="E44" s="24"/>
      <c r="F44" s="24"/>
      <c r="G44" s="24"/>
      <c r="H44" s="24"/>
      <c r="I44" s="24"/>
      <c r="J44" s="24"/>
      <c r="K44" s="24"/>
      <c r="L44" s="24"/>
      <c r="M44" s="24"/>
      <c r="N44" s="24"/>
      <c r="O44" s="24"/>
      <c r="P44" s="24"/>
      <c r="Q44" s="24"/>
    </row>
    <row r="45" spans="1:17" s="19" customFormat="1">
      <c r="A45" s="84"/>
      <c r="B45" s="133" t="s">
        <v>964</v>
      </c>
      <c r="E45" s="24"/>
      <c r="F45" s="24"/>
      <c r="G45" s="24"/>
      <c r="H45" s="24"/>
      <c r="I45" s="24"/>
      <c r="J45" s="24"/>
      <c r="K45" s="24"/>
      <c r="L45" s="24"/>
      <c r="M45" s="24"/>
      <c r="N45" s="24"/>
      <c r="O45" s="24"/>
      <c r="P45" s="24"/>
      <c r="Q45" s="24"/>
    </row>
    <row r="46" spans="1:17" s="19" customFormat="1" ht="36">
      <c r="A46" s="148">
        <v>42332</v>
      </c>
      <c r="B46" s="133" t="s">
        <v>979</v>
      </c>
      <c r="C46" s="19" t="s">
        <v>960</v>
      </c>
      <c r="D46" s="19" t="s">
        <v>961</v>
      </c>
      <c r="E46" s="24"/>
      <c r="F46" s="24"/>
      <c r="G46" s="24"/>
      <c r="H46" s="24"/>
      <c r="I46" s="24"/>
      <c r="J46" s="24"/>
      <c r="K46" s="24"/>
      <c r="L46" s="24"/>
      <c r="M46" s="24"/>
      <c r="N46" s="24"/>
      <c r="O46" s="24"/>
      <c r="P46" s="24"/>
      <c r="Q46" s="24"/>
    </row>
    <row r="47" spans="1:17" s="19" customFormat="1" ht="13.25" customHeight="1">
      <c r="A47" s="84"/>
      <c r="B47" s="133"/>
      <c r="E47" s="24"/>
      <c r="F47" s="24"/>
      <c r="G47" s="24"/>
      <c r="H47" s="24"/>
      <c r="I47" s="24"/>
      <c r="J47" s="24"/>
      <c r="K47" s="24"/>
      <c r="L47" s="24"/>
      <c r="M47" s="24"/>
      <c r="N47" s="24"/>
      <c r="O47" s="24"/>
      <c r="P47" s="24"/>
      <c r="Q47" s="24"/>
    </row>
    <row r="48" spans="1:17" s="19" customFormat="1" ht="24">
      <c r="A48" s="148">
        <v>42348</v>
      </c>
      <c r="B48" s="133" t="s">
        <v>964</v>
      </c>
      <c r="C48" s="19" t="s">
        <v>258</v>
      </c>
      <c r="D48" s="131" t="s">
        <v>978</v>
      </c>
      <c r="E48" s="24"/>
      <c r="F48" s="24"/>
      <c r="G48" s="24"/>
      <c r="H48" s="24"/>
      <c r="I48" s="24"/>
      <c r="J48" s="24"/>
      <c r="K48" s="24"/>
      <c r="L48" s="24"/>
      <c r="M48" s="24"/>
      <c r="N48" s="24"/>
      <c r="O48" s="24"/>
      <c r="P48" s="24"/>
      <c r="Q48" s="24"/>
    </row>
    <row r="49" spans="1:17" s="19" customFormat="1" ht="24">
      <c r="A49" s="148">
        <v>42491</v>
      </c>
      <c r="B49" s="133" t="s">
        <v>964</v>
      </c>
      <c r="C49" s="19" t="s">
        <v>258</v>
      </c>
      <c r="D49" s="19" t="s">
        <v>970</v>
      </c>
      <c r="E49" s="24"/>
      <c r="F49" s="24"/>
      <c r="G49" s="24"/>
      <c r="H49" s="24"/>
      <c r="I49" s="24"/>
      <c r="J49" s="24"/>
      <c r="K49" s="24"/>
      <c r="L49" s="24"/>
      <c r="M49" s="24"/>
      <c r="N49" s="24"/>
      <c r="O49" s="24"/>
      <c r="P49" s="24"/>
      <c r="Q49" s="24"/>
    </row>
    <row r="50" spans="1:17" s="19" customFormat="1">
      <c r="A50" s="148">
        <v>42491</v>
      </c>
      <c r="B50" s="133" t="s">
        <v>964</v>
      </c>
      <c r="C50" s="19" t="s">
        <v>971</v>
      </c>
      <c r="D50" s="19" t="s">
        <v>972</v>
      </c>
      <c r="E50" s="24"/>
      <c r="F50" s="24"/>
      <c r="G50" s="24"/>
      <c r="H50" s="24"/>
      <c r="I50" s="24"/>
      <c r="J50" s="24"/>
      <c r="K50" s="24"/>
      <c r="L50" s="24"/>
      <c r="M50" s="24"/>
      <c r="N50" s="24"/>
      <c r="O50" s="24"/>
      <c r="P50" s="24"/>
      <c r="Q50" s="24"/>
    </row>
    <row r="51" spans="1:17" s="19" customFormat="1">
      <c r="A51" s="84"/>
      <c r="B51" s="133"/>
      <c r="E51" s="24"/>
      <c r="F51" s="24"/>
      <c r="G51" s="24"/>
      <c r="H51" s="24"/>
      <c r="I51" s="24"/>
      <c r="J51" s="24"/>
      <c r="K51" s="24"/>
      <c r="L51" s="24"/>
      <c r="M51" s="24"/>
      <c r="N51" s="24"/>
      <c r="O51" s="24"/>
      <c r="P51" s="24"/>
      <c r="Q51" s="24"/>
    </row>
    <row r="52" spans="1:17" s="19" customFormat="1" ht="24">
      <c r="A52" s="148">
        <v>42491</v>
      </c>
      <c r="B52" s="133" t="s">
        <v>964</v>
      </c>
      <c r="C52" s="19" t="s">
        <v>123</v>
      </c>
      <c r="D52" s="19" t="s">
        <v>1061</v>
      </c>
      <c r="E52" s="24"/>
      <c r="F52" s="24"/>
      <c r="G52" s="24"/>
      <c r="H52" s="24"/>
      <c r="I52" s="24"/>
      <c r="J52" s="24"/>
      <c r="K52" s="24"/>
      <c r="L52" s="24"/>
      <c r="M52" s="24"/>
      <c r="N52" s="24"/>
      <c r="O52" s="24"/>
      <c r="P52" s="24"/>
      <c r="Q52" s="24"/>
    </row>
    <row r="53" spans="1:17" s="19" customFormat="1" ht="48">
      <c r="A53" s="148">
        <v>42506</v>
      </c>
      <c r="B53" s="133" t="s">
        <v>977</v>
      </c>
      <c r="C53" s="19" t="s">
        <v>980</v>
      </c>
      <c r="D53" s="19" t="s">
        <v>981</v>
      </c>
      <c r="E53" s="24"/>
      <c r="F53" s="24"/>
      <c r="G53" s="24"/>
      <c r="H53" s="24"/>
      <c r="I53" s="24"/>
      <c r="J53" s="24"/>
      <c r="K53" s="24"/>
      <c r="L53" s="24"/>
      <c r="M53" s="24"/>
      <c r="N53" s="24"/>
      <c r="O53" s="24"/>
      <c r="P53" s="24"/>
      <c r="Q53" s="24"/>
    </row>
    <row r="54" spans="1:17" s="19" customFormat="1">
      <c r="A54" s="84"/>
      <c r="B54" s="133"/>
      <c r="E54" s="24"/>
      <c r="F54" s="24"/>
      <c r="G54" s="24"/>
      <c r="H54" s="24"/>
      <c r="I54" s="24"/>
      <c r="J54" s="24"/>
      <c r="K54" s="24"/>
      <c r="L54" s="24"/>
      <c r="M54" s="24"/>
      <c r="N54" s="24"/>
      <c r="O54" s="24"/>
      <c r="P54" s="24"/>
      <c r="Q54" s="24"/>
    </row>
    <row r="55" spans="1:17" s="19" customFormat="1" ht="84">
      <c r="A55" s="148">
        <v>42571</v>
      </c>
      <c r="B55" s="133" t="s">
        <v>265</v>
      </c>
      <c r="C55" s="19" t="s">
        <v>973</v>
      </c>
      <c r="D55" s="19" t="s">
        <v>996</v>
      </c>
      <c r="E55" s="24"/>
      <c r="F55" s="24"/>
      <c r="G55" s="24"/>
      <c r="H55" s="24"/>
      <c r="I55" s="24"/>
      <c r="J55" s="24"/>
      <c r="K55" s="24"/>
      <c r="L55" s="24"/>
      <c r="M55" s="24"/>
      <c r="N55" s="24"/>
      <c r="O55" s="24"/>
      <c r="P55" s="24"/>
      <c r="Q55" s="24"/>
    </row>
    <row r="56" spans="1:17" s="19" customFormat="1" ht="72">
      <c r="A56" s="148">
        <v>42571</v>
      </c>
      <c r="B56" s="174" t="s">
        <v>265</v>
      </c>
      <c r="C56" s="19" t="s">
        <v>974</v>
      </c>
      <c r="D56" s="19" t="s">
        <v>997</v>
      </c>
      <c r="E56" s="24"/>
      <c r="F56" s="24"/>
      <c r="G56" s="24"/>
      <c r="H56" s="24"/>
      <c r="I56" s="24"/>
      <c r="J56" s="24"/>
      <c r="K56" s="24"/>
      <c r="L56" s="24"/>
      <c r="M56" s="24"/>
      <c r="N56" s="24"/>
      <c r="O56" s="24"/>
      <c r="P56" s="24"/>
      <c r="Q56" s="24"/>
    </row>
    <row r="57" spans="1:17" s="19" customFormat="1">
      <c r="A57" s="148"/>
      <c r="B57" s="133"/>
      <c r="E57" s="24"/>
      <c r="F57" s="24"/>
      <c r="G57" s="24"/>
      <c r="H57" s="24"/>
      <c r="I57" s="24"/>
      <c r="J57" s="24"/>
      <c r="K57" s="24"/>
      <c r="L57" s="24"/>
      <c r="M57" s="24"/>
      <c r="N57" s="24"/>
      <c r="O57" s="24"/>
      <c r="P57" s="24"/>
      <c r="Q57" s="24"/>
    </row>
    <row r="58" spans="1:17" s="19" customFormat="1" ht="24">
      <c r="A58" s="148">
        <v>42572</v>
      </c>
      <c r="B58" s="174" t="s">
        <v>1037</v>
      </c>
      <c r="C58" s="19" t="s">
        <v>975</v>
      </c>
      <c r="D58" s="19" t="s">
        <v>976</v>
      </c>
      <c r="E58" s="24"/>
      <c r="F58" s="24"/>
      <c r="G58" s="24"/>
      <c r="H58" s="24"/>
      <c r="I58" s="24"/>
      <c r="J58" s="24"/>
      <c r="K58" s="24"/>
      <c r="L58" s="24"/>
      <c r="M58" s="24"/>
      <c r="N58" s="24"/>
      <c r="O58" s="24"/>
      <c r="P58" s="24"/>
      <c r="Q58" s="24"/>
    </row>
    <row r="59" spans="1:17" s="19" customFormat="1">
      <c r="A59" s="84"/>
      <c r="B59" s="133"/>
      <c r="E59" s="24"/>
      <c r="F59" s="24"/>
      <c r="G59" s="24"/>
      <c r="H59" s="24"/>
      <c r="I59" s="24"/>
      <c r="J59" s="24"/>
      <c r="K59" s="24"/>
      <c r="L59" s="24"/>
      <c r="M59" s="24"/>
      <c r="N59" s="24"/>
      <c r="O59" s="24"/>
      <c r="P59" s="24"/>
      <c r="Q59" s="24"/>
    </row>
    <row r="60" spans="1:17" s="19" customFormat="1">
      <c r="A60" s="84"/>
      <c r="B60" s="133"/>
      <c r="E60" s="24"/>
      <c r="F60" s="24"/>
      <c r="G60" s="24"/>
      <c r="H60" s="24"/>
      <c r="I60" s="24"/>
      <c r="J60" s="24"/>
      <c r="K60" s="24"/>
      <c r="L60" s="24"/>
      <c r="M60" s="24"/>
      <c r="N60" s="24"/>
      <c r="O60" s="24"/>
      <c r="P60" s="24"/>
      <c r="Q60" s="24"/>
    </row>
    <row r="61" spans="1:17" s="19" customFormat="1" ht="24">
      <c r="A61" s="148">
        <v>42587</v>
      </c>
      <c r="B61" s="133" t="s">
        <v>265</v>
      </c>
      <c r="C61" s="19" t="s">
        <v>986</v>
      </c>
      <c r="D61" s="19" t="s">
        <v>991</v>
      </c>
      <c r="E61" s="24"/>
      <c r="F61" s="24"/>
      <c r="G61" s="24"/>
      <c r="H61" s="24"/>
      <c r="I61" s="24"/>
      <c r="J61" s="24"/>
      <c r="K61" s="24"/>
      <c r="L61" s="24"/>
      <c r="M61" s="24"/>
      <c r="N61" s="24"/>
      <c r="O61" s="24"/>
      <c r="P61" s="24"/>
      <c r="Q61" s="24"/>
    </row>
    <row r="62" spans="1:17" s="19" customFormat="1">
      <c r="A62" s="84"/>
      <c r="B62" s="133"/>
      <c r="E62" s="24"/>
      <c r="F62" s="24"/>
      <c r="G62" s="24"/>
      <c r="H62" s="24"/>
      <c r="I62" s="24"/>
      <c r="J62" s="24"/>
      <c r="K62" s="24"/>
      <c r="L62" s="24"/>
      <c r="M62" s="24"/>
      <c r="N62" s="24"/>
      <c r="O62" s="24"/>
      <c r="P62" s="24"/>
      <c r="Q62" s="24"/>
    </row>
    <row r="63" spans="1:17" s="19" customFormat="1" ht="24">
      <c r="A63" s="148">
        <v>42591</v>
      </c>
      <c r="B63" s="133"/>
      <c r="C63" s="19" t="s">
        <v>987</v>
      </c>
      <c r="D63" s="19" t="s">
        <v>989</v>
      </c>
      <c r="E63" s="24"/>
      <c r="F63" s="24"/>
      <c r="G63" s="24"/>
      <c r="H63" s="24"/>
      <c r="I63" s="24"/>
      <c r="J63" s="24"/>
      <c r="K63" s="24"/>
      <c r="L63" s="24"/>
      <c r="M63" s="24"/>
      <c r="N63" s="24"/>
      <c r="O63" s="24"/>
      <c r="P63" s="24"/>
      <c r="Q63" s="24"/>
    </row>
    <row r="64" spans="1:17" s="19" customFormat="1" ht="48">
      <c r="A64" s="148">
        <v>42591</v>
      </c>
      <c r="B64" s="133"/>
      <c r="C64" s="19" t="s">
        <v>988</v>
      </c>
      <c r="D64" s="19" t="s">
        <v>992</v>
      </c>
      <c r="E64" s="24"/>
      <c r="F64" s="24"/>
      <c r="G64" s="24"/>
      <c r="H64" s="24"/>
      <c r="I64" s="24"/>
      <c r="J64" s="24"/>
      <c r="K64" s="24"/>
      <c r="L64" s="24"/>
      <c r="M64" s="24"/>
      <c r="N64" s="24"/>
      <c r="O64" s="24"/>
      <c r="P64" s="24"/>
      <c r="Q64" s="24"/>
    </row>
    <row r="65" spans="1:17" s="19" customFormat="1" ht="24">
      <c r="A65" s="148">
        <v>42607</v>
      </c>
      <c r="B65" s="133" t="s">
        <v>265</v>
      </c>
      <c r="C65" s="19" t="s">
        <v>990</v>
      </c>
      <c r="D65" s="19" t="s">
        <v>993</v>
      </c>
      <c r="E65" s="24"/>
      <c r="F65" s="24"/>
      <c r="G65" s="24"/>
      <c r="H65" s="24"/>
      <c r="I65" s="24"/>
      <c r="J65" s="24"/>
      <c r="K65" s="24"/>
      <c r="L65" s="24"/>
      <c r="M65" s="24"/>
      <c r="N65" s="24"/>
      <c r="O65" s="24"/>
      <c r="P65" s="24"/>
      <c r="Q65" s="24"/>
    </row>
    <row r="66" spans="1:17" s="19" customFormat="1">
      <c r="A66" s="84"/>
      <c r="B66" s="133"/>
      <c r="E66" s="24"/>
      <c r="F66" s="24"/>
      <c r="G66" s="24"/>
      <c r="H66" s="24"/>
      <c r="I66" s="24"/>
      <c r="J66" s="24"/>
      <c r="K66" s="24"/>
      <c r="L66" s="24"/>
      <c r="M66" s="24"/>
      <c r="N66" s="24"/>
      <c r="O66" s="24"/>
      <c r="P66" s="24"/>
      <c r="Q66" s="24"/>
    </row>
    <row r="67" spans="1:17" s="19" customFormat="1" ht="24">
      <c r="A67" s="148">
        <v>42612</v>
      </c>
      <c r="B67" s="133"/>
      <c r="C67" s="144" t="s">
        <v>994</v>
      </c>
      <c r="D67" s="19" t="s">
        <v>995</v>
      </c>
      <c r="E67" s="24"/>
      <c r="F67" s="24"/>
      <c r="G67" s="24"/>
      <c r="H67" s="24"/>
      <c r="I67" s="24"/>
      <c r="J67" s="24"/>
      <c r="K67" s="24"/>
      <c r="L67" s="24"/>
      <c r="M67" s="24"/>
      <c r="N67" s="24"/>
      <c r="O67" s="24"/>
      <c r="P67" s="24"/>
      <c r="Q67" s="24"/>
    </row>
    <row r="68" spans="1:17" s="19" customFormat="1" ht="36">
      <c r="A68" s="148">
        <v>42632</v>
      </c>
      <c r="B68" s="133" t="s">
        <v>1000</v>
      </c>
      <c r="C68" s="19" t="s">
        <v>1001</v>
      </c>
      <c r="D68" s="19" t="s">
        <v>1002</v>
      </c>
      <c r="E68" s="24"/>
      <c r="F68" s="24"/>
      <c r="G68" s="24"/>
      <c r="H68" s="24"/>
      <c r="I68" s="24"/>
      <c r="J68" s="24"/>
      <c r="K68" s="24"/>
      <c r="L68" s="24"/>
      <c r="M68" s="24"/>
      <c r="N68" s="24"/>
      <c r="O68" s="24"/>
      <c r="P68" s="24"/>
      <c r="Q68" s="24"/>
    </row>
    <row r="69" spans="1:17" s="19" customFormat="1">
      <c r="A69" s="84"/>
      <c r="B69" s="133"/>
      <c r="E69" s="24"/>
      <c r="F69" s="24"/>
      <c r="G69" s="24"/>
      <c r="H69" s="24"/>
      <c r="I69" s="24"/>
      <c r="J69" s="24"/>
      <c r="K69" s="24"/>
      <c r="L69" s="24"/>
      <c r="M69" s="24"/>
      <c r="N69" s="24"/>
      <c r="O69" s="24"/>
      <c r="P69" s="24"/>
      <c r="Q69" s="24"/>
    </row>
    <row r="70" spans="1:17" s="19" customFormat="1" ht="36">
      <c r="A70" s="148">
        <v>42683</v>
      </c>
      <c r="B70" s="149" t="s">
        <v>265</v>
      </c>
      <c r="C70" s="147" t="s">
        <v>1004</v>
      </c>
      <c r="D70" s="147" t="s">
        <v>1062</v>
      </c>
      <c r="E70" s="24"/>
      <c r="F70" s="24"/>
      <c r="G70" s="24"/>
      <c r="H70" s="24"/>
      <c r="I70" s="24"/>
      <c r="J70" s="24"/>
      <c r="K70" s="24"/>
      <c r="L70" s="24"/>
      <c r="M70" s="24"/>
      <c r="N70" s="24"/>
      <c r="O70" s="24"/>
      <c r="P70" s="24"/>
      <c r="Q70" s="24"/>
    </row>
    <row r="71" spans="1:17" s="152" customFormat="1">
      <c r="A71" s="148"/>
      <c r="B71" s="153"/>
      <c r="E71" s="154"/>
      <c r="F71" s="154"/>
      <c r="G71" s="154"/>
      <c r="H71" s="154"/>
      <c r="I71" s="154"/>
      <c r="J71" s="154"/>
      <c r="K71" s="154"/>
      <c r="L71" s="154"/>
      <c r="M71" s="154"/>
      <c r="N71" s="154"/>
      <c r="O71" s="154"/>
      <c r="P71" s="154"/>
      <c r="Q71" s="154"/>
    </row>
    <row r="72" spans="1:17" s="19" customFormat="1" ht="52.4" customHeight="1">
      <c r="A72" s="148">
        <v>42775</v>
      </c>
      <c r="B72" s="19" t="s">
        <v>265</v>
      </c>
      <c r="C72" s="547" t="s">
        <v>1016</v>
      </c>
      <c r="D72" s="154" t="s">
        <v>1014</v>
      </c>
      <c r="E72" s="24"/>
      <c r="F72" s="24"/>
      <c r="G72" s="24"/>
      <c r="H72" s="24"/>
      <c r="I72" s="24"/>
      <c r="J72" s="24"/>
      <c r="K72" s="24"/>
      <c r="L72" s="24"/>
      <c r="M72" s="24"/>
      <c r="N72" s="24"/>
      <c r="O72" s="24"/>
      <c r="P72" s="24"/>
      <c r="Q72" s="24"/>
    </row>
    <row r="73" spans="1:17" s="19" customFormat="1">
      <c r="A73" s="148">
        <v>42776</v>
      </c>
      <c r="C73" s="547"/>
      <c r="D73" s="154" t="s">
        <v>1015</v>
      </c>
      <c r="E73" s="24"/>
      <c r="F73" s="24"/>
      <c r="G73" s="24"/>
      <c r="H73" s="24"/>
      <c r="I73" s="24"/>
      <c r="J73" s="24"/>
      <c r="K73" s="24"/>
      <c r="L73" s="24"/>
      <c r="M73" s="24"/>
      <c r="N73" s="24"/>
      <c r="O73" s="24"/>
      <c r="P73" s="24"/>
      <c r="Q73" s="24"/>
    </row>
    <row r="74" spans="1:17" s="19" customFormat="1">
      <c r="A74" s="148">
        <v>42780</v>
      </c>
      <c r="C74" s="547"/>
      <c r="D74" s="154" t="s">
        <v>1030</v>
      </c>
      <c r="E74" s="24"/>
      <c r="F74" s="24"/>
      <c r="G74" s="24"/>
      <c r="H74" s="24"/>
      <c r="I74" s="24"/>
      <c r="J74" s="24"/>
      <c r="K74" s="24"/>
      <c r="L74" s="24"/>
      <c r="M74" s="24"/>
      <c r="N74" s="24"/>
      <c r="O74" s="24"/>
      <c r="P74" s="24"/>
      <c r="Q74" s="24"/>
    </row>
    <row r="75" spans="1:17" s="19" customFormat="1">
      <c r="A75" s="84"/>
      <c r="B75" s="133"/>
      <c r="E75" s="24"/>
      <c r="F75" s="24"/>
      <c r="G75" s="24"/>
      <c r="H75" s="24"/>
      <c r="I75" s="24"/>
      <c r="J75" s="24"/>
      <c r="K75" s="24"/>
      <c r="L75" s="24"/>
      <c r="M75" s="24"/>
      <c r="N75" s="24"/>
      <c r="O75" s="24"/>
      <c r="P75" s="24"/>
      <c r="Q75" s="24"/>
    </row>
    <row r="76" spans="1:17" s="19" customFormat="1" ht="24">
      <c r="A76" s="148">
        <v>42804</v>
      </c>
      <c r="B76" s="159" t="s">
        <v>265</v>
      </c>
      <c r="C76" s="160" t="s">
        <v>321</v>
      </c>
      <c r="D76" s="160" t="s">
        <v>1017</v>
      </c>
      <c r="E76" s="24"/>
      <c r="F76" s="24"/>
      <c r="G76" s="24"/>
      <c r="H76" s="24"/>
      <c r="I76" s="24"/>
      <c r="J76" s="24"/>
      <c r="K76" s="24"/>
      <c r="L76" s="24"/>
      <c r="M76" s="24"/>
      <c r="N76" s="24"/>
      <c r="O76" s="24"/>
      <c r="P76" s="24"/>
      <c r="Q76" s="24"/>
    </row>
    <row r="77" spans="1:17" s="19" customFormat="1" ht="24">
      <c r="A77" s="148">
        <v>42818</v>
      </c>
      <c r="B77" s="174" t="s">
        <v>265</v>
      </c>
      <c r="C77" s="19" t="s">
        <v>1018</v>
      </c>
      <c r="D77" s="19" t="s">
        <v>1031</v>
      </c>
      <c r="E77" s="24"/>
      <c r="F77" s="24"/>
      <c r="G77" s="24"/>
      <c r="H77" s="24"/>
      <c r="I77" s="24"/>
      <c r="J77" s="24"/>
      <c r="K77" s="24"/>
      <c r="L77" s="24"/>
      <c r="M77" s="24"/>
      <c r="N77" s="24"/>
      <c r="O77" s="24"/>
      <c r="P77" s="24"/>
      <c r="Q77" s="24"/>
    </row>
    <row r="78" spans="1:17" s="172" customFormat="1" ht="20.399999999999999" customHeight="1">
      <c r="A78" s="191">
        <v>42825</v>
      </c>
      <c r="B78" s="174" t="s">
        <v>265</v>
      </c>
      <c r="C78" s="172" t="s">
        <v>1019</v>
      </c>
      <c r="D78" s="172" t="s">
        <v>1032</v>
      </c>
      <c r="E78" s="173"/>
      <c r="F78" s="173"/>
      <c r="G78" s="173"/>
      <c r="H78" s="173"/>
      <c r="I78" s="173"/>
      <c r="J78" s="173"/>
      <c r="K78" s="173"/>
      <c r="L78" s="173"/>
      <c r="M78" s="173"/>
      <c r="N78" s="173"/>
      <c r="O78" s="173"/>
      <c r="P78" s="173"/>
      <c r="Q78" s="173"/>
    </row>
    <row r="79" spans="1:17" s="19" customFormat="1" ht="11.4" customHeight="1">
      <c r="A79" s="84"/>
      <c r="B79" s="133"/>
      <c r="E79" s="24"/>
      <c r="F79" s="24"/>
      <c r="G79" s="24"/>
      <c r="H79" s="24"/>
      <c r="I79" s="24"/>
      <c r="J79" s="24"/>
      <c r="K79" s="24"/>
      <c r="L79" s="24"/>
      <c r="M79" s="24"/>
      <c r="N79" s="24"/>
      <c r="O79" s="24"/>
      <c r="P79" s="24"/>
      <c r="Q79" s="24"/>
    </row>
    <row r="80" spans="1:17" s="19" customFormat="1" ht="48">
      <c r="A80" s="148">
        <v>42835</v>
      </c>
      <c r="B80" s="174" t="s">
        <v>265</v>
      </c>
      <c r="C80" s="19" t="s">
        <v>1020</v>
      </c>
      <c r="D80" s="19" t="s">
        <v>1028</v>
      </c>
      <c r="E80" s="24"/>
      <c r="F80" s="24"/>
      <c r="G80" s="24"/>
      <c r="H80" s="24"/>
      <c r="I80" s="24"/>
      <c r="J80" s="24"/>
      <c r="K80" s="24"/>
      <c r="L80" s="24"/>
      <c r="M80" s="24"/>
      <c r="N80" s="24"/>
      <c r="O80" s="24"/>
      <c r="P80" s="24"/>
      <c r="Q80" s="24"/>
    </row>
    <row r="81" spans="1:17" s="19" customFormat="1" ht="15.65" customHeight="1">
      <c r="A81" s="84"/>
      <c r="B81" s="133"/>
      <c r="D81" s="19" t="s">
        <v>1027</v>
      </c>
      <c r="E81" s="24"/>
      <c r="F81" s="24"/>
      <c r="G81" s="24"/>
      <c r="H81" s="24"/>
      <c r="I81" s="24"/>
      <c r="J81" s="24"/>
      <c r="K81" s="24"/>
      <c r="L81" s="24"/>
      <c r="M81" s="24"/>
      <c r="N81" s="24"/>
      <c r="O81" s="24"/>
      <c r="P81" s="24"/>
      <c r="Q81" s="24"/>
    </row>
    <row r="82" spans="1:17" s="168" customFormat="1" ht="30" customHeight="1">
      <c r="A82" s="148">
        <v>42864</v>
      </c>
      <c r="B82" s="174" t="s">
        <v>265</v>
      </c>
      <c r="C82" s="168" t="s">
        <v>1029</v>
      </c>
      <c r="D82" s="168" t="s">
        <v>1033</v>
      </c>
      <c r="E82" s="169"/>
      <c r="F82" s="169"/>
      <c r="G82" s="169"/>
      <c r="H82" s="169"/>
      <c r="I82" s="169"/>
      <c r="J82" s="169"/>
      <c r="K82" s="169"/>
      <c r="L82" s="169"/>
      <c r="M82" s="169"/>
      <c r="N82" s="169"/>
      <c r="O82" s="169"/>
      <c r="P82" s="169"/>
      <c r="Q82" s="169"/>
    </row>
    <row r="83" spans="1:17" s="19" customFormat="1" ht="44" customHeight="1">
      <c r="A83" s="148">
        <v>42926</v>
      </c>
      <c r="B83" s="174" t="s">
        <v>265</v>
      </c>
      <c r="C83" s="19" t="s">
        <v>1063</v>
      </c>
      <c r="D83" s="19" t="s">
        <v>1064</v>
      </c>
      <c r="E83" s="24"/>
      <c r="F83" s="24"/>
      <c r="G83" s="24"/>
      <c r="H83" s="24"/>
      <c r="I83" s="24"/>
      <c r="J83" s="24"/>
      <c r="K83" s="24"/>
      <c r="L83" s="24"/>
      <c r="M83" s="24"/>
      <c r="N83" s="24"/>
      <c r="O83" s="24"/>
      <c r="P83" s="24"/>
      <c r="Q83" s="24"/>
    </row>
    <row r="84" spans="1:17" s="19" customFormat="1" ht="29" customHeight="1">
      <c r="A84" s="190">
        <v>42927</v>
      </c>
      <c r="B84" s="174" t="s">
        <v>265</v>
      </c>
      <c r="C84" s="168" t="s">
        <v>1063</v>
      </c>
      <c r="D84" s="170" t="s">
        <v>1065</v>
      </c>
      <c r="E84" s="24"/>
      <c r="F84" s="24"/>
      <c r="G84" s="24"/>
      <c r="H84" s="24"/>
      <c r="I84" s="24"/>
      <c r="J84" s="24"/>
      <c r="K84" s="24"/>
      <c r="L84" s="24"/>
      <c r="M84" s="24"/>
      <c r="N84" s="24"/>
      <c r="O84" s="24"/>
      <c r="P84" s="24"/>
      <c r="Q84" s="24"/>
    </row>
    <row r="85" spans="1:17" s="19" customFormat="1" ht="57.65" customHeight="1">
      <c r="A85" s="148">
        <v>43033</v>
      </c>
      <c r="B85" s="174" t="s">
        <v>265</v>
      </c>
      <c r="C85" s="171" t="s">
        <v>1018</v>
      </c>
      <c r="D85" s="19" t="s">
        <v>1034</v>
      </c>
      <c r="E85" s="24"/>
      <c r="F85" s="24"/>
      <c r="G85" s="24"/>
      <c r="H85" s="24"/>
      <c r="I85" s="24"/>
      <c r="J85" s="24"/>
      <c r="K85" s="24"/>
      <c r="L85" s="24"/>
      <c r="M85" s="24"/>
      <c r="N85" s="24"/>
      <c r="O85" s="24"/>
      <c r="P85" s="24"/>
      <c r="Q85" s="24"/>
    </row>
    <row r="86" spans="1:17" s="19" customFormat="1" ht="29.4" customHeight="1">
      <c r="A86" s="148">
        <v>43034</v>
      </c>
      <c r="B86" s="174" t="s">
        <v>265</v>
      </c>
      <c r="C86" s="171" t="s">
        <v>1063</v>
      </c>
      <c r="D86" s="171" t="s">
        <v>1087</v>
      </c>
      <c r="E86" s="24"/>
      <c r="F86" s="24"/>
      <c r="G86" s="24"/>
      <c r="H86" s="24"/>
      <c r="I86" s="24"/>
      <c r="J86" s="24"/>
      <c r="K86" s="24"/>
      <c r="L86" s="24"/>
      <c r="M86" s="24"/>
      <c r="N86" s="24"/>
      <c r="O86" s="24"/>
      <c r="P86" s="24"/>
      <c r="Q86" s="24"/>
    </row>
    <row r="87" spans="1:17" s="19" customFormat="1" ht="43.25" customHeight="1">
      <c r="A87" s="192">
        <v>43034</v>
      </c>
      <c r="B87" s="175" t="s">
        <v>265</v>
      </c>
      <c r="C87" s="176" t="s">
        <v>1063</v>
      </c>
      <c r="D87" s="176" t="s">
        <v>1066</v>
      </c>
      <c r="E87" s="24"/>
      <c r="F87" s="24"/>
      <c r="G87" s="24"/>
      <c r="H87" s="24"/>
      <c r="I87" s="24"/>
      <c r="J87" s="24"/>
      <c r="K87" s="24"/>
      <c r="L87" s="24"/>
      <c r="M87" s="24"/>
      <c r="N87" s="24"/>
      <c r="O87" s="24"/>
      <c r="P87" s="24"/>
      <c r="Q87" s="24"/>
    </row>
    <row r="88" spans="1:17" s="19" customFormat="1" ht="18.75" customHeight="1">
      <c r="A88" s="148">
        <v>43035</v>
      </c>
      <c r="B88" s="174" t="s">
        <v>265</v>
      </c>
      <c r="C88" s="19" t="s">
        <v>1035</v>
      </c>
      <c r="D88" s="19" t="s">
        <v>1036</v>
      </c>
      <c r="E88" s="24"/>
      <c r="F88" s="24"/>
      <c r="G88" s="24"/>
      <c r="H88" s="24"/>
      <c r="I88" s="24"/>
      <c r="J88" s="24"/>
      <c r="K88" s="24"/>
      <c r="L88" s="24"/>
      <c r="M88" s="24"/>
      <c r="N88" s="24"/>
      <c r="O88" s="24"/>
      <c r="P88" s="24"/>
      <c r="Q88" s="24"/>
    </row>
    <row r="89" spans="1:17" s="19" customFormat="1" ht="17" customHeight="1">
      <c r="A89" s="148">
        <v>43053</v>
      </c>
      <c r="B89" s="177" t="s">
        <v>265</v>
      </c>
      <c r="C89" s="19" t="s">
        <v>1042</v>
      </c>
      <c r="D89" s="19" t="s">
        <v>1043</v>
      </c>
      <c r="E89" s="24"/>
      <c r="F89" s="24"/>
      <c r="G89" s="24"/>
      <c r="H89" s="24"/>
      <c r="I89" s="24"/>
      <c r="J89" s="24"/>
      <c r="K89" s="24"/>
      <c r="L89" s="24"/>
      <c r="M89" s="24"/>
      <c r="N89" s="24"/>
      <c r="O89" s="24"/>
      <c r="P89" s="24"/>
      <c r="Q89" s="24"/>
    </row>
    <row r="90" spans="1:17" s="19" customFormat="1" ht="29.4" customHeight="1">
      <c r="A90" s="148">
        <v>43074</v>
      </c>
      <c r="B90" s="182" t="s">
        <v>265</v>
      </c>
      <c r="C90" s="181" t="s">
        <v>1042</v>
      </c>
      <c r="D90" s="183" t="s">
        <v>1067</v>
      </c>
      <c r="E90" s="24"/>
      <c r="F90" s="24"/>
      <c r="G90" s="24"/>
      <c r="H90" s="24"/>
      <c r="I90" s="24"/>
      <c r="J90" s="24"/>
      <c r="K90" s="24"/>
      <c r="L90" s="24"/>
      <c r="M90" s="24"/>
      <c r="N90" s="24"/>
      <c r="O90" s="24"/>
      <c r="P90" s="24"/>
      <c r="Q90" s="24"/>
    </row>
    <row r="91" spans="1:17" s="19" customFormat="1" ht="31.25" customHeight="1">
      <c r="A91" s="148">
        <v>43080</v>
      </c>
      <c r="B91" s="133" t="s">
        <v>265</v>
      </c>
      <c r="C91" s="19" t="s">
        <v>1050</v>
      </c>
      <c r="D91" s="19" t="s">
        <v>1068</v>
      </c>
      <c r="E91" s="24"/>
      <c r="F91" s="24"/>
      <c r="G91" s="24"/>
      <c r="H91" s="24"/>
      <c r="I91" s="24"/>
      <c r="J91" s="24"/>
      <c r="K91" s="24"/>
      <c r="L91" s="24"/>
      <c r="M91" s="24"/>
      <c r="N91" s="24"/>
      <c r="O91" s="24"/>
      <c r="P91" s="24"/>
      <c r="Q91" s="24"/>
    </row>
    <row r="92" spans="1:17" s="19" customFormat="1" ht="48">
      <c r="A92" s="148">
        <v>43116</v>
      </c>
      <c r="B92" s="133" t="s">
        <v>265</v>
      </c>
      <c r="C92" s="19" t="s">
        <v>1072</v>
      </c>
      <c r="D92" s="19" t="s">
        <v>1083</v>
      </c>
      <c r="E92" s="24"/>
      <c r="F92" s="24"/>
      <c r="G92" s="24"/>
      <c r="H92" s="24"/>
      <c r="I92" s="24"/>
      <c r="J92" s="24"/>
      <c r="K92" s="24"/>
      <c r="L92" s="24"/>
      <c r="M92" s="24"/>
      <c r="N92" s="24"/>
      <c r="O92" s="24"/>
      <c r="P92" s="24"/>
      <c r="Q92" s="24"/>
    </row>
    <row r="93" spans="1:17" s="19" customFormat="1" ht="84">
      <c r="A93" s="148">
        <v>43117</v>
      </c>
      <c r="B93" s="184" t="s">
        <v>265</v>
      </c>
      <c r="C93" s="19" t="s">
        <v>1073</v>
      </c>
      <c r="D93" s="19" t="s">
        <v>1086</v>
      </c>
      <c r="E93" s="24"/>
      <c r="F93" s="24"/>
      <c r="G93" s="24"/>
      <c r="H93" s="24"/>
      <c r="I93" s="24"/>
      <c r="J93" s="24"/>
      <c r="K93" s="24"/>
      <c r="L93" s="24"/>
      <c r="M93" s="24"/>
      <c r="N93" s="24"/>
      <c r="O93" s="24"/>
      <c r="P93" s="24"/>
      <c r="Q93" s="24"/>
    </row>
    <row r="94" spans="1:17" s="19" customFormat="1" ht="72">
      <c r="A94" s="148">
        <v>43138</v>
      </c>
      <c r="B94" s="133" t="s">
        <v>265</v>
      </c>
      <c r="C94" s="19" t="s">
        <v>1076</v>
      </c>
      <c r="D94" s="19" t="s">
        <v>1107</v>
      </c>
      <c r="E94" s="24"/>
      <c r="F94" s="24"/>
      <c r="G94" s="24"/>
      <c r="H94" s="24"/>
      <c r="I94" s="24"/>
      <c r="J94" s="24"/>
      <c r="K94" s="24"/>
      <c r="L94" s="24"/>
      <c r="M94" s="24"/>
      <c r="N94" s="24"/>
      <c r="O94" s="24"/>
      <c r="P94" s="24"/>
      <c r="Q94" s="24"/>
    </row>
    <row r="95" spans="1:17" s="19" customFormat="1">
      <c r="A95" s="84"/>
      <c r="B95" s="133"/>
      <c r="E95" s="24"/>
      <c r="F95" s="24"/>
      <c r="G95" s="24"/>
      <c r="H95" s="24"/>
      <c r="I95" s="24"/>
      <c r="J95" s="24"/>
      <c r="K95" s="24"/>
      <c r="L95" s="24"/>
      <c r="M95" s="24"/>
      <c r="N95" s="24"/>
      <c r="O95" s="24"/>
      <c r="P95" s="24"/>
      <c r="Q95" s="24"/>
    </row>
    <row r="96" spans="1:17" s="19" customFormat="1" ht="125" customHeight="1">
      <c r="A96" s="148">
        <v>43290</v>
      </c>
      <c r="B96" s="133" t="s">
        <v>265</v>
      </c>
      <c r="C96" s="19" t="s">
        <v>1088</v>
      </c>
      <c r="D96" s="19" t="s">
        <v>1106</v>
      </c>
      <c r="E96" s="24"/>
      <c r="F96" s="24"/>
      <c r="G96" s="24"/>
      <c r="H96" s="24"/>
      <c r="I96" s="24"/>
      <c r="J96" s="24"/>
      <c r="K96" s="24"/>
      <c r="L96" s="24"/>
      <c r="M96" s="24"/>
      <c r="N96" s="24"/>
      <c r="O96" s="24"/>
      <c r="P96" s="24"/>
      <c r="Q96" s="24"/>
    </row>
    <row r="97" spans="1:17" s="19" customFormat="1" ht="96">
      <c r="A97" s="148">
        <v>43291</v>
      </c>
      <c r="B97" s="133" t="s">
        <v>265</v>
      </c>
      <c r="C97" s="19" t="s">
        <v>1093</v>
      </c>
      <c r="D97" s="19" t="s">
        <v>1104</v>
      </c>
      <c r="E97" s="24"/>
      <c r="F97" s="24"/>
      <c r="G97" s="24"/>
      <c r="H97" s="24"/>
      <c r="I97" s="24"/>
      <c r="J97" s="24"/>
      <c r="K97" s="24"/>
      <c r="L97" s="24"/>
      <c r="M97" s="24"/>
      <c r="N97" s="24"/>
      <c r="O97" s="24"/>
      <c r="P97" s="24"/>
      <c r="Q97" s="24"/>
    </row>
    <row r="98" spans="1:17" s="19" customFormat="1">
      <c r="A98" s="84"/>
      <c r="B98" s="133"/>
      <c r="E98" s="24"/>
      <c r="F98" s="24"/>
      <c r="G98" s="24"/>
      <c r="H98" s="24"/>
      <c r="I98" s="24"/>
      <c r="J98" s="24"/>
      <c r="K98" s="24"/>
      <c r="L98" s="24"/>
      <c r="M98" s="24"/>
      <c r="N98" s="24"/>
      <c r="O98" s="24"/>
      <c r="P98" s="24"/>
      <c r="Q98" s="24"/>
    </row>
    <row r="99" spans="1:17" s="19" customFormat="1" ht="38.4" customHeight="1">
      <c r="A99" s="148">
        <v>43293</v>
      </c>
      <c r="B99" s="133"/>
      <c r="C99" s="19" t="s">
        <v>1140</v>
      </c>
      <c r="D99" s="19" t="s">
        <v>1117</v>
      </c>
      <c r="E99" s="24"/>
      <c r="F99" s="210" t="s">
        <v>1139</v>
      </c>
      <c r="G99" s="24"/>
      <c r="H99" s="24"/>
      <c r="I99" s="24"/>
      <c r="J99" s="24"/>
      <c r="K99" s="24"/>
      <c r="L99" s="24"/>
      <c r="M99" s="24"/>
      <c r="N99" s="24"/>
      <c r="O99" s="24"/>
      <c r="P99" s="24"/>
      <c r="Q99" s="24"/>
    </row>
    <row r="100" spans="1:17" s="208" customFormat="1" ht="28.25" customHeight="1">
      <c r="A100" s="148">
        <v>43348</v>
      </c>
      <c r="B100" s="207"/>
      <c r="C100" s="172" t="s">
        <v>1141</v>
      </c>
      <c r="D100" s="172" t="s">
        <v>1142</v>
      </c>
      <c r="E100" s="209"/>
      <c r="F100" s="24" t="s">
        <v>1143</v>
      </c>
      <c r="G100" s="209"/>
      <c r="H100" s="209"/>
      <c r="I100" s="209"/>
      <c r="J100" s="209"/>
      <c r="K100" s="209"/>
      <c r="L100" s="209"/>
      <c r="M100" s="209"/>
      <c r="N100" s="209"/>
      <c r="O100" s="209"/>
      <c r="P100" s="209"/>
      <c r="Q100" s="209"/>
    </row>
    <row r="101" spans="1:17" s="19" customFormat="1" ht="57.65" customHeight="1">
      <c r="A101" s="148">
        <v>43449</v>
      </c>
      <c r="B101" s="133"/>
      <c r="C101" s="19" t="s">
        <v>1110</v>
      </c>
      <c r="D101" s="19" t="s">
        <v>1137</v>
      </c>
      <c r="E101" s="24"/>
      <c r="F101" s="24" t="s">
        <v>1134</v>
      </c>
      <c r="G101" s="24"/>
      <c r="H101" s="24"/>
      <c r="I101" s="24"/>
      <c r="J101" s="24"/>
      <c r="K101" s="24"/>
      <c r="L101" s="24"/>
      <c r="M101" s="24"/>
      <c r="N101" s="24"/>
      <c r="O101" s="24"/>
      <c r="P101" s="24"/>
      <c r="Q101" s="24"/>
    </row>
    <row r="102" spans="1:17" s="19" customFormat="1" ht="47.4" customHeight="1">
      <c r="A102" s="84"/>
      <c r="B102" s="133"/>
      <c r="C102" s="19" t="s">
        <v>1114</v>
      </c>
      <c r="D102" s="19" t="s">
        <v>1138</v>
      </c>
      <c r="E102" s="24"/>
      <c r="F102" s="24" t="s">
        <v>1113</v>
      </c>
      <c r="G102" s="24"/>
      <c r="H102" s="24"/>
      <c r="I102" s="24"/>
      <c r="J102" s="24"/>
      <c r="K102" s="24"/>
      <c r="L102" s="24"/>
      <c r="M102" s="24"/>
      <c r="N102" s="24"/>
      <c r="O102" s="24"/>
      <c r="P102" s="24"/>
      <c r="Q102" s="24"/>
    </row>
    <row r="103" spans="1:17" s="19" customFormat="1" ht="46.25" customHeight="1">
      <c r="A103" s="84"/>
      <c r="B103" s="133"/>
      <c r="C103" s="19" t="s">
        <v>1115</v>
      </c>
      <c r="D103" s="19" t="s">
        <v>1118</v>
      </c>
      <c r="E103" s="24"/>
      <c r="F103" s="20" t="s">
        <v>1116</v>
      </c>
      <c r="G103" s="24"/>
      <c r="H103" s="24"/>
      <c r="I103" s="24"/>
      <c r="J103" s="24"/>
      <c r="K103" s="24"/>
      <c r="L103" s="24"/>
      <c r="M103" s="24"/>
      <c r="N103" s="24"/>
      <c r="O103" s="24"/>
      <c r="P103" s="24"/>
      <c r="Q103" s="24"/>
    </row>
    <row r="104" spans="1:17" s="19" customFormat="1" ht="32" customHeight="1">
      <c r="A104" s="148">
        <v>43450</v>
      </c>
      <c r="B104" s="133"/>
      <c r="C104" s="19" t="s">
        <v>1135</v>
      </c>
      <c r="D104" s="19" t="s">
        <v>1136</v>
      </c>
      <c r="E104" s="24"/>
      <c r="F104" s="20" t="s">
        <v>1135</v>
      </c>
      <c r="G104" s="24"/>
      <c r="H104" s="24"/>
      <c r="I104" s="24"/>
      <c r="J104" s="24"/>
      <c r="K104" s="24"/>
      <c r="L104" s="24"/>
      <c r="M104" s="24"/>
      <c r="N104" s="24"/>
      <c r="O104" s="24"/>
      <c r="P104" s="24"/>
      <c r="Q104" s="24"/>
    </row>
    <row r="105" spans="1:17" s="19" customFormat="1">
      <c r="A105" s="148"/>
      <c r="B105" s="133"/>
      <c r="E105" s="24"/>
      <c r="F105" s="20" t="s">
        <v>1425</v>
      </c>
      <c r="G105" s="24"/>
      <c r="H105" s="24"/>
      <c r="I105" s="24"/>
      <c r="J105" s="24"/>
      <c r="K105" s="24"/>
      <c r="L105" s="24"/>
      <c r="M105" s="24"/>
      <c r="N105" s="24"/>
      <c r="O105" s="24"/>
      <c r="P105" s="24"/>
      <c r="Q105" s="24"/>
    </row>
    <row r="106" spans="1:17" ht="36">
      <c r="A106" s="148">
        <v>43565</v>
      </c>
      <c r="C106" s="19" t="s">
        <v>1190</v>
      </c>
      <c r="D106" s="19" t="s">
        <v>1191</v>
      </c>
    </row>
    <row r="107" spans="1:17" ht="24">
      <c r="A107" s="148">
        <v>43566</v>
      </c>
      <c r="C107" s="19" t="s">
        <v>1194</v>
      </c>
      <c r="D107" s="19" t="s">
        <v>1195</v>
      </c>
    </row>
    <row r="108" spans="1:17" ht="24">
      <c r="A108" s="148"/>
      <c r="C108" s="19"/>
      <c r="D108" s="19" t="s">
        <v>1196</v>
      </c>
    </row>
    <row r="109" spans="1:17" ht="36">
      <c r="A109" s="148">
        <v>43578</v>
      </c>
      <c r="B109" s="223"/>
      <c r="C109" s="222" t="s">
        <v>1197</v>
      </c>
      <c r="D109" s="222" t="s">
        <v>1426</v>
      </c>
    </row>
    <row r="110" spans="1:17" ht="24">
      <c r="A110" s="148">
        <v>43579</v>
      </c>
      <c r="C110" s="19" t="s">
        <v>1199</v>
      </c>
      <c r="D110" s="19" t="s">
        <v>1200</v>
      </c>
    </row>
    <row r="111" spans="1:17">
      <c r="A111" s="148"/>
      <c r="C111" s="19"/>
    </row>
    <row r="112" spans="1:17" s="291" customFormat="1" ht="13">
      <c r="A112" s="250" t="s">
        <v>1225</v>
      </c>
      <c r="B112" s="240"/>
      <c r="C112" s="240"/>
      <c r="D112" s="241"/>
    </row>
    <row r="113" spans="1:4" ht="27" customHeight="1">
      <c r="A113" s="148">
        <v>43671</v>
      </c>
      <c r="B113" s="133" t="s">
        <v>219</v>
      </c>
      <c r="C113" s="19" t="s">
        <v>927</v>
      </c>
      <c r="D113" s="406" t="s">
        <v>1376</v>
      </c>
    </row>
    <row r="114" spans="1:4" ht="69" customHeight="1">
      <c r="A114" s="148" t="s">
        <v>1382</v>
      </c>
      <c r="B114" s="133" t="s">
        <v>265</v>
      </c>
      <c r="C114" s="19" t="s">
        <v>927</v>
      </c>
      <c r="D114" s="19" t="s">
        <v>1409</v>
      </c>
    </row>
    <row r="115" spans="1:4" ht="24">
      <c r="A115" s="148">
        <v>43703</v>
      </c>
      <c r="B115" s="133" t="s">
        <v>265</v>
      </c>
      <c r="C115" s="19" t="s">
        <v>1384</v>
      </c>
      <c r="D115" s="19" t="s">
        <v>1396</v>
      </c>
    </row>
    <row r="116" spans="1:4" ht="25.75" customHeight="1">
      <c r="A116" s="148">
        <v>43732</v>
      </c>
      <c r="B116" s="133" t="s">
        <v>265</v>
      </c>
      <c r="C116" s="19" t="s">
        <v>1395</v>
      </c>
      <c r="D116" s="19" t="s">
        <v>1397</v>
      </c>
    </row>
    <row r="117" spans="1:4" ht="53.4" customHeight="1">
      <c r="A117" s="148">
        <v>43733</v>
      </c>
      <c r="B117" s="133" t="s">
        <v>265</v>
      </c>
      <c r="C117" s="19" t="s">
        <v>1403</v>
      </c>
      <c r="D117" s="19" t="s">
        <v>1404</v>
      </c>
    </row>
    <row r="118" spans="1:4" s="478" customFormat="1" ht="36">
      <c r="A118" s="148">
        <v>43740</v>
      </c>
      <c r="B118" s="476" t="s">
        <v>265</v>
      </c>
      <c r="C118" s="477" t="s">
        <v>1427</v>
      </c>
      <c r="D118" s="477" t="s">
        <v>1428</v>
      </c>
    </row>
    <row r="119" spans="1:4" s="425" customFormat="1" ht="24">
      <c r="A119" s="148">
        <v>43753</v>
      </c>
      <c r="B119" s="424" t="s">
        <v>265</v>
      </c>
      <c r="C119" s="423" t="s">
        <v>1438</v>
      </c>
      <c r="D119" s="423" t="s">
        <v>1453</v>
      </c>
    </row>
    <row r="120" spans="1:4" s="504" customFormat="1" ht="39" customHeight="1">
      <c r="A120" s="148">
        <v>43759</v>
      </c>
      <c r="B120" s="502" t="s">
        <v>265</v>
      </c>
      <c r="C120" s="503" t="s">
        <v>1451</v>
      </c>
      <c r="D120" s="503" t="s">
        <v>1478</v>
      </c>
    </row>
    <row r="121" spans="1:4" s="504" customFormat="1" ht="48">
      <c r="A121" s="148">
        <v>43759</v>
      </c>
      <c r="B121" s="502" t="s">
        <v>265</v>
      </c>
      <c r="C121" s="503" t="s">
        <v>1452</v>
      </c>
      <c r="D121" s="503" t="s">
        <v>1456</v>
      </c>
    </row>
    <row r="122" spans="1:4" s="487" customFormat="1" ht="36">
      <c r="A122" s="148">
        <v>43760</v>
      </c>
      <c r="B122" s="485" t="s">
        <v>265</v>
      </c>
      <c r="C122" s="486" t="s">
        <v>1398</v>
      </c>
      <c r="D122" s="486" t="s">
        <v>1480</v>
      </c>
    </row>
    <row r="123" spans="1:4" s="521" customFormat="1" ht="23.4" customHeight="1">
      <c r="A123" s="148">
        <v>43761</v>
      </c>
      <c r="B123" s="520" t="s">
        <v>265</v>
      </c>
      <c r="C123" s="519" t="s">
        <v>1479</v>
      </c>
      <c r="D123" s="519" t="s">
        <v>1481</v>
      </c>
    </row>
    <row r="124" spans="1:4" s="528" customFormat="1" ht="46.75" customHeight="1">
      <c r="A124" s="148">
        <v>43763</v>
      </c>
      <c r="B124" s="527" t="s">
        <v>265</v>
      </c>
      <c r="C124" s="526" t="s">
        <v>1485</v>
      </c>
      <c r="D124" s="530" t="s">
        <v>1496</v>
      </c>
    </row>
    <row r="125" spans="1:4" s="528" customFormat="1" ht="26.4" customHeight="1">
      <c r="A125" s="148">
        <v>43763</v>
      </c>
      <c r="B125" s="527" t="s">
        <v>265</v>
      </c>
      <c r="C125" s="526" t="s">
        <v>1486</v>
      </c>
      <c r="D125" s="526" t="s">
        <v>1487</v>
      </c>
    </row>
    <row r="126" spans="1:4" s="536" customFormat="1" ht="26.4" customHeight="1">
      <c r="A126" s="148">
        <v>43770</v>
      </c>
      <c r="B126" s="534" t="s">
        <v>265</v>
      </c>
      <c r="C126" s="535" t="s">
        <v>1494</v>
      </c>
      <c r="D126" s="535" t="s">
        <v>1495</v>
      </c>
    </row>
    <row r="127" spans="1:4">
      <c r="A127" s="148"/>
      <c r="C127" s="19"/>
    </row>
    <row r="128" spans="1:4" ht="14.5">
      <c r="A128" s="134" t="s">
        <v>240</v>
      </c>
      <c r="B128" s="135"/>
      <c r="C128" s="21"/>
      <c r="D128" s="28"/>
    </row>
  </sheetData>
  <mergeCells count="1">
    <mergeCell ref="C72:C7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F9"/>
  <sheetViews>
    <sheetView workbookViewId="0"/>
  </sheetViews>
  <sheetFormatPr defaultRowHeight="12"/>
  <cols>
    <col min="1" max="1" width="3.109375" customWidth="1"/>
    <col min="2" max="7" width="10.88671875" customWidth="1"/>
    <col min="8" max="10" width="12.44140625" customWidth="1"/>
  </cols>
  <sheetData>
    <row r="1" spans="2:6" ht="26.15" customHeight="1">
      <c r="B1" s="281" t="s">
        <v>933</v>
      </c>
    </row>
    <row r="2" spans="2:6" s="120" customFormat="1" ht="14.15" customHeight="1">
      <c r="B2" s="122"/>
    </row>
    <row r="3" spans="2:6" ht="12.5" thickBot="1">
      <c r="B3" s="66" t="s">
        <v>441</v>
      </c>
    </row>
    <row r="4" spans="2:6">
      <c r="B4" s="67" t="s">
        <v>350</v>
      </c>
    </row>
    <row r="5" spans="2:6" ht="12.5" thickBot="1">
      <c r="B5" s="68" t="s">
        <v>307</v>
      </c>
    </row>
    <row r="9" spans="2:6" s="40" customFormat="1">
      <c r="B9"/>
      <c r="C9"/>
      <c r="D9"/>
      <c r="E9"/>
      <c r="F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26"/>
  <dimension ref="A1:AG126"/>
  <sheetViews>
    <sheetView workbookViewId="0">
      <selection activeCell="B2" sqref="B2"/>
    </sheetView>
  </sheetViews>
  <sheetFormatPr defaultRowHeight="12"/>
  <cols>
    <col min="1" max="1" width="18.44140625" customWidth="1"/>
    <col min="2" max="2" width="8.6640625" customWidth="1"/>
    <col min="3" max="3" width="9.33203125" customWidth="1"/>
  </cols>
  <sheetData>
    <row r="1" spans="1:33" s="214" customFormat="1" ht="26.15" customHeight="1">
      <c r="A1" s="260" t="s">
        <v>1423</v>
      </c>
    </row>
    <row r="2" spans="1:33" s="252" customFormat="1" ht="12.9" customHeight="1"/>
    <row r="3" spans="1:33" s="220" customFormat="1" ht="13">
      <c r="A3" s="252" t="s">
        <v>1215</v>
      </c>
      <c r="C3" s="283">
        <f>ramps!C8</f>
        <v>10</v>
      </c>
      <c r="D3" s="283">
        <f>ramps!D8</f>
        <v>13</v>
      </c>
      <c r="E3" s="283">
        <f>ramps!E8</f>
        <v>16</v>
      </c>
      <c r="F3" s="283">
        <f>ramps!F8</f>
        <v>19</v>
      </c>
      <c r="G3" s="283">
        <f>ramps!G8</f>
        <v>22</v>
      </c>
      <c r="H3" s="283">
        <f>ramps!H8</f>
        <v>25</v>
      </c>
      <c r="I3" s="283">
        <f>ramps!I8</f>
        <v>28</v>
      </c>
      <c r="J3" s="283">
        <f>ramps!J8</f>
        <v>31</v>
      </c>
      <c r="K3" s="283">
        <f>ramps!K8</f>
        <v>34</v>
      </c>
      <c r="L3" s="283">
        <f>ramps!L8</f>
        <v>37</v>
      </c>
      <c r="M3" s="283">
        <f>ramps!M8</f>
        <v>40</v>
      </c>
      <c r="N3" s="283">
        <f>ramps!N8</f>
        <v>43</v>
      </c>
      <c r="O3" s="283">
        <f>ramps!O8</f>
        <v>46</v>
      </c>
      <c r="P3" s="283">
        <f>ramps!P8</f>
        <v>49</v>
      </c>
      <c r="Q3" s="283">
        <f>ramps!Q8</f>
        <v>50</v>
      </c>
      <c r="R3" s="283">
        <f>ramps!R8</f>
        <v>50</v>
      </c>
      <c r="S3" s="283">
        <f>ramps!S8</f>
        <v>50</v>
      </c>
      <c r="T3" s="283">
        <f>ramps!T8</f>
        <v>50</v>
      </c>
      <c r="U3" s="283">
        <f>ramps!U8</f>
        <v>50</v>
      </c>
      <c r="V3" s="283">
        <f>ramps!V8</f>
        <v>50</v>
      </c>
      <c r="W3" s="283">
        <f>ramps!W8</f>
        <v>50</v>
      </c>
      <c r="X3" s="283">
        <f>ramps!X8</f>
        <v>50</v>
      </c>
      <c r="Y3" s="283">
        <f>ramps!Y8</f>
        <v>50</v>
      </c>
      <c r="Z3" s="283">
        <f>ramps!Z8</f>
        <v>50</v>
      </c>
      <c r="AA3" s="283">
        <f>ramps!AA8</f>
        <v>50</v>
      </c>
      <c r="AB3" s="283">
        <f>ramps!AB8</f>
        <v>50</v>
      </c>
      <c r="AC3" s="283">
        <f>ramps!AC8</f>
        <v>50</v>
      </c>
      <c r="AD3" s="283">
        <f>ramps!AD8</f>
        <v>50</v>
      </c>
      <c r="AE3" s="283">
        <f>ramps!AE8</f>
        <v>50</v>
      </c>
      <c r="AF3" s="283">
        <f>ramps!AF8</f>
        <v>50</v>
      </c>
      <c r="AG3" s="283">
        <f>ramps!AG8</f>
        <v>50</v>
      </c>
    </row>
    <row r="4" spans="1:33" s="220" customFormat="1" ht="14.5">
      <c r="A4" s="219"/>
      <c r="C4" s="221"/>
      <c r="D4" s="221"/>
      <c r="E4" s="221"/>
      <c r="F4" s="221"/>
      <c r="G4" s="221"/>
      <c r="H4" s="221"/>
      <c r="I4" s="221"/>
      <c r="J4" s="221"/>
      <c r="K4" s="221"/>
      <c r="L4" s="221"/>
      <c r="M4" s="221"/>
      <c r="N4" s="221"/>
      <c r="O4" s="221"/>
      <c r="P4" s="221"/>
      <c r="Q4" s="221"/>
      <c r="R4" s="221"/>
      <c r="S4" s="221"/>
      <c r="T4" s="221"/>
      <c r="U4" s="221"/>
      <c r="V4" s="221"/>
      <c r="W4" s="221"/>
    </row>
    <row r="5" spans="1:33" ht="13">
      <c r="A5" s="250" t="s">
        <v>1279</v>
      </c>
      <c r="B5" s="240"/>
      <c r="C5" s="240"/>
      <c r="D5" s="240"/>
      <c r="E5" s="240"/>
      <c r="F5" s="240"/>
      <c r="G5" s="240"/>
      <c r="H5" s="240"/>
      <c r="I5" s="240"/>
      <c r="J5" s="240"/>
      <c r="K5" s="240"/>
      <c r="L5" s="240"/>
      <c r="M5" s="240"/>
      <c r="N5" s="240"/>
      <c r="O5" s="240"/>
      <c r="P5" s="240"/>
      <c r="Q5" s="240"/>
      <c r="R5" s="240"/>
      <c r="S5" s="240"/>
      <c r="T5" s="240"/>
      <c r="U5" s="240"/>
      <c r="V5" s="240"/>
      <c r="W5" s="241"/>
      <c r="X5" s="240"/>
      <c r="Y5" s="240"/>
      <c r="Z5" s="240"/>
      <c r="AA5" s="240"/>
      <c r="AB5" s="240"/>
      <c r="AC5" s="240"/>
      <c r="AD5" s="240"/>
      <c r="AE5" s="240"/>
      <c r="AF5" s="240"/>
      <c r="AG5" s="240"/>
    </row>
    <row r="6" spans="1:33">
      <c r="A6" s="554" t="s">
        <v>1187</v>
      </c>
      <c r="B6" s="554"/>
      <c r="C6" s="242">
        <v>2020</v>
      </c>
      <c r="D6" s="242">
        <v>2021</v>
      </c>
      <c r="E6" s="242">
        <v>2022</v>
      </c>
      <c r="F6" s="242">
        <v>2023</v>
      </c>
      <c r="G6" s="242">
        <v>2024</v>
      </c>
      <c r="H6" s="242">
        <v>2025</v>
      </c>
      <c r="I6" s="242">
        <v>2026</v>
      </c>
      <c r="J6" s="242">
        <v>2027</v>
      </c>
      <c r="K6" s="242">
        <v>2028</v>
      </c>
      <c r="L6" s="242">
        <v>2029</v>
      </c>
      <c r="M6" s="242">
        <v>2030</v>
      </c>
      <c r="N6" s="242">
        <v>2031</v>
      </c>
      <c r="O6" s="242">
        <v>2032</v>
      </c>
      <c r="P6" s="242">
        <v>2033</v>
      </c>
      <c r="Q6" s="242">
        <v>2034</v>
      </c>
      <c r="R6" s="242">
        <v>2035</v>
      </c>
      <c r="S6" s="242">
        <v>2036</v>
      </c>
      <c r="T6" s="242">
        <v>2037</v>
      </c>
      <c r="U6" s="242">
        <v>2038</v>
      </c>
      <c r="V6" s="242">
        <v>2039</v>
      </c>
      <c r="W6" s="242">
        <v>2040</v>
      </c>
      <c r="X6" s="375">
        <v>2041</v>
      </c>
      <c r="Y6" s="375">
        <v>2042</v>
      </c>
      <c r="Z6" s="375">
        <v>2043</v>
      </c>
      <c r="AA6" s="375">
        <v>2044</v>
      </c>
      <c r="AB6" s="375">
        <v>2045</v>
      </c>
      <c r="AC6" s="375">
        <v>2046</v>
      </c>
      <c r="AD6" s="375">
        <v>2047</v>
      </c>
      <c r="AE6" s="375">
        <v>2048</v>
      </c>
      <c r="AF6" s="375">
        <v>2049</v>
      </c>
      <c r="AG6" s="375">
        <v>2050</v>
      </c>
    </row>
    <row r="7" spans="1:33">
      <c r="A7" t="s">
        <v>1166</v>
      </c>
      <c r="C7" s="274">
        <f>'Baseline Price'!Q8*parameters!$B86</f>
        <v>3.859358265</v>
      </c>
      <c r="D7" s="274">
        <f>'Baseline Price'!R8*parameters!$B86</f>
        <v>4.0443035400000005</v>
      </c>
      <c r="E7" s="274">
        <f>'Baseline Price'!S8*parameters!$B86</f>
        <v>4.2211894500000007</v>
      </c>
      <c r="F7" s="274">
        <f>'Baseline Price'!T8*parameters!$B86</f>
        <v>4.3652676599999998</v>
      </c>
      <c r="G7" s="274">
        <f>'Baseline Price'!U8*parameters!$B86</f>
        <v>4.5113495400000003</v>
      </c>
      <c r="H7" s="274">
        <f>'Baseline Price'!V8*parameters!$B86</f>
        <v>4.658121135</v>
      </c>
      <c r="I7" s="274">
        <f>'Baseline Price'!W8*parameters!$B86</f>
        <v>4.7882622150000005</v>
      </c>
      <c r="J7" s="274">
        <f>'Baseline Price'!X8*parameters!$B86</f>
        <v>4.8937942800000007</v>
      </c>
      <c r="K7" s="274">
        <f>'Baseline Price'!Y8*parameters!$B86</f>
        <v>4.9765502250000004</v>
      </c>
      <c r="L7" s="274">
        <f>'Baseline Price'!Z8*parameters!$B86</f>
        <v>5.3518387500000006</v>
      </c>
      <c r="M7" s="274">
        <f>'Baseline Price'!AA8*parameters!$B86</f>
        <v>5.3894355750000003</v>
      </c>
      <c r="N7" s="274">
        <f>'Baseline Price'!AB8*parameters!$B86</f>
        <v>5.461497360000001</v>
      </c>
      <c r="O7" s="274">
        <f>'Baseline Price'!AC8*parameters!$B86</f>
        <v>5.4982064250000002</v>
      </c>
      <c r="P7" s="274">
        <f>'Baseline Price'!AD8*parameters!$B86</f>
        <v>5.5419687</v>
      </c>
      <c r="Q7" s="274">
        <f>'Baseline Price'!AE8*parameters!$B86</f>
        <v>5.5869959250000001</v>
      </c>
      <c r="R7" s="274">
        <f>'Baseline Price'!AF8*parameters!$B86</f>
        <v>5.6292425550000003</v>
      </c>
      <c r="S7" s="274">
        <f>'Baseline Price'!AG8*parameters!$B86</f>
        <v>5.6727294300000004</v>
      </c>
      <c r="T7" s="274">
        <f>'Baseline Price'!AH8*parameters!$B86</f>
        <v>5.708327175</v>
      </c>
      <c r="U7" s="274">
        <f>'Baseline Price'!AI8*parameters!$B86</f>
        <v>5.7367934099999998</v>
      </c>
      <c r="V7" s="274">
        <f>'Baseline Price'!AJ8*parameters!$B86</f>
        <v>5.7628037250000004</v>
      </c>
      <c r="W7" s="274">
        <f>'Baseline Price'!AK8*parameters!$B86</f>
        <v>5.78635812</v>
      </c>
      <c r="X7" s="274">
        <f>'Baseline Price'!AL8*parameters!$B86</f>
        <v>5.8027129650000004</v>
      </c>
      <c r="Y7" s="274">
        <f>'Baseline Price'!AM8*parameters!$B86</f>
        <v>5.8202837550000011</v>
      </c>
      <c r="Z7" s="274">
        <f>'Baseline Price'!AN8*parameters!$B86</f>
        <v>5.8388385600000001</v>
      </c>
      <c r="AA7" s="274">
        <f>'Baseline Price'!AO8*parameters!$B86</f>
        <v>5.8567564350000003</v>
      </c>
      <c r="AB7" s="274">
        <f>'Baseline Price'!AP8*parameters!$B86</f>
        <v>5.8699723950000005</v>
      </c>
      <c r="AC7" s="274">
        <f>'Baseline Price'!AQ8*parameters!$B86</f>
        <v>5.8776456600000007</v>
      </c>
      <c r="AD7" s="274">
        <f>'Baseline Price'!AR8*parameters!$B86</f>
        <v>5.8815930600000002</v>
      </c>
      <c r="AE7" s="274">
        <f>'Baseline Price'!AS8*parameters!$B86</f>
        <v>5.8830792750000001</v>
      </c>
      <c r="AF7" s="274">
        <f>'Baseline Price'!AT8*parameters!$B86</f>
        <v>5.8774094100000003</v>
      </c>
      <c r="AG7" s="274">
        <f>'Baseline Price'!AU8*parameters!$B86</f>
        <v>5.8627899900000005</v>
      </c>
    </row>
    <row r="8" spans="1:33">
      <c r="A8" s="214" t="s">
        <v>1053</v>
      </c>
      <c r="B8" s="214"/>
      <c r="C8" s="268">
        <v>1.1971395</v>
      </c>
      <c r="D8" s="268">
        <v>1.1630845000000001</v>
      </c>
      <c r="E8" s="268">
        <v>1.1380216999999999</v>
      </c>
      <c r="F8" s="268">
        <v>1.1209633999999999</v>
      </c>
      <c r="G8" s="268">
        <v>1.1029769999999999</v>
      </c>
      <c r="H8" s="268">
        <v>1.1248926000000001</v>
      </c>
      <c r="I8" s="268">
        <v>1.1379861999999998</v>
      </c>
      <c r="J8" s="268">
        <v>1.1423485</v>
      </c>
      <c r="K8" s="268">
        <v>1.1505354000000001</v>
      </c>
      <c r="L8" s="268">
        <v>1.3708961</v>
      </c>
      <c r="M8" s="268">
        <v>1.3769282999999999</v>
      </c>
      <c r="N8" s="268">
        <v>1.4109346999999999</v>
      </c>
      <c r="O8" s="268">
        <v>1.4221469</v>
      </c>
      <c r="P8" s="268">
        <v>1.4314842999999999</v>
      </c>
      <c r="Q8" s="268">
        <v>1.4380561000000001</v>
      </c>
      <c r="R8" s="268">
        <v>1.4443552</v>
      </c>
      <c r="S8" s="268">
        <v>1.4509767999999998</v>
      </c>
      <c r="T8" s="268">
        <v>1.4567409</v>
      </c>
      <c r="U8" s="268">
        <v>1.4599546000000001</v>
      </c>
      <c r="V8" s="268">
        <v>1.4637878</v>
      </c>
      <c r="W8" s="268">
        <v>1.4706718999999999</v>
      </c>
      <c r="X8" s="268">
        <v>1.4735201999999998</v>
      </c>
      <c r="Y8" s="268">
        <v>1.4787333</v>
      </c>
      <c r="Z8" s="268">
        <v>1.4861799</v>
      </c>
      <c r="AA8" s="268">
        <v>1.4948676000000001</v>
      </c>
      <c r="AB8" s="268">
        <v>1.5048656</v>
      </c>
      <c r="AC8" s="268">
        <v>1.5131308999999999</v>
      </c>
      <c r="AD8" s="268">
        <v>1.5234745999999999</v>
      </c>
      <c r="AE8" s="268">
        <v>1.5360277999999998</v>
      </c>
      <c r="AF8" s="268">
        <v>1.5482372</v>
      </c>
      <c r="AG8" s="268">
        <v>1.5578808</v>
      </c>
    </row>
    <row r="9" spans="1:33" s="217" customFormat="1">
      <c r="A9" s="217" t="s">
        <v>857</v>
      </c>
      <c r="C9" s="268">
        <f>'Baseline Price'!Q11*100/mmBtuTOkWh</f>
        <v>9.0824904468847407</v>
      </c>
      <c r="D9" s="268">
        <f>'Baseline Price'!R11*100/mmBtuTOkWh</f>
        <v>8.7486713232129745</v>
      </c>
      <c r="E9" s="268">
        <f>'Baseline Price'!S11*100/mmBtuTOkWh</f>
        <v>8.9530688933190294</v>
      </c>
      <c r="F9" s="268">
        <f>'Baseline Price'!T11*100/mmBtuTOkWh</f>
        <v>9.2955734775093752</v>
      </c>
      <c r="G9" s="268">
        <f>'Baseline Price'!U11*100/mmBtuTOkWh</f>
        <v>9.4124083128516531</v>
      </c>
      <c r="H9" s="268">
        <f>'Baseline Price'!V11*100/mmBtuTOkWh</f>
        <v>9.7243214459170311</v>
      </c>
      <c r="I9" s="268">
        <f>'Baseline Price'!W11*100/mmBtuTOkWh</f>
        <v>10.092580073691831</v>
      </c>
      <c r="J9" s="268">
        <f>'Baseline Price'!X11*100/mmBtuTOkWh</f>
        <v>10.23970359992806</v>
      </c>
      <c r="K9" s="268">
        <f>'Baseline Price'!Y11*100/mmBtuTOkWh</f>
        <v>10.362903367407378</v>
      </c>
      <c r="L9" s="268">
        <f>'Baseline Price'!Z11*100/mmBtuTOkWh</f>
        <v>10.547381256707199</v>
      </c>
      <c r="M9" s="268">
        <f>'Baseline Price'!AA11*100/mmBtuTOkWh</f>
        <v>10.745507847467568</v>
      </c>
      <c r="N9" s="268">
        <f>'Baseline Price'!AB11*100/mmBtuTOkWh</f>
        <v>10.956653128161737</v>
      </c>
      <c r="O9" s="268">
        <f>'Baseline Price'!AC11*100/mmBtuTOkWh</f>
        <v>11.149547076268297</v>
      </c>
      <c r="P9" s="268">
        <f>'Baseline Price'!AD11*100/mmBtuTOkWh</f>
        <v>11.265815027914419</v>
      </c>
      <c r="Q9" s="268">
        <f>'Baseline Price'!AE11*100/mmBtuTOkWh</f>
        <v>11.37930831083248</v>
      </c>
      <c r="R9" s="268">
        <f>'Baseline Price'!AF11*100/mmBtuTOkWh</f>
        <v>11.50178094704567</v>
      </c>
      <c r="S9" s="268">
        <f>'Baseline Price'!AG11*100/mmBtuTOkWh</f>
        <v>11.686215132462772</v>
      </c>
      <c r="T9" s="268">
        <f>'Baseline Price'!AH11*100/mmBtuTOkWh</f>
        <v>11.825152520318749</v>
      </c>
      <c r="U9" s="268">
        <f>'Baseline Price'!AI11*100/mmBtuTOkWh</f>
        <v>11.895987857883682</v>
      </c>
      <c r="V9" s="268">
        <f>'Baseline Price'!AJ11*100/mmBtuTOkWh</f>
        <v>11.956755045423106</v>
      </c>
      <c r="W9" s="268">
        <f>'Baseline Price'!AK11*100/mmBtuTOkWh</f>
        <v>12.004788779480689</v>
      </c>
      <c r="X9" s="268">
        <f>'Baseline Price'!AL11*100/mmBtuTOkWh</f>
        <v>12.106285663286842</v>
      </c>
      <c r="Y9" s="268">
        <f>'Baseline Price'!AM11*100/mmBtuTOkWh</f>
        <v>12.216574417065148</v>
      </c>
      <c r="Z9" s="268">
        <f>'Baseline Price'!AN11*100/mmBtuTOkWh</f>
        <v>12.275115451274127</v>
      </c>
      <c r="AA9" s="268">
        <f>'Baseline Price'!AO11*100/mmBtuTOkWh</f>
        <v>12.350029395633216</v>
      </c>
      <c r="AB9" s="268">
        <f>'Baseline Price'!AP11*100/mmBtuTOkWh</f>
        <v>12.456990742688477</v>
      </c>
      <c r="AC9" s="268">
        <f>'Baseline Price'!AQ11*100/mmBtuTOkWh</f>
        <v>12.564247038169633</v>
      </c>
      <c r="AD9" s="268">
        <f>'Baseline Price'!AR11*100/mmBtuTOkWh</f>
        <v>12.645891802727377</v>
      </c>
      <c r="AE9" s="268">
        <f>'Baseline Price'!AS11*100/mmBtuTOkWh</f>
        <v>12.727678235426694</v>
      </c>
      <c r="AF9" s="268">
        <f>'Baseline Price'!AT11*100/mmBtuTOkWh</f>
        <v>12.791811044195313</v>
      </c>
      <c r="AG9" s="268">
        <f>'Baseline Price'!AU11*100/mmBtuTOkWh</f>
        <v>12.831115191591861</v>
      </c>
    </row>
    <row r="10" spans="1:33" s="214" customFormat="1">
      <c r="A10" s="214" t="s">
        <v>1167</v>
      </c>
      <c r="C10" s="284">
        <f>'Baseline Price'!Q15*parameters!$B86</f>
        <v>2.7977838750000004</v>
      </c>
      <c r="D10" s="284">
        <f>'Baseline Price'!R15*parameters!$B86</f>
        <v>2.8427714100000006</v>
      </c>
      <c r="E10" s="284">
        <f>'Baseline Price'!S15*parameters!$B86</f>
        <v>2.9200795650000004</v>
      </c>
      <c r="F10" s="284">
        <f>'Baseline Price'!T15*parameters!$B86</f>
        <v>2.9752701300000002</v>
      </c>
      <c r="G10" s="284">
        <f>'Baseline Price'!U15*parameters!$B86</f>
        <v>3.0492107100000005</v>
      </c>
      <c r="H10" s="284">
        <f>'Baseline Price'!V15*parameters!$B86</f>
        <v>3.127153635</v>
      </c>
      <c r="I10" s="284">
        <f>'Baseline Price'!W15*parameters!$B86</f>
        <v>3.187743255</v>
      </c>
      <c r="J10" s="284">
        <f>'Baseline Price'!X15*parameters!$B86</f>
        <v>3.2291968950000003</v>
      </c>
      <c r="K10" s="284">
        <f>'Baseline Price'!Y15*parameters!$B86</f>
        <v>3.25811457</v>
      </c>
      <c r="L10" s="284">
        <f>'Baseline Price'!Z15*parameters!$B86</f>
        <v>3.5369042849999999</v>
      </c>
      <c r="M10" s="284">
        <f>'Baseline Price'!AA15*parameters!$B86</f>
        <v>3.5443973250000003</v>
      </c>
      <c r="N10" s="284">
        <f>'Baseline Price'!AB15*parameters!$B86</f>
        <v>3.5882426249999999</v>
      </c>
      <c r="O10" s="284">
        <f>'Baseline Price'!AC15*parameters!$B86</f>
        <v>3.6109616400000002</v>
      </c>
      <c r="P10" s="284">
        <f>'Baseline Price'!AD15*parameters!$B86</f>
        <v>3.6387311400000004</v>
      </c>
      <c r="Q10" s="284">
        <f>'Baseline Price'!AE15*parameters!$B86</f>
        <v>3.6647401049999999</v>
      </c>
      <c r="R10" s="284">
        <f>'Baseline Price'!AF15*parameters!$B86</f>
        <v>3.6866835450000002</v>
      </c>
      <c r="S10" s="284">
        <f>'Baseline Price'!AG15*parameters!$B86</f>
        <v>3.7105782750000005</v>
      </c>
      <c r="T10" s="284">
        <f>'Baseline Price'!AH15*parameters!$B86</f>
        <v>3.7262295000000005</v>
      </c>
      <c r="U10" s="284">
        <f>'Baseline Price'!AI15*parameters!$B86</f>
        <v>3.7374821550000004</v>
      </c>
      <c r="V10" s="284">
        <f>'Baseline Price'!AJ15*parameters!$B86</f>
        <v>3.7495691100000004</v>
      </c>
      <c r="W10" s="284">
        <f>'Baseline Price'!AK15*parameters!$B86</f>
        <v>3.7608657750000001</v>
      </c>
      <c r="X10" s="284">
        <f>'Baseline Price'!AL15*parameters!$B86</f>
        <v>3.7662534900000004</v>
      </c>
      <c r="Y10" s="284">
        <f>'Baseline Price'!AM15*parameters!$B86</f>
        <v>3.7758436200000003</v>
      </c>
      <c r="Z10" s="284">
        <f>'Baseline Price'!AN15*parameters!$B86</f>
        <v>3.7867470300000003</v>
      </c>
      <c r="AA10" s="284">
        <f>'Baseline Price'!AO15*parameters!$B86</f>
        <v>3.7967645700000006</v>
      </c>
      <c r="AB10" s="284">
        <f>'Baseline Price'!AP15*parameters!$B86</f>
        <v>3.8022529949999999</v>
      </c>
      <c r="AC10" s="284">
        <f>'Baseline Price'!AQ15*parameters!$B86</f>
        <v>3.8039531850000001</v>
      </c>
      <c r="AD10" s="284">
        <f>'Baseline Price'!AR15*parameters!$B86</f>
        <v>3.8043837000000003</v>
      </c>
      <c r="AE10" s="284">
        <f>'Baseline Price'!AS15*parameters!$B86</f>
        <v>3.804215895</v>
      </c>
      <c r="AF10" s="284">
        <f>'Baseline Price'!AT15*parameters!$B86</f>
        <v>3.7983203100000003</v>
      </c>
      <c r="AG10" s="284">
        <f>'Baseline Price'!AU15*parameters!$B86</f>
        <v>3.786362145</v>
      </c>
    </row>
    <row r="11" spans="1:33" s="214" customFormat="1">
      <c r="A11" s="214" t="s">
        <v>1180</v>
      </c>
      <c r="C11" s="268">
        <f>'Baseline Price'!Q16*parameters!$B83</f>
        <v>3.2691208569600003</v>
      </c>
      <c r="D11" s="268">
        <f>'Baseline Price'!R16*parameters!$B83</f>
        <v>3.1826515495000001</v>
      </c>
      <c r="E11" s="268">
        <f>'Baseline Price'!S16*parameters!$B83</f>
        <v>3.0748942493800002</v>
      </c>
      <c r="F11" s="268">
        <f>'Baseline Price'!T16*parameters!$B83</f>
        <v>3.0236958831199998</v>
      </c>
      <c r="G11" s="268">
        <f>'Baseline Price'!U16*parameters!$B83</f>
        <v>3.0288701634400002</v>
      </c>
      <c r="H11" s="268">
        <f>'Baseline Price'!V16*parameters!$B83</f>
        <v>3.1022696872200002</v>
      </c>
      <c r="I11" s="268">
        <f>'Baseline Price'!W16*parameters!$B83</f>
        <v>3.1637778729600003</v>
      </c>
      <c r="J11" s="268">
        <f>'Baseline Price'!X16*parameters!$B83</f>
        <v>3.2545179124800003</v>
      </c>
      <c r="K11" s="268">
        <f>'Baseline Price'!Y16*parameters!$B83</f>
        <v>3.2901001567599999</v>
      </c>
      <c r="L11" s="268">
        <f>'Baseline Price'!Z16*parameters!$B83</f>
        <v>3.6714887427999998</v>
      </c>
      <c r="M11" s="268">
        <f>'Baseline Price'!AA16*parameters!$B83</f>
        <v>3.6937849672800001</v>
      </c>
      <c r="N11" s="268">
        <f>'Baseline Price'!AB16*parameters!$B83</f>
        <v>3.7687007541199997</v>
      </c>
      <c r="O11" s="268">
        <f>'Baseline Price'!AC16*parameters!$B83</f>
        <v>3.8127299450800001</v>
      </c>
      <c r="P11" s="268">
        <f>'Baseline Price'!AD16*parameters!$B83</f>
        <v>3.8454291326800001</v>
      </c>
      <c r="Q11" s="268">
        <f>'Baseline Price'!AE16*parameters!$B83</f>
        <v>3.85731332696</v>
      </c>
      <c r="R11" s="268">
        <f>'Baseline Price'!AF16*parameters!$B83</f>
        <v>3.8914620109400002</v>
      </c>
      <c r="S11" s="268">
        <f>'Baseline Price'!AG16*parameters!$B83</f>
        <v>3.9378243264399999</v>
      </c>
      <c r="T11" s="268">
        <f>'Baseline Price'!AH16*parameters!$B83</f>
        <v>3.9311887350600001</v>
      </c>
      <c r="U11" s="268">
        <f>'Baseline Price'!AI16*parameters!$B83</f>
        <v>3.9562234924599999</v>
      </c>
      <c r="V11" s="268">
        <f>'Baseline Price'!AJ16*parameters!$B83</f>
        <v>3.9780810625999998</v>
      </c>
      <c r="W11" s="268">
        <f>'Baseline Price'!AK16*parameters!$B83</f>
        <v>3.9918888516400002</v>
      </c>
      <c r="X11" s="268">
        <f>'Baseline Price'!AL16*parameters!$B83</f>
        <v>3.9984925708599999</v>
      </c>
      <c r="Y11" s="268">
        <f>'Baseline Price'!AM16*parameters!$B83</f>
        <v>4.0295159972199999</v>
      </c>
      <c r="Z11" s="268">
        <f>'Baseline Price'!AN16*parameters!$B83</f>
        <v>4.03115054446</v>
      </c>
      <c r="AA11" s="268">
        <f>'Baseline Price'!AO16*parameters!$B83</f>
        <v>4.0159802205800004</v>
      </c>
      <c r="AB11" s="268">
        <f>'Baseline Price'!AP16*parameters!$B83</f>
        <v>4.0204310578200007</v>
      </c>
      <c r="AC11" s="268">
        <f>'Baseline Price'!AQ16*parameters!$B83</f>
        <v>4.0121113250200002</v>
      </c>
      <c r="AD11" s="268">
        <f>'Baseline Price'!AR16*parameters!$B83</f>
        <v>3.9982838906400002</v>
      </c>
      <c r="AE11" s="268">
        <f>'Baseline Price'!AS16*parameters!$B83</f>
        <v>4.0042645915600001</v>
      </c>
      <c r="AF11" s="268">
        <f>'Baseline Price'!AT16*parameters!$B83</f>
        <v>3.9968047201800001</v>
      </c>
      <c r="AG11" s="268">
        <f>'Baseline Price'!AU16*parameters!$B83</f>
        <v>3.9940727814999999</v>
      </c>
    </row>
    <row r="12" spans="1:33" s="214" customFormat="1">
      <c r="A12" s="214" t="s">
        <v>1164</v>
      </c>
      <c r="C12" s="268">
        <v>0.89983559999999996</v>
      </c>
      <c r="D12" s="268">
        <v>0.89759429999999996</v>
      </c>
      <c r="E12" s="268">
        <v>0.90340520000000013</v>
      </c>
      <c r="F12" s="268">
        <v>0.91708800000000001</v>
      </c>
      <c r="G12" s="268">
        <v>0.93041149999999995</v>
      </c>
      <c r="H12" s="268">
        <v>0.95073319999999995</v>
      </c>
      <c r="I12" s="268">
        <v>0.9619312000000001</v>
      </c>
      <c r="J12" s="268">
        <v>0.96459609999999996</v>
      </c>
      <c r="K12" s="268">
        <v>0.97137619999999991</v>
      </c>
      <c r="L12" s="268">
        <v>1.1751372</v>
      </c>
      <c r="M12" s="268">
        <v>1.1780252</v>
      </c>
      <c r="N12" s="268">
        <v>1.208018</v>
      </c>
      <c r="O12" s="268">
        <v>1.2178845</v>
      </c>
      <c r="P12" s="268">
        <v>1.2261047</v>
      </c>
      <c r="Q12" s="268">
        <v>1.2317386000000001</v>
      </c>
      <c r="R12" s="268">
        <v>1.2371734000000001</v>
      </c>
      <c r="S12" s="268">
        <v>1.242972</v>
      </c>
      <c r="T12" s="268">
        <v>1.2479036000000001</v>
      </c>
      <c r="U12" s="268">
        <v>1.2504176</v>
      </c>
      <c r="V12" s="268">
        <v>1.2535812</v>
      </c>
      <c r="W12" s="268">
        <v>1.2597868999999999</v>
      </c>
      <c r="X12" s="268">
        <v>1.2619533999999999</v>
      </c>
      <c r="Y12" s="268">
        <v>1.2665647999999998</v>
      </c>
      <c r="Z12" s="268">
        <v>1.2734216</v>
      </c>
      <c r="AA12" s="268">
        <v>1.2814878000000001</v>
      </c>
      <c r="AB12" s="268">
        <v>1.2909482999999999</v>
      </c>
      <c r="AC12" s="268">
        <v>1.2987531999999999</v>
      </c>
      <c r="AD12" s="268">
        <v>1.3086663000000001</v>
      </c>
      <c r="AE12" s="268">
        <v>1.3207453</v>
      </c>
      <c r="AF12" s="268">
        <v>1.3325372</v>
      </c>
      <c r="AG12" s="268">
        <v>1.3418079000000001</v>
      </c>
    </row>
    <row r="13" spans="1:33" s="217" customFormat="1">
      <c r="A13" s="217" t="s">
        <v>1165</v>
      </c>
      <c r="C13" s="268">
        <f>'Baseline Price'!Q19*100/mmBtuTOkWh</f>
        <v>7.8647707208982052</v>
      </c>
      <c r="D13" s="268">
        <f>'Baseline Price'!R19*100/mmBtuTOkWh</f>
        <v>7.6059696495215094</v>
      </c>
      <c r="E13" s="268">
        <f>'Baseline Price'!S19*100/mmBtuTOkWh</f>
        <v>7.9392903569952438</v>
      </c>
      <c r="F13" s="268">
        <f>'Baseline Price'!T19*100/mmBtuTOkWh</f>
        <v>8.142466530468365</v>
      </c>
      <c r="G13" s="268">
        <f>'Baseline Price'!U19*100/mmBtuTOkWh</f>
        <v>8.1932080207758879</v>
      </c>
      <c r="H13" s="268">
        <f>'Baseline Price'!V19*100/mmBtuTOkWh</f>
        <v>8.566204074242151</v>
      </c>
      <c r="I13" s="268">
        <f>'Baseline Price'!W19*100/mmBtuTOkWh</f>
        <v>8.763144756582852</v>
      </c>
      <c r="J13" s="268">
        <f>'Baseline Price'!X19*100/mmBtuTOkWh</f>
        <v>8.818409635817325</v>
      </c>
      <c r="K13" s="268">
        <f>'Baseline Price'!Y19*100/mmBtuTOkWh</f>
        <v>8.8323881459208522</v>
      </c>
      <c r="L13" s="268">
        <f>'Baseline Price'!Z19*100/mmBtuTOkWh</f>
        <v>8.9131515286119622</v>
      </c>
      <c r="M13" s="268">
        <f>'Baseline Price'!AA19*100/mmBtuTOkWh</f>
        <v>9.0377820182874249</v>
      </c>
      <c r="N13" s="268">
        <f>'Baseline Price'!AB19*100/mmBtuTOkWh</f>
        <v>9.1258798752742472</v>
      </c>
      <c r="O13" s="268">
        <f>'Baseline Price'!AC19*100/mmBtuTOkWh</f>
        <v>9.2122811342152868</v>
      </c>
      <c r="P13" s="268">
        <f>'Baseline Price'!AD19*100/mmBtuTOkWh</f>
        <v>9.2168743925371928</v>
      </c>
      <c r="Q13" s="268">
        <f>'Baseline Price'!AE19*100/mmBtuTOkWh</f>
        <v>9.2211350161603516</v>
      </c>
      <c r="R13" s="268">
        <f>'Baseline Price'!AF19*100/mmBtuTOkWh</f>
        <v>9.2422838980901698</v>
      </c>
      <c r="S13" s="268">
        <f>'Baseline Price'!AG19*100/mmBtuTOkWh</f>
        <v>9.3386281558561279</v>
      </c>
      <c r="T13" s="268">
        <f>'Baseline Price'!AH19*100/mmBtuTOkWh</f>
        <v>9.3750814555718254</v>
      </c>
      <c r="U13" s="268">
        <f>'Baseline Price'!AI19*100/mmBtuTOkWh</f>
        <v>9.3522035578077869</v>
      </c>
      <c r="V13" s="268">
        <f>'Baseline Price'!AJ19*100/mmBtuTOkWh</f>
        <v>9.3171005294539491</v>
      </c>
      <c r="W13" s="268">
        <f>'Baseline Price'!AK19*100/mmBtuTOkWh</f>
        <v>9.2649113130665341</v>
      </c>
      <c r="X13" s="268">
        <f>'Baseline Price'!AL19*100/mmBtuTOkWh</f>
        <v>9.2695138336137077</v>
      </c>
      <c r="Y13" s="268">
        <f>'Baseline Price'!AM19*100/mmBtuTOkWh</f>
        <v>9.2665505255862008</v>
      </c>
      <c r="Z13" s="268">
        <f>'Baseline Price'!AN19*100/mmBtuTOkWh</f>
        <v>9.216672435755811</v>
      </c>
      <c r="AA13" s="268">
        <f>'Baseline Price'!AO19*100/mmBtuTOkWh</f>
        <v>9.1748555021992022</v>
      </c>
      <c r="AB13" s="268">
        <f>'Baseline Price'!AP19*100/mmBtuTOkWh</f>
        <v>9.1603852887455943</v>
      </c>
      <c r="AC13" s="268">
        <f>'Baseline Price'!AQ19*100/mmBtuTOkWh</f>
        <v>9.14237026059984</v>
      </c>
      <c r="AD13" s="268">
        <f>'Baseline Price'!AR19*100/mmBtuTOkWh</f>
        <v>9.1015457946159408</v>
      </c>
      <c r="AE13" s="268">
        <f>'Baseline Price'!AS19*100/mmBtuTOkWh</f>
        <v>9.0668676205080807</v>
      </c>
      <c r="AF13" s="268">
        <f>'Baseline Price'!AT19*100/mmBtuTOkWh</f>
        <v>9.0168495905350596</v>
      </c>
      <c r="AG13" s="268">
        <f>'Baseline Price'!AU19*100/mmBtuTOkWh</f>
        <v>8.9493728699905191</v>
      </c>
    </row>
    <row r="14" spans="1:33" s="214" customFormat="1">
      <c r="A14" s="214" t="s">
        <v>1168</v>
      </c>
      <c r="C14" s="284">
        <f>'Baseline Price'!Q34*parameters!$B$83</f>
        <v>2.6003133908200002</v>
      </c>
      <c r="D14" s="284">
        <f>'Baseline Price'!R34*parameters!$B$83</f>
        <v>2.6425437280600002</v>
      </c>
      <c r="E14" s="284">
        <f>'Baseline Price'!S34*parameters!$B$83</f>
        <v>2.6807074799200001</v>
      </c>
      <c r="F14" s="284">
        <f>'Baseline Price'!T34*parameters!$B$83</f>
        <v>2.7124249500399999</v>
      </c>
      <c r="G14" s="284">
        <f>'Baseline Price'!U34*parameters!$B$83</f>
        <v>3.0271536003400001</v>
      </c>
      <c r="H14" s="284">
        <f>'Baseline Price'!V34*parameters!$B$83</f>
        <v>3.03616559096</v>
      </c>
      <c r="I14" s="284">
        <f>'Baseline Price'!W34*parameters!$B$83</f>
        <v>3.0441002476200003</v>
      </c>
      <c r="J14" s="284">
        <f>'Baseline Price'!X34*parameters!$B$83</f>
        <v>3.04981388182</v>
      </c>
      <c r="K14" s="284">
        <f>'Baseline Price'!Y34*parameters!$B$83</f>
        <v>3.0618555135799999</v>
      </c>
      <c r="L14" s="284">
        <f>'Baseline Price'!Z34*parameters!$B$83</f>
        <v>3.1363180838</v>
      </c>
      <c r="M14" s="284">
        <f>'Baseline Price'!AA34*parameters!$B$83</f>
        <v>3.1494097109000001</v>
      </c>
      <c r="N14" s="284">
        <f>'Baseline Price'!AB34*parameters!$B$83</f>
        <v>3.1763785039400001</v>
      </c>
      <c r="O14" s="284">
        <f>'Baseline Price'!AC34*parameters!$B$83</f>
        <v>3.21144612274</v>
      </c>
      <c r="P14" s="284">
        <f>'Baseline Price'!AD34*parameters!$B$83</f>
        <v>3.24250691646</v>
      </c>
      <c r="Q14" s="284">
        <f>'Baseline Price'!AE34*parameters!$B$83</f>
        <v>3.2663960620399997</v>
      </c>
      <c r="R14" s="284">
        <f>'Baseline Price'!AF34*parameters!$B$83</f>
        <v>3.2964046623400001</v>
      </c>
      <c r="S14" s="284">
        <f>'Baseline Price'!AG34*parameters!$B$83</f>
        <v>3.328003024</v>
      </c>
      <c r="T14" s="284">
        <f>'Baseline Price'!AH34*parameters!$B$83</f>
        <v>3.3408182425400001</v>
      </c>
      <c r="U14" s="284">
        <f>'Baseline Price'!AI34*parameters!$B$83</f>
        <v>3.3879254323999999</v>
      </c>
      <c r="V14" s="284">
        <f>'Baseline Price'!AJ34*parameters!$B$83</f>
        <v>3.4081058674999998</v>
      </c>
      <c r="W14" s="284">
        <f>'Baseline Price'!AK34*parameters!$B$83</f>
        <v>3.4242462315600002</v>
      </c>
      <c r="X14" s="284">
        <f>'Baseline Price'!AL34*parameters!$B$83</f>
        <v>3.44876526444</v>
      </c>
      <c r="Y14" s="284">
        <f>'Baseline Price'!AM34*parameters!$B$83</f>
        <v>3.4682839400800001</v>
      </c>
      <c r="Z14" s="284">
        <f>'Baseline Price'!AN34*parameters!$B$83</f>
        <v>3.4936738247800001</v>
      </c>
      <c r="AA14" s="284">
        <f>'Baseline Price'!AO34*parameters!$B$83</f>
        <v>3.5127012295400002</v>
      </c>
      <c r="AB14" s="284">
        <f>'Baseline Price'!AP34*parameters!$B$83</f>
        <v>3.5403180440399997</v>
      </c>
      <c r="AC14" s="284">
        <f>'Baseline Price'!AQ34*parameters!$B$83</f>
        <v>3.5580998243400002</v>
      </c>
      <c r="AD14" s="284">
        <f>'Baseline Price'!AR34*parameters!$B$83</f>
        <v>3.5802322918600002</v>
      </c>
      <c r="AE14" s="284">
        <f>'Baseline Price'!AS34*parameters!$B$83</f>
        <v>3.60932923848</v>
      </c>
      <c r="AF14" s="284">
        <f>'Baseline Price'!AT34*parameters!$B$83</f>
        <v>3.6363800473800003</v>
      </c>
      <c r="AG14" s="284">
        <f>'Baseline Price'!AU34*parameters!$B$83</f>
        <v>3.6537871924200003</v>
      </c>
    </row>
    <row r="15" spans="1:33">
      <c r="A15" s="214" t="s">
        <v>555</v>
      </c>
      <c r="B15" s="214"/>
      <c r="C15" s="268">
        <f>'Baseline Price'!Q26</f>
        <v>4.8021380000000002</v>
      </c>
      <c r="D15" s="268">
        <f>'Baseline Price'!R26</f>
        <v>4.7132149999999999</v>
      </c>
      <c r="E15" s="268">
        <f>'Baseline Price'!S26</f>
        <v>4.735258</v>
      </c>
      <c r="F15" s="268">
        <f>'Baseline Price'!T26</f>
        <v>4.8498239999999999</v>
      </c>
      <c r="G15" s="268">
        <f>'Baseline Price'!U26</f>
        <v>4.98062</v>
      </c>
      <c r="H15" s="268">
        <f>'Baseline Price'!V26</f>
        <v>5.2141450000000003</v>
      </c>
      <c r="I15" s="268">
        <f>'Baseline Price'!W26</f>
        <v>5.3244429999999996</v>
      </c>
      <c r="J15" s="268">
        <f>'Baseline Price'!X26</f>
        <v>5.3269590000000004</v>
      </c>
      <c r="K15" s="268">
        <f>'Baseline Price'!Y26</f>
        <v>5.4077299999999999</v>
      </c>
      <c r="L15" s="268">
        <f>'Baseline Price'!Z26</f>
        <v>5.3759399999999999</v>
      </c>
      <c r="M15" s="268">
        <f>'Baseline Price'!AA26</f>
        <v>5.3976249999999997</v>
      </c>
      <c r="N15" s="268">
        <f>'Baseline Price'!AB26</f>
        <v>5.393186</v>
      </c>
      <c r="O15" s="268">
        <f>'Baseline Price'!AC26</f>
        <v>5.522049</v>
      </c>
      <c r="P15" s="268">
        <f>'Baseline Price'!AD26</f>
        <v>5.5930080000000002</v>
      </c>
      <c r="Q15" s="268">
        <f>'Baseline Price'!AE26</f>
        <v>5.6568519999999998</v>
      </c>
      <c r="R15" s="268">
        <f>'Baseline Price'!AF26</f>
        <v>5.7127290000000004</v>
      </c>
      <c r="S15" s="268">
        <f>'Baseline Price'!AG26</f>
        <v>5.771515</v>
      </c>
      <c r="T15" s="268">
        <f>'Baseline Price'!AH26</f>
        <v>5.8163590000000003</v>
      </c>
      <c r="U15" s="268">
        <f>'Baseline Price'!AI26</f>
        <v>5.8386690000000003</v>
      </c>
      <c r="V15" s="268">
        <f>'Baseline Price'!AJ26</f>
        <v>5.8626569999999996</v>
      </c>
      <c r="W15" s="268">
        <f>'Baseline Price'!AK26</f>
        <v>5.9356419999999996</v>
      </c>
      <c r="X15" s="268">
        <f>'Baseline Price'!AL26</f>
        <v>5.9391999999999996</v>
      </c>
      <c r="Y15" s="268">
        <f>'Baseline Price'!AM26</f>
        <v>5.9765199999999998</v>
      </c>
      <c r="Z15" s="268">
        <f>'Baseline Price'!AN26</f>
        <v>6.0511330000000001</v>
      </c>
      <c r="AA15" s="268">
        <f>'Baseline Price'!AO26</f>
        <v>6.1539070000000002</v>
      </c>
      <c r="AB15" s="268">
        <f>'Baseline Price'!AP26</f>
        <v>6.2548149999999998</v>
      </c>
      <c r="AC15" s="268">
        <f>'Baseline Price'!AQ26</f>
        <v>6.332999</v>
      </c>
      <c r="AD15" s="268">
        <f>'Baseline Price'!AR26</f>
        <v>6.4413099999999996</v>
      </c>
      <c r="AE15" s="268">
        <f>'Baseline Price'!AS26</f>
        <v>6.5935959999999998</v>
      </c>
      <c r="AF15" s="268">
        <f>'Baseline Price'!AT26</f>
        <v>6.7125279999999998</v>
      </c>
      <c r="AG15" s="268">
        <f>'Baseline Price'!AU26</f>
        <v>6.8125</v>
      </c>
    </row>
    <row r="16" spans="1:33" s="217" customFormat="1">
      <c r="A16" s="217" t="s">
        <v>858</v>
      </c>
      <c r="C16" s="268">
        <f>'Baseline Price'!Q30*100/mmBtuTOkWh</f>
        <v>4.2655698617196469</v>
      </c>
      <c r="D16" s="268">
        <f>'Baseline Price'!R30*100/mmBtuTOkWh</f>
        <v>4.1075014446739804</v>
      </c>
      <c r="E16" s="268">
        <f>'Baseline Price'!S30*100/mmBtuTOkWh</f>
        <v>4.3817874729588997</v>
      </c>
      <c r="F16" s="268">
        <f>'Baseline Price'!T30*100/mmBtuTOkWh</f>
        <v>4.4491894996084334</v>
      </c>
      <c r="G16" s="268">
        <f>'Baseline Price'!U30*100/mmBtuTOkWh</f>
        <v>4.4750538321698254</v>
      </c>
      <c r="H16" s="268">
        <f>'Baseline Price'!V30*100/mmBtuTOkWh</f>
        <v>4.7589419531484074</v>
      </c>
      <c r="I16" s="268">
        <f>'Baseline Price'!W30*100/mmBtuTOkWh</f>
        <v>4.8400470206058603</v>
      </c>
      <c r="J16" s="268">
        <f>'Baseline Price'!X30*100/mmBtuTOkWh</f>
        <v>4.852196244511858</v>
      </c>
      <c r="K16" s="268">
        <f>'Baseline Price'!Y30*100/mmBtuTOkWh</f>
        <v>4.868410212989688</v>
      </c>
      <c r="L16" s="268">
        <f>'Baseline Price'!Z30*100/mmBtuTOkWh</f>
        <v>4.9231442613708181</v>
      </c>
      <c r="M16" s="268">
        <f>'Baseline Price'!AA30*100/mmBtuTOkWh</f>
        <v>5.0016534369889776</v>
      </c>
      <c r="N16" s="268">
        <f>'Baseline Price'!AB30*100/mmBtuTOkWh</f>
        <v>5.050512726756037</v>
      </c>
      <c r="O16" s="268">
        <f>'Baseline Price'!AC30*100/mmBtuTOkWh</f>
        <v>5.0916013012232844</v>
      </c>
      <c r="P16" s="268">
        <f>'Baseline Price'!AD30*100/mmBtuTOkWh</f>
        <v>5.0878061262714009</v>
      </c>
      <c r="Q16" s="268">
        <f>'Baseline Price'!AE30*100/mmBtuTOkWh</f>
        <v>5.0892164336357828</v>
      </c>
      <c r="R16" s="268">
        <f>'Baseline Price'!AF30*100/mmBtuTOkWh</f>
        <v>5.0995796161154718</v>
      </c>
      <c r="S16" s="268">
        <f>'Baseline Price'!AG30*100/mmBtuTOkWh</f>
        <v>5.1720682404757401</v>
      </c>
      <c r="T16" s="268">
        <f>'Baseline Price'!AH30*100/mmBtuTOkWh</f>
        <v>5.1767420851870227</v>
      </c>
      <c r="U16" s="268">
        <f>'Baseline Price'!AI30*100/mmBtuTOkWh</f>
        <v>5.1628270416531912</v>
      </c>
      <c r="V16" s="268">
        <f>'Baseline Price'!AJ30*100/mmBtuTOkWh</f>
        <v>5.1409612435815388</v>
      </c>
      <c r="W16" s="268">
        <f>'Baseline Price'!AK30*100/mmBtuTOkWh</f>
        <v>5.1147790700102975</v>
      </c>
      <c r="X16" s="268">
        <f>'Baseline Price'!AL30*100/mmBtuTOkWh</f>
        <v>5.1255228789225109</v>
      </c>
      <c r="Y16" s="268">
        <f>'Baseline Price'!AM30*100/mmBtuTOkWh</f>
        <v>5.1170820719297927</v>
      </c>
      <c r="Z16" s="268">
        <f>'Baseline Price'!AN30*100/mmBtuTOkWh</f>
        <v>5.0972955313622892</v>
      </c>
      <c r="AA16" s="268">
        <f>'Baseline Price'!AO30*100/mmBtuTOkWh</f>
        <v>5.080124778274512</v>
      </c>
      <c r="AB16" s="268">
        <f>'Baseline Price'!AP30*100/mmBtuTOkWh</f>
        <v>5.0742335486794277</v>
      </c>
      <c r="AC16" s="268">
        <f>'Baseline Price'!AQ30*100/mmBtuTOkWh</f>
        <v>5.0672617574982679</v>
      </c>
      <c r="AD16" s="268">
        <f>'Baseline Price'!AR30*100/mmBtuTOkWh</f>
        <v>5.0508246969211692</v>
      </c>
      <c r="AE16" s="268">
        <f>'Baseline Price'!AS30*100/mmBtuTOkWh</f>
        <v>5.0406227995921933</v>
      </c>
      <c r="AF16" s="268">
        <f>'Baseline Price'!AT30*100/mmBtuTOkWh</f>
        <v>5.01971297073539</v>
      </c>
      <c r="AG16" s="268">
        <f>'Baseline Price'!AU30*100/mmBtuTOkWh</f>
        <v>4.9931695771349975</v>
      </c>
    </row>
    <row r="17" spans="1:33">
      <c r="A17" s="214" t="s">
        <v>1084</v>
      </c>
      <c r="B17" s="214"/>
      <c r="C17" s="285">
        <f>'Baseline Price'!Q25*parameters!$B$160</f>
        <v>56.802823650000001</v>
      </c>
      <c r="D17" s="285">
        <f>'Baseline Price'!R25*parameters!$B$160</f>
        <v>58.068967350000001</v>
      </c>
      <c r="E17" s="285">
        <f>'Baseline Price'!S25*parameters!$B$160</f>
        <v>58.348876049999994</v>
      </c>
      <c r="F17" s="285">
        <f>'Baseline Price'!T25*parameters!$B$160</f>
        <v>60.716395049999996</v>
      </c>
      <c r="G17" s="285">
        <f>'Baseline Price'!U25*parameters!$B$160</f>
        <v>64.050002549999988</v>
      </c>
      <c r="H17" s="285">
        <f>'Baseline Price'!V25*parameters!$B$160</f>
        <v>65.283490049999997</v>
      </c>
      <c r="I17" s="285">
        <f>'Baseline Price'!W25*parameters!$B$160</f>
        <v>67.492817400000007</v>
      </c>
      <c r="J17" s="285">
        <f>'Baseline Price'!X25*parameters!$B$160</f>
        <v>70.514170800000002</v>
      </c>
      <c r="K17" s="285">
        <f>'Baseline Price'!Y25*parameters!$B$160</f>
        <v>71.605350749999999</v>
      </c>
      <c r="L17" s="285">
        <f>'Baseline Price'!Z25*parameters!$B$160</f>
        <v>73.907524049999992</v>
      </c>
      <c r="M17" s="285">
        <f>'Baseline Price'!AA25*parameters!$B$160</f>
        <v>74.491717050000005</v>
      </c>
      <c r="N17" s="285">
        <f>'Baseline Price'!AB25*parameters!$B$160</f>
        <v>75.601517250000001</v>
      </c>
      <c r="O17" s="285">
        <f>'Baseline Price'!AC25*parameters!$B$160</f>
        <v>76.903230899999997</v>
      </c>
      <c r="P17" s="285">
        <f>'Baseline Price'!AD25*parameters!$B$160</f>
        <v>77.714380050000003</v>
      </c>
      <c r="Q17" s="285">
        <f>'Baseline Price'!AE25*parameters!$B$160</f>
        <v>78.251941950000003</v>
      </c>
      <c r="R17" s="285">
        <f>'Baseline Price'!AF25*parameters!$B$160</f>
        <v>79.269878550000001</v>
      </c>
      <c r="S17" s="285">
        <f>'Baseline Price'!AG25*parameters!$B$160</f>
        <v>80.775654599999996</v>
      </c>
      <c r="T17" s="285">
        <f>'Baseline Price'!AH25*parameters!$B$160</f>
        <v>81.531209399999995</v>
      </c>
      <c r="U17" s="285">
        <f>'Baseline Price'!AI25*parameters!$B$160</f>
        <v>81.918671549999999</v>
      </c>
      <c r="V17" s="285">
        <f>'Baseline Price'!AJ25*parameters!$B$160</f>
        <v>82.6300095</v>
      </c>
      <c r="W17" s="285">
        <f>'Baseline Price'!AK25*parameters!$B$160</f>
        <v>83.151315449999998</v>
      </c>
      <c r="X17" s="285">
        <f>'Baseline Price'!AL25*parameters!$B$160</f>
        <v>83.681706750000004</v>
      </c>
      <c r="Y17" s="285">
        <f>'Baseline Price'!AM25*parameters!$B$160</f>
        <v>85.444314599999998</v>
      </c>
      <c r="Z17" s="285">
        <f>'Baseline Price'!AN25*parameters!$B$160</f>
        <v>85.505475599999997</v>
      </c>
      <c r="AA17" s="285">
        <f>'Baseline Price'!AO25*parameters!$B$160</f>
        <v>84.918885000000003</v>
      </c>
      <c r="AB17" s="285">
        <f>'Baseline Price'!AP25*parameters!$B$160</f>
        <v>84.979829549999991</v>
      </c>
      <c r="AC17" s="285">
        <f>'Baseline Price'!AQ25*parameters!$B$160</f>
        <v>85.008317700000006</v>
      </c>
      <c r="AD17" s="285">
        <f>'Baseline Price'!AR25*parameters!$B$160</f>
        <v>85.171970549999998</v>
      </c>
      <c r="AE17" s="285">
        <f>'Baseline Price'!AS25*parameters!$B$160</f>
        <v>85.2860175</v>
      </c>
      <c r="AF17" s="285">
        <f>'Baseline Price'!AT25*parameters!$B$160</f>
        <v>85.116254099999992</v>
      </c>
      <c r="AG17" s="285">
        <f>'Baseline Price'!AU25*parameters!$B$160</f>
        <v>85.149826050000001</v>
      </c>
    </row>
    <row r="18" spans="1:33">
      <c r="A18" s="214" t="s">
        <v>860</v>
      </c>
      <c r="B18" s="214"/>
      <c r="C18" s="268">
        <f>'Baseline Price'!Q36*parameters!$B$74</f>
        <v>3.0990329708247741</v>
      </c>
      <c r="D18" s="268">
        <f>'Baseline Price'!R36*parameters!$B$74</f>
        <v>3.2707893190076689</v>
      </c>
      <c r="E18" s="268">
        <f>'Baseline Price'!S36*parameters!$B$74</f>
        <v>3.3442028302540003</v>
      </c>
      <c r="F18" s="268">
        <f>'Baseline Price'!T36*parameters!$B$74</f>
        <v>3.4019887012997225</v>
      </c>
      <c r="G18" s="268">
        <f>'Baseline Price'!U36*parameters!$B$74</f>
        <v>3.767761481045806</v>
      </c>
      <c r="H18" s="268">
        <f>'Baseline Price'!V36*parameters!$B$74</f>
        <v>3.775293993106311</v>
      </c>
      <c r="I18" s="268">
        <f>'Baseline Price'!W36*parameters!$B$74</f>
        <v>3.7868799115637595</v>
      </c>
      <c r="J18" s="268">
        <f>'Baseline Price'!X36*parameters!$B$74</f>
        <v>3.8066295470790106</v>
      </c>
      <c r="K18" s="268">
        <f>'Baseline Price'!Y36*parameters!$B$74</f>
        <v>3.8409845324354923</v>
      </c>
      <c r="L18" s="268">
        <f>'Baseline Price'!Z36*parameters!$B$74</f>
        <v>3.9179490099661445</v>
      </c>
      <c r="M18" s="268">
        <f>'Baseline Price'!AA36*parameters!$B$74</f>
        <v>3.9348204815618368</v>
      </c>
      <c r="N18" s="268">
        <f>'Baseline Price'!AB36*parameters!$B$74</f>
        <v>3.9784894212944124</v>
      </c>
      <c r="O18" s="268">
        <f>'Baseline Price'!AC36*parameters!$B$74</f>
        <v>3.9951171510122152</v>
      </c>
      <c r="P18" s="268">
        <f>'Baseline Price'!AD36*parameters!$B$74</f>
        <v>4.002351353861668</v>
      </c>
      <c r="Q18" s="268">
        <f>'Baseline Price'!AE36*parameters!$B$74</f>
        <v>4.0244285724102742</v>
      </c>
      <c r="R18" s="268">
        <f>'Baseline Price'!AF36*parameters!$B$74</f>
        <v>4.041380784963601</v>
      </c>
      <c r="S18" s="268">
        <f>'Baseline Price'!AG36*parameters!$B$74</f>
        <v>4.0455964912015743</v>
      </c>
      <c r="T18" s="268">
        <f>'Baseline Price'!AH36*parameters!$B$74</f>
        <v>4.0940754186634711</v>
      </c>
      <c r="U18" s="268">
        <f>'Baseline Price'!AI36*parameters!$B$74</f>
        <v>4.1068542234255139</v>
      </c>
      <c r="V18" s="268">
        <f>'Baseline Price'!AJ36*parameters!$B$74</f>
        <v>4.1311600559899446</v>
      </c>
      <c r="W18" s="268">
        <f>'Baseline Price'!AK36*parameters!$B$74</f>
        <v>4.1594731405688776</v>
      </c>
      <c r="X18" s="268">
        <f>'Baseline Price'!AL36*parameters!$B$74</f>
        <v>4.1811870832314062</v>
      </c>
      <c r="Y18" s="268">
        <f>'Baseline Price'!AM36*parameters!$B$74</f>
        <v>4.1972241537005317</v>
      </c>
      <c r="Z18" s="268">
        <f>'Baseline Price'!AN36*parameters!$B$74</f>
        <v>4.207145242687135</v>
      </c>
      <c r="AA18" s="268">
        <f>'Baseline Price'!AO36*parameters!$B$74</f>
        <v>4.2166835424158418</v>
      </c>
      <c r="AB18" s="268">
        <f>'Baseline Price'!AP36*parameters!$B$74</f>
        <v>4.231944635027312</v>
      </c>
      <c r="AC18" s="268">
        <f>'Baseline Price'!AQ36*parameters!$B$74</f>
        <v>4.2206144936411505</v>
      </c>
      <c r="AD18" s="268">
        <f>'Baseline Price'!AR36*parameters!$B$74</f>
        <v>4.2371686100401265</v>
      </c>
      <c r="AE18" s="268">
        <f>'Baseline Price'!AS36*parameters!$B$74</f>
        <v>4.2599625652517163</v>
      </c>
      <c r="AF18" s="268">
        <f>'Baseline Price'!AT36*parameters!$B$74</f>
        <v>4.2651553422389314</v>
      </c>
      <c r="AG18" s="268">
        <f>'Baseline Price'!AU36*parameters!$B$74</f>
        <v>4.2779278372879324</v>
      </c>
    </row>
    <row r="19" spans="1:33">
      <c r="A19" s="214" t="s">
        <v>861</v>
      </c>
      <c r="B19" s="214"/>
      <c r="C19" s="268">
        <f>'Baseline Price'!Q38*parameters!$B$83</f>
        <v>3.1678454956812971</v>
      </c>
      <c r="D19" s="268">
        <f>'Baseline Price'!R38*parameters!$B$83</f>
        <v>3.3223641767556882</v>
      </c>
      <c r="E19" s="268">
        <f>'Baseline Price'!S38*parameters!$B$83</f>
        <v>3.3748919904770771</v>
      </c>
      <c r="F19" s="268">
        <f>'Baseline Price'!T38*parameters!$B$83</f>
        <v>3.43104662814955</v>
      </c>
      <c r="G19" s="268">
        <f>'Baseline Price'!U38*parameters!$B$83</f>
        <v>3.8301015417783191</v>
      </c>
      <c r="H19" s="268">
        <f>'Baseline Price'!V38*parameters!$B$83</f>
        <v>3.8732046186193467</v>
      </c>
      <c r="I19" s="268">
        <f>'Baseline Price'!W38*parameters!$B$83</f>
        <v>3.8924602591221475</v>
      </c>
      <c r="J19" s="268">
        <f>'Baseline Price'!X38*parameters!$B$83</f>
        <v>3.9327462385210086</v>
      </c>
      <c r="K19" s="268">
        <f>'Baseline Price'!Y38*parameters!$B$83</f>
        <v>3.9760071677126958</v>
      </c>
      <c r="L19" s="268">
        <f>'Baseline Price'!Z38*parameters!$B$83</f>
        <v>4.0719637998310976</v>
      </c>
      <c r="M19" s="268">
        <f>'Baseline Price'!AA38*parameters!$B$83</f>
        <v>4.1004974045083618</v>
      </c>
      <c r="N19" s="268">
        <f>'Baseline Price'!AB38*parameters!$B$83</f>
        <v>4.144158504399079</v>
      </c>
      <c r="O19" s="268">
        <f>'Baseline Price'!AC38*parameters!$B$83</f>
        <v>4.1593752885144326</v>
      </c>
      <c r="P19" s="268">
        <f>'Baseline Price'!AD38*parameters!$B$83</f>
        <v>4.199180932725695</v>
      </c>
      <c r="Q19" s="268">
        <f>'Baseline Price'!AE38*parameters!$B$83</f>
        <v>4.2351786985555959</v>
      </c>
      <c r="R19" s="268">
        <f>'Baseline Price'!AF38*parameters!$B$83</f>
        <v>4.2529132993557948</v>
      </c>
      <c r="S19" s="268">
        <f>'Baseline Price'!AG38*parameters!$B$83</f>
        <v>4.2717825861283263</v>
      </c>
      <c r="T19" s="268">
        <f>'Baseline Price'!AH38*parameters!$B$83</f>
        <v>4.3266302167652366</v>
      </c>
      <c r="U19" s="268">
        <f>'Baseline Price'!AI38*parameters!$B$83</f>
        <v>4.3489130769143847</v>
      </c>
      <c r="V19" s="268">
        <f>'Baseline Price'!AJ38*parameters!$B$83</f>
        <v>4.3693472005735172</v>
      </c>
      <c r="W19" s="268">
        <f>'Baseline Price'!AK38*parameters!$B$83</f>
        <v>4.388777378068502</v>
      </c>
      <c r="X19" s="268">
        <f>'Baseline Price'!AL38*parameters!$B$83</f>
        <v>4.4105675198976719</v>
      </c>
      <c r="Y19" s="268">
        <f>'Baseline Price'!AM38*parameters!$B$83</f>
        <v>4.4140258028996202</v>
      </c>
      <c r="Z19" s="268">
        <f>'Baseline Price'!AN38*parameters!$B$83</f>
        <v>4.424801604697068</v>
      </c>
      <c r="AA19" s="268">
        <f>'Baseline Price'!AO38*parameters!$B$83</f>
        <v>4.4323879026396025</v>
      </c>
      <c r="AB19" s="268">
        <f>'Baseline Price'!AP38*parameters!$B$83</f>
        <v>4.4431054385404813</v>
      </c>
      <c r="AC19" s="268">
        <f>'Baseline Price'!AQ38*parameters!$B$83</f>
        <v>4.4368527387809369</v>
      </c>
      <c r="AD19" s="268">
        <f>'Baseline Price'!AR38*parameters!$B$83</f>
        <v>4.4472440117307803</v>
      </c>
      <c r="AE19" s="268">
        <f>'Baseline Price'!AS38*parameters!$B$83</f>
        <v>4.454556446924566</v>
      </c>
      <c r="AF19" s="268">
        <f>'Baseline Price'!AT38*parameters!$B$83</f>
        <v>4.4330185299496705</v>
      </c>
      <c r="AG19" s="268">
        <f>'Baseline Price'!AU38*parameters!$B$83</f>
        <v>4.4430358323016268</v>
      </c>
    </row>
    <row r="20" spans="1:33">
      <c r="A20" s="214" t="s">
        <v>1026</v>
      </c>
      <c r="B20" s="214"/>
      <c r="C20" s="274">
        <f>'Baseline Price'!Q37*parameters!$B$86</f>
        <v>2.2485298950000003</v>
      </c>
      <c r="D20" s="274">
        <f>'Baseline Price'!R37*parameters!$B$86</f>
        <v>2.46495555</v>
      </c>
      <c r="E20" s="274">
        <f>'Baseline Price'!S37*parameters!$B$86</f>
        <v>2.5556821650000003</v>
      </c>
      <c r="F20" s="274">
        <f>'Baseline Price'!T37*parameters!$B$86</f>
        <v>2.6338462200000001</v>
      </c>
      <c r="G20" s="274">
        <f>'Baseline Price'!U37*parameters!$B$86</f>
        <v>2.7135232200000003</v>
      </c>
      <c r="H20" s="274">
        <f>'Baseline Price'!V37*parameters!$B$86</f>
        <v>2.7303567750000002</v>
      </c>
      <c r="I20" s="274">
        <f>'Baseline Price'!W37*parameters!$B$86</f>
        <v>2.7439960950000004</v>
      </c>
      <c r="J20" s="274">
        <f>'Baseline Price'!X37*parameters!$B$86</f>
        <v>2.789019675</v>
      </c>
      <c r="K20" s="274">
        <f>'Baseline Price'!Y37*parameters!$B$86</f>
        <v>2.8287558450000003</v>
      </c>
      <c r="L20" s="274">
        <f>'Baseline Price'!Z37*parameters!$B$86</f>
        <v>2.9039265450000005</v>
      </c>
      <c r="M20" s="274">
        <f>'Baseline Price'!AA37*parameters!$B$86</f>
        <v>2.9326382100000004</v>
      </c>
      <c r="N20" s="274">
        <f>'Baseline Price'!AB37*parameters!$B$86</f>
        <v>2.9852625600000002</v>
      </c>
      <c r="O20" s="274">
        <f>'Baseline Price'!AC37*parameters!$B$86</f>
        <v>3.0173612400000001</v>
      </c>
      <c r="P20" s="274">
        <f>'Baseline Price'!AD37*parameters!$B$86</f>
        <v>3.062775915</v>
      </c>
      <c r="Q20" s="274">
        <f>'Baseline Price'!AE37*parameters!$B$86</f>
        <v>3.0929843250000002</v>
      </c>
      <c r="R20" s="274">
        <f>'Baseline Price'!AF37*parameters!$B$86</f>
        <v>3.1197360600000001</v>
      </c>
      <c r="S20" s="274">
        <f>'Baseline Price'!AG37*parameters!$B$86</f>
        <v>3.145089735</v>
      </c>
      <c r="T20" s="274">
        <f>'Baseline Price'!AH37*parameters!$B$86</f>
        <v>3.212317305</v>
      </c>
      <c r="U20" s="274">
        <f>'Baseline Price'!AI37*parameters!$B$86</f>
        <v>3.24759888</v>
      </c>
      <c r="V20" s="274">
        <f>'Baseline Price'!AJ37*parameters!$B$86</f>
        <v>3.2729463449999998</v>
      </c>
      <c r="W20" s="274">
        <f>'Baseline Price'!AK37*parameters!$B$86</f>
        <v>3.2978105100000001</v>
      </c>
      <c r="X20" s="274">
        <f>'Baseline Price'!AL37*parameters!$B$86</f>
        <v>3.3272148600000002</v>
      </c>
      <c r="Y20" s="274">
        <f>'Baseline Price'!AM37*parameters!$B$86</f>
        <v>3.3429458699999999</v>
      </c>
      <c r="Z20" s="274">
        <f>'Baseline Price'!AN37*parameters!$B$86</f>
        <v>3.3718717800000002</v>
      </c>
      <c r="AA20" s="274">
        <f>'Baseline Price'!AO37*parameters!$B$86</f>
        <v>3.3977319750000001</v>
      </c>
      <c r="AB20" s="274">
        <f>'Baseline Price'!AP37*parameters!$B$86</f>
        <v>3.4191076050000002</v>
      </c>
      <c r="AC20" s="274">
        <f>'Baseline Price'!AQ37*parameters!$B$86</f>
        <v>3.4311868649999999</v>
      </c>
      <c r="AD20" s="274">
        <f>'Baseline Price'!AR37*parameters!$B$86</f>
        <v>3.4559156249999998</v>
      </c>
      <c r="AE20" s="274">
        <f>'Baseline Price'!AS37*parameters!$B$86</f>
        <v>3.4910792100000005</v>
      </c>
      <c r="AF20" s="274">
        <f>'Baseline Price'!AT37*parameters!$B$86</f>
        <v>3.5312994900000003</v>
      </c>
      <c r="AG20" s="274">
        <f>'Baseline Price'!AU37*parameters!$B$86</f>
        <v>3.545841555</v>
      </c>
    </row>
    <row r="21" spans="1:33" s="214" customFormat="1" ht="13">
      <c r="C21" s="164"/>
      <c r="D21" s="164"/>
      <c r="E21" s="164"/>
      <c r="F21" s="164"/>
      <c r="G21" s="164"/>
      <c r="H21" s="164"/>
      <c r="I21" s="164"/>
      <c r="J21" s="164"/>
      <c r="K21" s="164"/>
      <c r="L21" s="164"/>
      <c r="M21" s="164"/>
      <c r="N21" s="164"/>
      <c r="O21" s="164"/>
      <c r="P21" s="164"/>
      <c r="Q21" s="164"/>
      <c r="R21" s="164"/>
      <c r="S21" s="164"/>
      <c r="T21" s="164"/>
      <c r="U21" s="164"/>
      <c r="V21" s="164"/>
      <c r="W21" s="164"/>
    </row>
    <row r="22" spans="1:33" s="252" customFormat="1" ht="13">
      <c r="A22" s="250" t="s">
        <v>1280</v>
      </c>
      <c r="B22" s="240"/>
      <c r="C22" s="240"/>
      <c r="D22" s="240"/>
      <c r="E22" s="240"/>
      <c r="F22" s="240"/>
      <c r="G22" s="240"/>
      <c r="H22" s="240"/>
      <c r="I22" s="240"/>
      <c r="J22" s="240"/>
      <c r="K22" s="240"/>
      <c r="L22" s="240"/>
      <c r="M22" s="240"/>
      <c r="N22" s="240"/>
      <c r="O22" s="240"/>
      <c r="P22" s="240"/>
      <c r="Q22" s="240"/>
      <c r="R22" s="240"/>
      <c r="S22" s="240"/>
      <c r="T22" s="240"/>
      <c r="U22" s="240"/>
      <c r="V22" s="240"/>
      <c r="W22" s="241"/>
      <c r="X22" s="240"/>
      <c r="Y22" s="240"/>
      <c r="Z22" s="240"/>
      <c r="AA22" s="240"/>
      <c r="AB22" s="240"/>
      <c r="AC22" s="240"/>
      <c r="AD22" s="240"/>
      <c r="AE22" s="240"/>
      <c r="AF22" s="240"/>
      <c r="AG22" s="240"/>
    </row>
    <row r="23" spans="1:33" s="252" customFormat="1">
      <c r="A23" s="554" t="str">
        <f>A6</f>
        <v>Sector and Fuel Category</v>
      </c>
      <c r="B23" s="554"/>
      <c r="C23" s="242">
        <v>2020</v>
      </c>
      <c r="D23" s="242">
        <v>2021</v>
      </c>
      <c r="E23" s="242">
        <v>2022</v>
      </c>
      <c r="F23" s="242">
        <v>2023</v>
      </c>
      <c r="G23" s="242">
        <v>2024</v>
      </c>
      <c r="H23" s="242">
        <v>2025</v>
      </c>
      <c r="I23" s="242">
        <v>2026</v>
      </c>
      <c r="J23" s="242">
        <v>2027</v>
      </c>
      <c r="K23" s="242">
        <v>2028</v>
      </c>
      <c r="L23" s="242">
        <v>2029</v>
      </c>
      <c r="M23" s="242">
        <v>2030</v>
      </c>
      <c r="N23" s="242">
        <v>2031</v>
      </c>
      <c r="O23" s="242">
        <v>2032</v>
      </c>
      <c r="P23" s="242">
        <v>2033</v>
      </c>
      <c r="Q23" s="242">
        <v>2034</v>
      </c>
      <c r="R23" s="242">
        <v>2035</v>
      </c>
      <c r="S23" s="242">
        <v>2036</v>
      </c>
      <c r="T23" s="242">
        <v>2037</v>
      </c>
      <c r="U23" s="242">
        <v>2038</v>
      </c>
      <c r="V23" s="242">
        <v>2039</v>
      </c>
      <c r="W23" s="242">
        <v>2040</v>
      </c>
      <c r="X23" s="375">
        <v>2041</v>
      </c>
      <c r="Y23" s="375">
        <v>2042</v>
      </c>
      <c r="Z23" s="375">
        <v>2043</v>
      </c>
      <c r="AA23" s="375">
        <v>2044</v>
      </c>
      <c r="AB23" s="375">
        <v>2045</v>
      </c>
      <c r="AC23" s="375">
        <v>2046</v>
      </c>
      <c r="AD23" s="375">
        <v>2047</v>
      </c>
      <c r="AE23" s="375">
        <v>2048</v>
      </c>
      <c r="AF23" s="375">
        <v>2049</v>
      </c>
      <c r="AG23" s="375">
        <v>2050</v>
      </c>
    </row>
    <row r="24" spans="1:33">
      <c r="A24" s="214" t="s">
        <v>1166</v>
      </c>
      <c r="B24" s="214"/>
      <c r="C24" s="274">
        <f>'Adjusted price'!B8*parameters!$B86</f>
        <v>3.9434362650000003</v>
      </c>
      <c r="D24" s="274">
        <f>'Adjusted price'!C8*parameters!$B86</f>
        <v>4.1536049400000001</v>
      </c>
      <c r="E24" s="274">
        <f>'Adjusted price'!D8*parameters!$B86</f>
        <v>4.355714250000001</v>
      </c>
      <c r="F24" s="274">
        <f>'Adjusted price'!E8*parameters!$B86</f>
        <v>4.525015859999999</v>
      </c>
      <c r="G24" s="274">
        <f>'Adjusted price'!F8*parameters!$B86</f>
        <v>4.6963211400000002</v>
      </c>
      <c r="H24" s="274">
        <f>'Adjusted price'!G8*parameters!$B86</f>
        <v>4.8683161350000006</v>
      </c>
      <c r="I24" s="274">
        <f>'Adjusted price'!H8*parameters!$B86</f>
        <v>5.023680615</v>
      </c>
      <c r="J24" s="274">
        <f>'Adjusted price'!I8*parameters!$B86</f>
        <v>5.1544360800000009</v>
      </c>
      <c r="K24" s="274">
        <f>'Adjusted price'!J8*parameters!$B86</f>
        <v>5.2624154250000004</v>
      </c>
      <c r="L24" s="274">
        <f>'Adjusted price'!K8*parameters!$B86</f>
        <v>5.6629273500000004</v>
      </c>
      <c r="M24" s="274">
        <f>'Adjusted price'!L8*parameters!$B86</f>
        <v>5.7257475750000006</v>
      </c>
      <c r="N24" s="274">
        <f>'Adjusted price'!M8*parameters!$B86</f>
        <v>5.8230327600000011</v>
      </c>
      <c r="O24" s="274">
        <f>'Adjusted price'!N8*parameters!$B86</f>
        <v>5.8849652250000002</v>
      </c>
      <c r="P24" s="274">
        <f>'Adjusted price'!O8*parameters!$B86</f>
        <v>5.9539508999999997</v>
      </c>
      <c r="Q24" s="274">
        <f>'Adjusted price'!P8*parameters!$B86</f>
        <v>6.0073859250000003</v>
      </c>
      <c r="R24" s="274">
        <f>'Adjusted price'!Q8*parameters!$B86</f>
        <v>6.0496325550000014</v>
      </c>
      <c r="S24" s="274">
        <f>'Adjusted price'!R8*parameters!$B86</f>
        <v>6.0931194299999998</v>
      </c>
      <c r="T24" s="274">
        <f>'Adjusted price'!S8*parameters!$B86</f>
        <v>6.1287171749999994</v>
      </c>
      <c r="U24" s="274">
        <f>'Adjusted price'!T8*parameters!$B86</f>
        <v>6.15718341</v>
      </c>
      <c r="V24" s="274">
        <f>'Adjusted price'!U8*parameters!$B86</f>
        <v>6.1831937249999998</v>
      </c>
      <c r="W24" s="274">
        <f>'Adjusted price'!V8*parameters!$B86</f>
        <v>6.2067481199999994</v>
      </c>
      <c r="X24" s="274">
        <f>'Adjusted price'!W8*parameters!$B86</f>
        <v>6.2231029650000007</v>
      </c>
      <c r="Y24" s="274">
        <f>'Adjusted price'!X8*parameters!$B86</f>
        <v>6.2406737550000013</v>
      </c>
      <c r="Z24" s="274">
        <f>'Adjusted price'!Y8*parameters!$B86</f>
        <v>6.2592285600000004</v>
      </c>
      <c r="AA24" s="274">
        <f>'Adjusted price'!Z8*parameters!$B86</f>
        <v>6.2771464349999997</v>
      </c>
      <c r="AB24" s="274">
        <f>'Adjusted price'!AA8*parameters!$B86</f>
        <v>6.2903623950000007</v>
      </c>
      <c r="AC24" s="274">
        <f>'Adjusted price'!AB8*parameters!$B86</f>
        <v>6.29803566</v>
      </c>
      <c r="AD24" s="274">
        <f>'Adjusted price'!AC8*parameters!$B86</f>
        <v>6.3019830600000004</v>
      </c>
      <c r="AE24" s="274">
        <f>'Adjusted price'!AD8*parameters!$B86</f>
        <v>6.3034692750000003</v>
      </c>
      <c r="AF24" s="274">
        <f>'Adjusted price'!AE8*parameters!$B86</f>
        <v>6.2977994100000005</v>
      </c>
      <c r="AG24" s="274">
        <f>'Adjusted price'!AF8*parameters!$B86</f>
        <v>6.2831799900000007</v>
      </c>
    </row>
    <row r="25" spans="1:33">
      <c r="A25" s="214" t="s">
        <v>1053</v>
      </c>
      <c r="C25" s="268">
        <v>1.2501961666666668</v>
      </c>
      <c r="D25" s="268">
        <v>1.2426695000000003</v>
      </c>
      <c r="E25" s="268">
        <v>1.2441350333333334</v>
      </c>
      <c r="F25" s="268">
        <v>1.2536050666666667</v>
      </c>
      <c r="G25" s="268">
        <v>1.2621470000000001</v>
      </c>
      <c r="H25" s="268">
        <v>1.3105909333333337</v>
      </c>
      <c r="I25" s="268">
        <v>1.3502128666666668</v>
      </c>
      <c r="J25" s="268">
        <v>1.3811035000000003</v>
      </c>
      <c r="K25" s="268">
        <v>1.4158187333333334</v>
      </c>
      <c r="L25" s="268">
        <v>1.6627077666666668</v>
      </c>
      <c r="M25" s="268">
        <v>1.6952683</v>
      </c>
      <c r="N25" s="268">
        <v>1.7558030333333334</v>
      </c>
      <c r="O25" s="268">
        <v>1.793543566666667</v>
      </c>
      <c r="P25" s="268">
        <v>1.8294093</v>
      </c>
      <c r="Q25" s="268">
        <v>1.8625094333333336</v>
      </c>
      <c r="R25" s="268">
        <v>1.8953368666666666</v>
      </c>
      <c r="S25" s="268">
        <v>1.9284868000000004</v>
      </c>
      <c r="T25" s="268">
        <v>1.960779233333334</v>
      </c>
      <c r="U25" s="268">
        <v>1.9905212666666672</v>
      </c>
      <c r="V25" s="268">
        <v>2.0208828000000003</v>
      </c>
      <c r="W25" s="268">
        <v>2.0542952333333337</v>
      </c>
      <c r="X25" s="268">
        <v>2.0836718666666671</v>
      </c>
      <c r="Y25" s="268">
        <v>2.1154133000000002</v>
      </c>
      <c r="Z25" s="268">
        <v>2.1493882333333336</v>
      </c>
      <c r="AA25" s="268">
        <v>2.1846042666666672</v>
      </c>
      <c r="AB25" s="268">
        <v>2.2211306000000004</v>
      </c>
      <c r="AC25" s="268">
        <v>2.2559242333333338</v>
      </c>
      <c r="AD25" s="268">
        <v>2.292796266666667</v>
      </c>
      <c r="AE25" s="268">
        <v>2.3318778000000004</v>
      </c>
      <c r="AF25" s="268">
        <v>2.3706155333333339</v>
      </c>
      <c r="AG25" s="268">
        <v>2.4067874666666675</v>
      </c>
    </row>
    <row r="26" spans="1:33" s="217" customFormat="1">
      <c r="A26" s="217" t="s">
        <v>857</v>
      </c>
      <c r="C26" s="268">
        <f>'Adjusted price'!B11*100/mmBtuTOkWh</f>
        <v>9.2143229520252845</v>
      </c>
      <c r="D26" s="268">
        <f>'Adjusted price'!C11*100/mmBtuTOkWh</f>
        <v>8.88611486058835</v>
      </c>
      <c r="E26" s="268">
        <f>'Adjusted price'!D11*100/mmBtuTOkWh</f>
        <v>9.0501874528046251</v>
      </c>
      <c r="F26" s="268">
        <f>'Adjusted price'!E11*100/mmBtuTOkWh</f>
        <v>9.4103356967699376</v>
      </c>
      <c r="G26" s="268">
        <f>'Adjusted price'!F11*100/mmBtuTOkWh</f>
        <v>9.4859445954904835</v>
      </c>
      <c r="H26" s="268">
        <f>'Adjusted price'!G11*100/mmBtuTOkWh</f>
        <v>9.7038627522171428</v>
      </c>
      <c r="I26" s="268">
        <f>'Adjusted price'!H11*100/mmBtuTOkWh</f>
        <v>10.034887065462515</v>
      </c>
      <c r="J26" s="268">
        <f>'Adjusted price'!I11*100/mmBtuTOkWh</f>
        <v>10.193976371272964</v>
      </c>
      <c r="K26" s="268">
        <f>'Adjusted price'!J11*100/mmBtuTOkWh</f>
        <v>10.332295602168582</v>
      </c>
      <c r="L26" s="268">
        <f>'Adjusted price'!K11*100/mmBtuTOkWh</f>
        <v>10.571465878562526</v>
      </c>
      <c r="M26" s="268">
        <f>'Adjusted price'!L11*100/mmBtuTOkWh</f>
        <v>10.781825644223591</v>
      </c>
      <c r="N26" s="268">
        <f>'Adjusted price'!M11*100/mmBtuTOkWh</f>
        <v>11.004859277024359</v>
      </c>
      <c r="O26" s="268">
        <f>'Adjusted price'!N11*100/mmBtuTOkWh</f>
        <v>11.207816504414156</v>
      </c>
      <c r="P26" s="268">
        <f>'Adjusted price'!O11*100/mmBtuTOkWh</f>
        <v>11.330519917982288</v>
      </c>
      <c r="Q26" s="268">
        <f>'Adjusted price'!P11*100/mmBtuTOkWh</f>
        <v>11.441767213180997</v>
      </c>
      <c r="R26" s="268">
        <f>'Adjusted price'!Q11*100/mmBtuTOkWh</f>
        <v>11.558265891568695</v>
      </c>
      <c r="S26" s="268">
        <f>'Adjusted price'!R11*100/mmBtuTOkWh</f>
        <v>11.736726496535155</v>
      </c>
      <c r="T26" s="268">
        <f>'Adjusted price'!S11*100/mmBtuTOkWh</f>
        <v>11.869697692983838</v>
      </c>
      <c r="U26" s="268">
        <f>'Adjusted price'!T11*100/mmBtuTOkWh</f>
        <v>11.934555220150177</v>
      </c>
      <c r="V26" s="268">
        <f>'Adjusted price'!U11*100/mmBtuTOkWh</f>
        <v>11.98934736486191</v>
      </c>
      <c r="W26" s="268">
        <f>'Adjusted price'!V11*100/mmBtuTOkWh</f>
        <v>12.031406729320446</v>
      </c>
      <c r="X26" s="268">
        <f>'Adjusted price'!W11*100/mmBtuTOkWh</f>
        <v>12.126929539792908</v>
      </c>
      <c r="Y26" s="268">
        <f>'Adjusted price'!X11*100/mmBtuTOkWh</f>
        <v>12.231245197343064</v>
      </c>
      <c r="Z26" s="268">
        <f>'Adjusted price'!Y11*100/mmBtuTOkWh</f>
        <v>12.283810345483092</v>
      </c>
      <c r="AA26" s="268">
        <f>'Adjusted price'!Z11*100/mmBtuTOkWh</f>
        <v>12.352748405857374</v>
      </c>
      <c r="AB26" s="268">
        <f>'Adjusted price'!AA11*100/mmBtuTOkWh</f>
        <v>12.4537348094441</v>
      </c>
      <c r="AC26" s="268">
        <f>'Adjusted price'!AB11*100/mmBtuTOkWh</f>
        <v>12.560991104925256</v>
      </c>
      <c r="AD26" s="268">
        <f>'Adjusted price'!AC11*100/mmBtuTOkWh</f>
        <v>12.642635869483001</v>
      </c>
      <c r="AE26" s="268">
        <f>'Adjusted price'!AD11*100/mmBtuTOkWh</f>
        <v>12.724422302182317</v>
      </c>
      <c r="AF26" s="268">
        <f>'Adjusted price'!AE11*100/mmBtuTOkWh</f>
        <v>12.78855511095094</v>
      </c>
      <c r="AG26" s="268">
        <f>'Adjusted price'!AF11*100/mmBtuTOkWh</f>
        <v>12.827859258347484</v>
      </c>
    </row>
    <row r="27" spans="1:33" s="214" customFormat="1">
      <c r="A27" s="214" t="s">
        <v>1167</v>
      </c>
      <c r="C27" s="284">
        <f>'Adjusted price'!B15*parameters!$B86</f>
        <v>2.8818618749999998</v>
      </c>
      <c r="D27" s="284">
        <f>'Adjusted price'!C15*parameters!$B86</f>
        <v>2.9520728100000007</v>
      </c>
      <c r="E27" s="284">
        <f>'Adjusted price'!D15*parameters!$B86</f>
        <v>3.0546043650000003</v>
      </c>
      <c r="F27" s="284">
        <f>'Adjusted price'!E15*parameters!$B86</f>
        <v>3.1350183300000007</v>
      </c>
      <c r="G27" s="284">
        <f>'Adjusted price'!F15*parameters!$B86</f>
        <v>3.23418231</v>
      </c>
      <c r="H27" s="284">
        <f>'Adjusted price'!G15*parameters!$B86</f>
        <v>3.3373486349999997</v>
      </c>
      <c r="I27" s="284">
        <f>'Adjusted price'!H15*parameters!$B86</f>
        <v>3.4231616550000004</v>
      </c>
      <c r="J27" s="284">
        <f>'Adjusted price'!I15*parameters!$B86</f>
        <v>3.4898386950000004</v>
      </c>
      <c r="K27" s="284">
        <f>'Adjusted price'!J15*parameters!$B86</f>
        <v>3.5439797700000004</v>
      </c>
      <c r="L27" s="284">
        <f>'Adjusted price'!K15*parameters!$B86</f>
        <v>3.8479928850000005</v>
      </c>
      <c r="M27" s="284">
        <f>'Adjusted price'!L15*parameters!$B86</f>
        <v>3.8807093250000002</v>
      </c>
      <c r="N27" s="284">
        <f>'Adjusted price'!M15*parameters!$B86</f>
        <v>3.9497780250000001</v>
      </c>
      <c r="O27" s="284">
        <f>'Adjusted price'!N15*parameters!$B86</f>
        <v>3.9977204400000002</v>
      </c>
      <c r="P27" s="284">
        <f>'Adjusted price'!O15*parameters!$B86</f>
        <v>4.0507133400000006</v>
      </c>
      <c r="Q27" s="284">
        <f>'Adjusted price'!P15*parameters!$B86</f>
        <v>4.0851301050000002</v>
      </c>
      <c r="R27" s="284">
        <f>'Adjusted price'!Q15*parameters!$B86</f>
        <v>4.1070735450000004</v>
      </c>
      <c r="S27" s="284">
        <f>'Adjusted price'!R15*parameters!$B86</f>
        <v>4.1309682749999999</v>
      </c>
      <c r="T27" s="284">
        <f>'Adjusted price'!S15*parameters!$B86</f>
        <v>4.1466195000000008</v>
      </c>
      <c r="U27" s="284">
        <f>'Adjusted price'!T15*parameters!$B86</f>
        <v>4.1578721550000006</v>
      </c>
      <c r="V27" s="284">
        <f>'Adjusted price'!U15*parameters!$B86</f>
        <v>4.1699591100000006</v>
      </c>
      <c r="W27" s="284">
        <f>'Adjusted price'!V15*parameters!$B86</f>
        <v>4.1812557750000003</v>
      </c>
      <c r="X27" s="284">
        <f>'Adjusted price'!W15*parameters!$B86</f>
        <v>4.1866434900000007</v>
      </c>
      <c r="Y27" s="284">
        <f>'Adjusted price'!X15*parameters!$B86</f>
        <v>4.1962336200000001</v>
      </c>
      <c r="Z27" s="284">
        <f>'Adjusted price'!Y15*parameters!$B86</f>
        <v>4.2071370300000002</v>
      </c>
      <c r="AA27" s="284">
        <f>'Adjusted price'!Z15*parameters!$B86</f>
        <v>4.2171545699999999</v>
      </c>
      <c r="AB27" s="284">
        <f>'Adjusted price'!AA15*parameters!$B86</f>
        <v>4.2226429949999993</v>
      </c>
      <c r="AC27" s="284">
        <f>'Adjusted price'!AB15*parameters!$B86</f>
        <v>4.2243431850000004</v>
      </c>
      <c r="AD27" s="284">
        <f>'Adjusted price'!AC15*parameters!$B86</f>
        <v>4.2247737000000001</v>
      </c>
      <c r="AE27" s="284">
        <f>'Adjusted price'!AD15*parameters!$B86</f>
        <v>4.2246058949999998</v>
      </c>
      <c r="AF27" s="284">
        <f>'Adjusted price'!AE15*parameters!$B86</f>
        <v>4.2187103100000005</v>
      </c>
      <c r="AG27" s="284">
        <f>'Adjusted price'!AF15*parameters!$B86</f>
        <v>4.2067521450000003</v>
      </c>
    </row>
    <row r="28" spans="1:33" s="214" customFormat="1">
      <c r="A28" s="214" t="s">
        <v>1180</v>
      </c>
      <c r="C28" s="268">
        <f>'Adjusted price'!B16*parameters!$B83</f>
        <v>3.3696143269600003</v>
      </c>
      <c r="D28" s="268">
        <f>'Adjusted price'!C16*parameters!$B83</f>
        <v>3.3132930605000004</v>
      </c>
      <c r="E28" s="268">
        <f>'Adjusted price'!D16*parameters!$B83</f>
        <v>3.23568380138</v>
      </c>
      <c r="F28" s="268">
        <f>'Adjusted price'!E16*parameters!$B83</f>
        <v>3.2146334761199999</v>
      </c>
      <c r="G28" s="268">
        <f>'Adjusted price'!F16*parameters!$B83</f>
        <v>3.2499557974400006</v>
      </c>
      <c r="H28" s="268">
        <f>'Adjusted price'!G16*parameters!$B83</f>
        <v>3.3535033622200001</v>
      </c>
      <c r="I28" s="268">
        <f>'Adjusted price'!H16*parameters!$B83</f>
        <v>3.4451595889599997</v>
      </c>
      <c r="J28" s="268">
        <f>'Adjusted price'!I16*parameters!$B83</f>
        <v>3.5660476694800001</v>
      </c>
      <c r="K28" s="268">
        <f>'Adjusted price'!J16*parameters!$B83</f>
        <v>3.6317779547600004</v>
      </c>
      <c r="L28" s="268">
        <f>'Adjusted price'!K16*parameters!$B83</f>
        <v>4.0433145817999998</v>
      </c>
      <c r="M28" s="268">
        <f>'Adjusted price'!L16*parameters!$B83</f>
        <v>4.0957588472799999</v>
      </c>
      <c r="N28" s="268">
        <f>'Adjusted price'!M16*parameters!$B83</f>
        <v>4.2008226751200004</v>
      </c>
      <c r="O28" s="268">
        <f>'Adjusted price'!N16*parameters!$B83</f>
        <v>4.2749999070799998</v>
      </c>
      <c r="P28" s="268">
        <f>'Adjusted price'!O16*parameters!$B83</f>
        <v>4.3378471356799997</v>
      </c>
      <c r="Q28" s="268">
        <f>'Adjusted price'!P16*parameters!$B83</f>
        <v>4.3597806769599998</v>
      </c>
      <c r="R28" s="268">
        <f>'Adjusted price'!Q16*parameters!$B83</f>
        <v>4.3939293609400005</v>
      </c>
      <c r="S28" s="268">
        <f>'Adjusted price'!R16*parameters!$B83</f>
        <v>4.4402916764400002</v>
      </c>
      <c r="T28" s="268">
        <f>'Adjusted price'!S16*parameters!$B83</f>
        <v>4.43365608506</v>
      </c>
      <c r="U28" s="268">
        <f>'Adjusted price'!T16*parameters!$B83</f>
        <v>4.4586908424600002</v>
      </c>
      <c r="V28" s="268">
        <f>'Adjusted price'!U16*parameters!$B83</f>
        <v>4.4805484126000001</v>
      </c>
      <c r="W28" s="268">
        <f>'Adjusted price'!V16*parameters!$B83</f>
        <v>4.4943562016399996</v>
      </c>
      <c r="X28" s="268">
        <f>'Adjusted price'!W16*parameters!$B83</f>
        <v>4.5009599208599997</v>
      </c>
      <c r="Y28" s="268">
        <f>'Adjusted price'!X16*parameters!$B83</f>
        <v>4.5319833472200006</v>
      </c>
      <c r="Z28" s="268">
        <f>'Adjusted price'!Y16*parameters!$B83</f>
        <v>4.5336178944599999</v>
      </c>
      <c r="AA28" s="268">
        <f>'Adjusted price'!Z16*parameters!$B83</f>
        <v>4.5184475705800011</v>
      </c>
      <c r="AB28" s="268">
        <f>'Adjusted price'!AA16*parameters!$B83</f>
        <v>4.5228984078200005</v>
      </c>
      <c r="AC28" s="268">
        <f>'Adjusted price'!AB16*parameters!$B83</f>
        <v>4.5145786750200001</v>
      </c>
      <c r="AD28" s="268">
        <f>'Adjusted price'!AC16*parameters!$B83</f>
        <v>4.5007512406399997</v>
      </c>
      <c r="AE28" s="268">
        <f>'Adjusted price'!AD16*parameters!$B83</f>
        <v>4.50673194156</v>
      </c>
      <c r="AF28" s="268">
        <f>'Adjusted price'!AE16*parameters!$B83</f>
        <v>4.49927207018</v>
      </c>
      <c r="AG28" s="268">
        <f>'Adjusted price'!AF16*parameters!$B83</f>
        <v>4.4965401314999998</v>
      </c>
    </row>
    <row r="29" spans="1:33" s="214" customFormat="1">
      <c r="A29" s="214" t="s">
        <v>1164</v>
      </c>
      <c r="C29" s="268">
        <v>0.9528922666666666</v>
      </c>
      <c r="D29" s="268">
        <v>0.97717929999999986</v>
      </c>
      <c r="E29" s="268">
        <v>1.0095185333333334</v>
      </c>
      <c r="F29" s="268">
        <v>1.0497296666666667</v>
      </c>
      <c r="G29" s="268">
        <v>1.0895815</v>
      </c>
      <c r="H29" s="268">
        <v>1.1364315333333335</v>
      </c>
      <c r="I29" s="268">
        <v>1.174157866666667</v>
      </c>
      <c r="J29" s="268">
        <v>1.2033511000000001</v>
      </c>
      <c r="K29" s="268">
        <v>1.2366595333333332</v>
      </c>
      <c r="L29" s="268">
        <v>1.466948866666667</v>
      </c>
      <c r="M29" s="268">
        <v>1.4963652000000003</v>
      </c>
      <c r="N29" s="268">
        <v>1.5528863333333334</v>
      </c>
      <c r="O29" s="268">
        <v>1.5892811666666671</v>
      </c>
      <c r="P29" s="268">
        <v>1.6240297000000001</v>
      </c>
      <c r="Q29" s="268">
        <v>1.6561919333333339</v>
      </c>
      <c r="R29" s="268">
        <v>1.6881550666666669</v>
      </c>
      <c r="S29" s="268">
        <v>1.7204820000000001</v>
      </c>
      <c r="T29" s="268">
        <v>1.7519419333333339</v>
      </c>
      <c r="U29" s="268">
        <v>1.7809842666666669</v>
      </c>
      <c r="V29" s="268">
        <v>1.8106762000000003</v>
      </c>
      <c r="W29" s="268">
        <v>1.8434102333333335</v>
      </c>
      <c r="X29" s="268">
        <v>1.872105066666667</v>
      </c>
      <c r="Y29" s="268">
        <v>1.9032448000000002</v>
      </c>
      <c r="Z29" s="268">
        <v>1.9366299333333337</v>
      </c>
      <c r="AA29" s="268">
        <v>1.971224466666667</v>
      </c>
      <c r="AB29" s="268">
        <v>2.0072133000000005</v>
      </c>
      <c r="AC29" s="268">
        <v>2.0415465333333338</v>
      </c>
      <c r="AD29" s="268">
        <v>2.0779879666666674</v>
      </c>
      <c r="AE29" s="268">
        <v>2.1165953000000006</v>
      </c>
      <c r="AF29" s="268">
        <v>2.1549155333333339</v>
      </c>
      <c r="AG29" s="268">
        <v>2.1907145666666672</v>
      </c>
    </row>
    <row r="30" spans="1:33" s="217" customFormat="1">
      <c r="A30" s="217" t="s">
        <v>1165</v>
      </c>
      <c r="C30" s="268">
        <f>'Adjusted price'!B19*100/mmBtuTOkWh</f>
        <v>7.996603226038749</v>
      </c>
      <c r="D30" s="268">
        <f>'Adjusted price'!C19*100/mmBtuTOkWh</f>
        <v>7.7434131868968867</v>
      </c>
      <c r="E30" s="268">
        <f>'Adjusted price'!D19*100/mmBtuTOkWh</f>
        <v>8.0364089164808394</v>
      </c>
      <c r="F30" s="268">
        <f>'Adjusted price'!E19*100/mmBtuTOkWh</f>
        <v>8.2572287497289292</v>
      </c>
      <c r="G30" s="268">
        <f>'Adjusted price'!F19*100/mmBtuTOkWh</f>
        <v>8.2667443034147183</v>
      </c>
      <c r="H30" s="268">
        <f>'Adjusted price'!G19*100/mmBtuTOkWh</f>
        <v>8.5457453805422627</v>
      </c>
      <c r="I30" s="268">
        <f>'Adjusted price'!H19*100/mmBtuTOkWh</f>
        <v>8.7054517483535356</v>
      </c>
      <c r="J30" s="268">
        <f>'Adjusted price'!I19*100/mmBtuTOkWh</f>
        <v>8.7726824071622307</v>
      </c>
      <c r="K30" s="268">
        <f>'Adjusted price'!J19*100/mmBtuTOkWh</f>
        <v>8.8017803806820556</v>
      </c>
      <c r="L30" s="268">
        <f>'Adjusted price'!K19*100/mmBtuTOkWh</f>
        <v>8.9372361504672888</v>
      </c>
      <c r="M30" s="268">
        <f>'Adjusted price'!L19*100/mmBtuTOkWh</f>
        <v>9.0740998150434464</v>
      </c>
      <c r="N30" s="268">
        <f>'Adjusted price'!M19*100/mmBtuTOkWh</f>
        <v>9.1740860241368694</v>
      </c>
      <c r="O30" s="268">
        <f>'Adjusted price'!N19*100/mmBtuTOkWh</f>
        <v>9.2705505623611462</v>
      </c>
      <c r="P30" s="268">
        <f>'Adjusted price'!O19*100/mmBtuTOkWh</f>
        <v>9.2815792826050636</v>
      </c>
      <c r="Q30" s="268">
        <f>'Adjusted price'!P19*100/mmBtuTOkWh</f>
        <v>9.2835939185088705</v>
      </c>
      <c r="R30" s="268">
        <f>'Adjusted price'!Q19*100/mmBtuTOkWh</f>
        <v>9.2987688426131925</v>
      </c>
      <c r="S30" s="268">
        <f>'Adjusted price'!R19*100/mmBtuTOkWh</f>
        <v>9.3891395199285093</v>
      </c>
      <c r="T30" s="268">
        <f>'Adjusted price'!S19*100/mmBtuTOkWh</f>
        <v>9.4196266282369159</v>
      </c>
      <c r="U30" s="268">
        <f>'Adjusted price'!T19*100/mmBtuTOkWh</f>
        <v>9.3907709200742797</v>
      </c>
      <c r="V30" s="268">
        <f>'Adjusted price'!U19*100/mmBtuTOkWh</f>
        <v>9.3496928488927509</v>
      </c>
      <c r="W30" s="268">
        <f>'Adjusted price'!V19*100/mmBtuTOkWh</f>
        <v>9.2915292629062929</v>
      </c>
      <c r="X30" s="268">
        <f>'Adjusted price'!W19*100/mmBtuTOkWh</f>
        <v>9.290157710119777</v>
      </c>
      <c r="Y30" s="268">
        <f>'Adjusted price'!X19*100/mmBtuTOkWh</f>
        <v>9.2812213058641166</v>
      </c>
      <c r="Z30" s="268">
        <f>'Adjusted price'!Y19*100/mmBtuTOkWh</f>
        <v>9.2253673299647758</v>
      </c>
      <c r="AA30" s="268">
        <f>'Adjusted price'!Z19*100/mmBtuTOkWh</f>
        <v>9.1775745124233605</v>
      </c>
      <c r="AB30" s="268">
        <f>'Adjusted price'!AA19*100/mmBtuTOkWh</f>
        <v>9.1571293555012172</v>
      </c>
      <c r="AC30" s="268">
        <f>'Adjusted price'!AB19*100/mmBtuTOkWh</f>
        <v>9.1391143273554629</v>
      </c>
      <c r="AD30" s="268">
        <f>'Adjusted price'!AC19*100/mmBtuTOkWh</f>
        <v>9.0982898613715655</v>
      </c>
      <c r="AE30" s="268">
        <f>'Adjusted price'!AD19*100/mmBtuTOkWh</f>
        <v>9.0636116872637054</v>
      </c>
      <c r="AF30" s="268">
        <f>'Adjusted price'!AE19*100/mmBtuTOkWh</f>
        <v>9.0135936572906825</v>
      </c>
      <c r="AG30" s="268">
        <f>'Adjusted price'!AF19*100/mmBtuTOkWh</f>
        <v>8.9461169367461419</v>
      </c>
    </row>
    <row r="31" spans="1:33" s="214" customFormat="1">
      <c r="A31" s="214" t="s">
        <v>1168</v>
      </c>
      <c r="C31" s="284">
        <f>'Adjusted price'!B34*parameters!$B$83</f>
        <v>2.68587365482</v>
      </c>
      <c r="D31" s="284">
        <f>'Adjusted price'!C34*parameters!$B$83</f>
        <v>2.7537720712599998</v>
      </c>
      <c r="E31" s="284">
        <f>'Adjusted price'!D34*parameters!$B$83</f>
        <v>2.8176039023199997</v>
      </c>
      <c r="F31" s="284">
        <f>'Adjusted price'!E34*parameters!$B$83</f>
        <v>2.8749894516399999</v>
      </c>
      <c r="G31" s="284">
        <f>'Adjusted price'!F34*parameters!$B$83</f>
        <v>3.21538618114</v>
      </c>
      <c r="H31" s="284">
        <f>'Adjusted price'!G34*parameters!$B$83</f>
        <v>3.2500662509600002</v>
      </c>
      <c r="I31" s="284">
        <f>'Adjusted price'!H34*parameters!$B$83</f>
        <v>3.28366898682</v>
      </c>
      <c r="J31" s="284">
        <f>'Adjusted price'!I34*parameters!$B$83</f>
        <v>3.31505070022</v>
      </c>
      <c r="K31" s="284">
        <f>'Adjusted price'!J34*parameters!$B$83</f>
        <v>3.3527604111799998</v>
      </c>
      <c r="L31" s="284">
        <f>'Adjusted price'!K34*parameters!$B$83</f>
        <v>3.4528910606000003</v>
      </c>
      <c r="M31" s="284">
        <f>'Adjusted price'!L34*parameters!$B$83</f>
        <v>3.4916507668999999</v>
      </c>
      <c r="N31" s="284">
        <f>'Adjusted price'!M34*parameters!$B$83</f>
        <v>3.5442876391400002</v>
      </c>
      <c r="O31" s="284">
        <f>'Adjusted price'!N34*parameters!$B$83</f>
        <v>3.60502333714</v>
      </c>
      <c r="P31" s="284">
        <f>'Adjusted price'!O34*parameters!$B$83</f>
        <v>3.6617522100600004</v>
      </c>
      <c r="Q31" s="284">
        <f>'Adjusted price'!P34*parameters!$B$83</f>
        <v>3.6941973820399996</v>
      </c>
      <c r="R31" s="284">
        <f>'Adjusted price'!Q34*parameters!$B$83</f>
        <v>3.72420598234</v>
      </c>
      <c r="S31" s="284">
        <f>'Adjusted price'!R34*parameters!$B$83</f>
        <v>3.755804344</v>
      </c>
      <c r="T31" s="284">
        <f>'Adjusted price'!S34*parameters!$B$83</f>
        <v>3.7686195625400005</v>
      </c>
      <c r="U31" s="284">
        <f>'Adjusted price'!T34*parameters!$B$83</f>
        <v>3.8157267523999994</v>
      </c>
      <c r="V31" s="284">
        <f>'Adjusted price'!U34*parameters!$B$83</f>
        <v>3.8359071874999997</v>
      </c>
      <c r="W31" s="284">
        <f>'Adjusted price'!V34*parameters!$B$83</f>
        <v>3.8520475515600001</v>
      </c>
      <c r="X31" s="284">
        <f>'Adjusted price'!W34*parameters!$B$83</f>
        <v>3.8765665844399999</v>
      </c>
      <c r="Y31" s="284">
        <f>'Adjusted price'!X34*parameters!$B$83</f>
        <v>3.8960852600800004</v>
      </c>
      <c r="Z31" s="284">
        <f>'Adjusted price'!Y34*parameters!$B$83</f>
        <v>3.9214751447800005</v>
      </c>
      <c r="AA31" s="284">
        <f>'Adjusted price'!Z34*parameters!$B$83</f>
        <v>3.9405025495400001</v>
      </c>
      <c r="AB31" s="284">
        <f>'Adjusted price'!AA34*parameters!$B$83</f>
        <v>3.9681193640399997</v>
      </c>
      <c r="AC31" s="284">
        <f>'Adjusted price'!AB34*parameters!$B$83</f>
        <v>3.9859011443399996</v>
      </c>
      <c r="AD31" s="284">
        <f>'Adjusted price'!AC34*parameters!$B$83</f>
        <v>4.0080336118600002</v>
      </c>
      <c r="AE31" s="284">
        <f>'Adjusted price'!AD34*parameters!$B$83</f>
        <v>4.0371305584800004</v>
      </c>
      <c r="AF31" s="284">
        <f>'Adjusted price'!AE34*parameters!$B$83</f>
        <v>4.0641813673800007</v>
      </c>
      <c r="AG31" s="284">
        <f>'Adjusted price'!AF34*parameters!$B$83</f>
        <v>4.0815885124199998</v>
      </c>
    </row>
    <row r="32" spans="1:33">
      <c r="A32" s="214" t="s">
        <v>555</v>
      </c>
      <c r="C32" s="268">
        <f>'Adjusted price'!B26</f>
        <v>5.3327046666666673</v>
      </c>
      <c r="D32" s="268">
        <f>'Adjusted price'!C26</f>
        <v>5.4029516666666666</v>
      </c>
      <c r="E32" s="268">
        <f>'Adjusted price'!D26</f>
        <v>5.584164666666668</v>
      </c>
      <c r="F32" s="268">
        <f>'Adjusted price'!E26</f>
        <v>5.8579006666666675</v>
      </c>
      <c r="G32" s="268">
        <f>'Adjusted price'!F26</f>
        <v>6.1478666666666673</v>
      </c>
      <c r="H32" s="268">
        <f>'Adjusted price'!G26</f>
        <v>6.5405616666666679</v>
      </c>
      <c r="I32" s="268">
        <f>'Adjusted price'!H26</f>
        <v>6.8100296666666669</v>
      </c>
      <c r="J32" s="268">
        <f>'Adjusted price'!I26</f>
        <v>6.9717156666666682</v>
      </c>
      <c r="K32" s="268">
        <f>'Adjusted price'!J26</f>
        <v>7.2116566666666673</v>
      </c>
      <c r="L32" s="268">
        <f>'Adjusted price'!K26</f>
        <v>7.3390366666666669</v>
      </c>
      <c r="M32" s="268">
        <f>'Adjusted price'!L26</f>
        <v>7.519891666666668</v>
      </c>
      <c r="N32" s="268">
        <f>'Adjusted price'!M26</f>
        <v>7.6746226666666688</v>
      </c>
      <c r="O32" s="268">
        <f>'Adjusted price'!N26</f>
        <v>7.9626556666666684</v>
      </c>
      <c r="P32" s="268">
        <f>'Adjusted price'!O26</f>
        <v>8.1927846666666699</v>
      </c>
      <c r="Q32" s="268">
        <f>'Adjusted price'!P26</f>
        <v>8.3096853333333343</v>
      </c>
      <c r="R32" s="268">
        <f>'Adjusted price'!Q26</f>
        <v>8.3655623333333349</v>
      </c>
      <c r="S32" s="268">
        <f>'Adjusted price'!R26</f>
        <v>8.4243483333333344</v>
      </c>
      <c r="T32" s="268">
        <f>'Adjusted price'!S26</f>
        <v>8.4691923333333357</v>
      </c>
      <c r="U32" s="268">
        <f>'Adjusted price'!T26</f>
        <v>8.4915023333333348</v>
      </c>
      <c r="V32" s="268">
        <f>'Adjusted price'!U26</f>
        <v>8.515490333333334</v>
      </c>
      <c r="W32" s="268">
        <f>'Adjusted price'!V26</f>
        <v>8.588475333333335</v>
      </c>
      <c r="X32" s="268">
        <f>'Adjusted price'!W26</f>
        <v>8.592033333333335</v>
      </c>
      <c r="Y32" s="268">
        <f>'Adjusted price'!X26</f>
        <v>8.6293533333333343</v>
      </c>
      <c r="Z32" s="268">
        <f>'Adjusted price'!Y26</f>
        <v>8.7039663333333355</v>
      </c>
      <c r="AA32" s="268">
        <f>'Adjusted price'!Z26</f>
        <v>8.8067403333333356</v>
      </c>
      <c r="AB32" s="268">
        <f>'Adjusted price'!AA26</f>
        <v>8.9076483333333343</v>
      </c>
      <c r="AC32" s="268">
        <f>'Adjusted price'!AB26</f>
        <v>8.9858323333333345</v>
      </c>
      <c r="AD32" s="268">
        <f>'Adjusted price'!AC26</f>
        <v>9.094143333333335</v>
      </c>
      <c r="AE32" s="268">
        <f>'Adjusted price'!AD26</f>
        <v>9.2464293333333352</v>
      </c>
      <c r="AF32" s="268">
        <f>'Adjusted price'!AE26</f>
        <v>9.3653613333333361</v>
      </c>
      <c r="AG32" s="268">
        <f>'Adjusted price'!AF26</f>
        <v>9.4653333333333336</v>
      </c>
    </row>
    <row r="33" spans="1:33" s="217" customFormat="1">
      <c r="A33" s="217" t="s">
        <v>858</v>
      </c>
      <c r="C33" s="268">
        <f>'Adjusted price'!B30*100/mmBtuTOkWh</f>
        <v>4.3974023668601907</v>
      </c>
      <c r="D33" s="268">
        <f>'Adjusted price'!C30*100/mmBtuTOkWh</f>
        <v>4.2449449820493568</v>
      </c>
      <c r="E33" s="268">
        <f>'Adjusted price'!D30*100/mmBtuTOkWh</f>
        <v>4.4789060324444945</v>
      </c>
      <c r="F33" s="268">
        <f>'Adjusted price'!E30*100/mmBtuTOkWh</f>
        <v>4.5639517188689975</v>
      </c>
      <c r="G33" s="268">
        <f>'Adjusted price'!F30*100/mmBtuTOkWh</f>
        <v>4.5485901148086558</v>
      </c>
      <c r="H33" s="268">
        <f>'Adjusted price'!G30*100/mmBtuTOkWh</f>
        <v>4.7384832594485191</v>
      </c>
      <c r="I33" s="268">
        <f>'Adjusted price'!H30*100/mmBtuTOkWh</f>
        <v>4.7823540123765449</v>
      </c>
      <c r="J33" s="268">
        <f>'Adjusted price'!I30*100/mmBtuTOkWh</f>
        <v>4.8064690158567638</v>
      </c>
      <c r="K33" s="268">
        <f>'Adjusted price'!J30*100/mmBtuTOkWh</f>
        <v>4.8378024477508923</v>
      </c>
      <c r="L33" s="268">
        <f>'Adjusted price'!K30*100/mmBtuTOkWh</f>
        <v>4.9472288832261446</v>
      </c>
      <c r="M33" s="268">
        <f>'Adjusted price'!L30*100/mmBtuTOkWh</f>
        <v>5.0379712337449991</v>
      </c>
      <c r="N33" s="268">
        <f>'Adjusted price'!M30*100/mmBtuTOkWh</f>
        <v>5.0987188756186601</v>
      </c>
      <c r="O33" s="268">
        <f>'Adjusted price'!N30*100/mmBtuTOkWh</f>
        <v>5.1498707293691464</v>
      </c>
      <c r="P33" s="268">
        <f>'Adjusted price'!O30*100/mmBtuTOkWh</f>
        <v>5.1525110163392709</v>
      </c>
      <c r="Q33" s="268">
        <f>'Adjusted price'!P30*100/mmBtuTOkWh</f>
        <v>5.1516753359842999</v>
      </c>
      <c r="R33" s="268">
        <f>'Adjusted price'!Q30*100/mmBtuTOkWh</f>
        <v>5.1560645606384945</v>
      </c>
      <c r="S33" s="268">
        <f>'Adjusted price'!R30*100/mmBtuTOkWh</f>
        <v>5.2225796045481223</v>
      </c>
      <c r="T33" s="268">
        <f>'Adjusted price'!S30*100/mmBtuTOkWh</f>
        <v>5.221287257852115</v>
      </c>
      <c r="U33" s="268">
        <f>'Adjusted price'!T30*100/mmBtuTOkWh</f>
        <v>5.201394403919684</v>
      </c>
      <c r="V33" s="268">
        <f>'Adjusted price'!U30*100/mmBtuTOkWh</f>
        <v>5.1735535630203415</v>
      </c>
      <c r="W33" s="268">
        <f>'Adjusted price'!V30*100/mmBtuTOkWh</f>
        <v>5.1413970198500563</v>
      </c>
      <c r="X33" s="268">
        <f>'Adjusted price'!W30*100/mmBtuTOkWh</f>
        <v>5.1461667554285784</v>
      </c>
      <c r="Y33" s="268">
        <f>'Adjusted price'!X30*100/mmBtuTOkWh</f>
        <v>5.1317528522077076</v>
      </c>
      <c r="Z33" s="268">
        <f>'Adjusted price'!Y30*100/mmBtuTOkWh</f>
        <v>5.1059904255712523</v>
      </c>
      <c r="AA33" s="268">
        <f>'Adjusted price'!Z30*100/mmBtuTOkWh</f>
        <v>5.0828437884986704</v>
      </c>
      <c r="AB33" s="268">
        <f>'Adjusted price'!AA30*100/mmBtuTOkWh</f>
        <v>5.0709776154350505</v>
      </c>
      <c r="AC33" s="268">
        <f>'Adjusted price'!AB30*100/mmBtuTOkWh</f>
        <v>5.0640058242538899</v>
      </c>
      <c r="AD33" s="268">
        <f>'Adjusted price'!AC30*100/mmBtuTOkWh</f>
        <v>5.047568763676793</v>
      </c>
      <c r="AE33" s="268">
        <f>'Adjusted price'!AD30*100/mmBtuTOkWh</f>
        <v>5.0373668663478162</v>
      </c>
      <c r="AF33" s="268">
        <f>'Adjusted price'!AE30*100/mmBtuTOkWh</f>
        <v>5.016457037491012</v>
      </c>
      <c r="AG33" s="268">
        <f>'Adjusted price'!AF30*100/mmBtuTOkWh</f>
        <v>4.9899136438906204</v>
      </c>
    </row>
    <row r="34" spans="1:33">
      <c r="A34" s="214" t="s">
        <v>1084</v>
      </c>
      <c r="C34" s="285">
        <f>'Adjusted price'!B25*parameters!$B$160</f>
        <v>56.802823650000001</v>
      </c>
      <c r="D34" s="285">
        <f>'Adjusted price'!C25*parameters!$B$160</f>
        <v>58.068967350000001</v>
      </c>
      <c r="E34" s="285">
        <f>'Adjusted price'!D25*parameters!$B$160</f>
        <v>58.348876049999994</v>
      </c>
      <c r="F34" s="285">
        <f>'Adjusted price'!E25*parameters!$B$160</f>
        <v>60.716395049999996</v>
      </c>
      <c r="G34" s="285">
        <f>'Adjusted price'!F25*parameters!$B$160</f>
        <v>64.050002549999988</v>
      </c>
      <c r="H34" s="285">
        <f>'Adjusted price'!G25*parameters!$B$160</f>
        <v>65.283490049999997</v>
      </c>
      <c r="I34" s="285">
        <f>'Adjusted price'!H25*parameters!$B$160</f>
        <v>67.492817400000007</v>
      </c>
      <c r="J34" s="285">
        <f>'Adjusted price'!I25*parameters!$B$160</f>
        <v>70.514170800000002</v>
      </c>
      <c r="K34" s="285">
        <f>'Adjusted price'!J25*parameters!$B$160</f>
        <v>71.605350749999999</v>
      </c>
      <c r="L34" s="285">
        <f>'Adjusted price'!K25*parameters!$B$160</f>
        <v>73.907524049999992</v>
      </c>
      <c r="M34" s="285">
        <f>'Adjusted price'!L25*parameters!$B$160</f>
        <v>74.491717050000005</v>
      </c>
      <c r="N34" s="285">
        <f>'Adjusted price'!M25*parameters!$B$160</f>
        <v>75.601517250000001</v>
      </c>
      <c r="O34" s="285">
        <f>'Adjusted price'!N25*parameters!$B$160</f>
        <v>76.903230899999997</v>
      </c>
      <c r="P34" s="285">
        <f>'Adjusted price'!O25*parameters!$B$160</f>
        <v>77.714380050000003</v>
      </c>
      <c r="Q34" s="285">
        <f>'Adjusted price'!P25*parameters!$B$160</f>
        <v>78.251941950000003</v>
      </c>
      <c r="R34" s="285">
        <f>'Adjusted price'!Q25*parameters!$B$160</f>
        <v>79.269878550000001</v>
      </c>
      <c r="S34" s="285">
        <f>'Adjusted price'!R25*parameters!$B$160</f>
        <v>80.775654599999996</v>
      </c>
      <c r="T34" s="285">
        <f>'Adjusted price'!S25*parameters!$B$160</f>
        <v>81.531209399999995</v>
      </c>
      <c r="U34" s="285">
        <f>'Adjusted price'!T25*parameters!$B$160</f>
        <v>81.918671549999999</v>
      </c>
      <c r="V34" s="285">
        <f>'Adjusted price'!U25*parameters!$B$160</f>
        <v>82.6300095</v>
      </c>
      <c r="W34" s="285">
        <f>'Adjusted price'!V25*parameters!$B$160</f>
        <v>83.151315449999998</v>
      </c>
      <c r="X34" s="285">
        <f>'Adjusted price'!W25*parameters!$B$160</f>
        <v>83.681706750000004</v>
      </c>
      <c r="Y34" s="285">
        <f>'Adjusted price'!X25*parameters!$B$160</f>
        <v>85.444314599999998</v>
      </c>
      <c r="Z34" s="285">
        <f>'Adjusted price'!Y25*parameters!$B$160</f>
        <v>85.505475599999997</v>
      </c>
      <c r="AA34" s="285">
        <f>'Adjusted price'!Z25*parameters!$B$160</f>
        <v>84.918885000000003</v>
      </c>
      <c r="AB34" s="285">
        <f>'Adjusted price'!AA25*parameters!$B$160</f>
        <v>84.979829549999991</v>
      </c>
      <c r="AC34" s="285">
        <f>'Adjusted price'!AB25*parameters!$B$160</f>
        <v>85.008317700000006</v>
      </c>
      <c r="AD34" s="285">
        <f>'Adjusted price'!AC25*parameters!$B$160</f>
        <v>85.171970549999998</v>
      </c>
      <c r="AE34" s="285">
        <f>'Adjusted price'!AD25*parameters!$B$160</f>
        <v>85.2860175</v>
      </c>
      <c r="AF34" s="285">
        <f>'Adjusted price'!AE25*parameters!$B$160</f>
        <v>85.116254099999992</v>
      </c>
      <c r="AG34" s="285">
        <f>'Adjusted price'!AF25*parameters!$B$160</f>
        <v>85.149826050000001</v>
      </c>
    </row>
    <row r="35" spans="1:33">
      <c r="A35" s="214" t="s">
        <v>860</v>
      </c>
      <c r="C35" s="268">
        <f>'Adjusted price'!B36*parameters!$B$74</f>
        <v>3.1871610181581076</v>
      </c>
      <c r="D35" s="268">
        <f>'Adjusted price'!C36*parameters!$B$74</f>
        <v>3.3853557805410022</v>
      </c>
      <c r="E35" s="268">
        <f>'Adjusted price'!D36*parameters!$B$74</f>
        <v>3.485207705987333</v>
      </c>
      <c r="F35" s="268">
        <f>'Adjusted price'!E36*parameters!$B$74</f>
        <v>3.5694319912330563</v>
      </c>
      <c r="G35" s="268">
        <f>'Adjusted price'!F36*parameters!$B$74</f>
        <v>3.9616431851791392</v>
      </c>
      <c r="H35" s="268">
        <f>'Adjusted price'!G36*parameters!$B$74</f>
        <v>3.9956141114396444</v>
      </c>
      <c r="I35" s="268">
        <f>'Adjusted price'!H36*parameters!$B$74</f>
        <v>4.0336384440970932</v>
      </c>
      <c r="J35" s="268">
        <f>'Adjusted price'!I36*parameters!$B$74</f>
        <v>4.0798264938123445</v>
      </c>
      <c r="K35" s="268">
        <f>'Adjusted price'!J36*parameters!$B$74</f>
        <v>4.1406198933688261</v>
      </c>
      <c r="L35" s="268">
        <f>'Adjusted price'!K36*parameters!$B$74</f>
        <v>4.2440227850994781</v>
      </c>
      <c r="M35" s="268">
        <f>'Adjusted price'!L36*parameters!$B$74</f>
        <v>4.2873326708951698</v>
      </c>
      <c r="N35" s="268">
        <f>'Adjusted price'!M36*parameters!$B$74</f>
        <v>4.3574400248277456</v>
      </c>
      <c r="O35" s="268">
        <f>'Adjusted price'!N36*parameters!$B$74</f>
        <v>4.4005061687455482</v>
      </c>
      <c r="P35" s="268">
        <f>'Adjusted price'!O36*parameters!$B$74</f>
        <v>4.4341787857950008</v>
      </c>
      <c r="Q35" s="268">
        <f>'Adjusted price'!P36*parameters!$B$74</f>
        <v>4.465068809076941</v>
      </c>
      <c r="R35" s="268">
        <f>'Adjusted price'!Q36*parameters!$B$74</f>
        <v>4.4820210216302678</v>
      </c>
      <c r="S35" s="268">
        <f>'Adjusted price'!R36*parameters!$B$74</f>
        <v>4.4862367278682411</v>
      </c>
      <c r="T35" s="268">
        <f>'Adjusted price'!S36*parameters!$B$74</f>
        <v>4.534715655330138</v>
      </c>
      <c r="U35" s="268">
        <f>'Adjusted price'!T36*parameters!$B$74</f>
        <v>4.5474944600921807</v>
      </c>
      <c r="V35" s="268">
        <f>'Adjusted price'!U36*parameters!$B$74</f>
        <v>4.5718002926566106</v>
      </c>
      <c r="W35" s="268">
        <f>'Adjusted price'!V36*parameters!$B$74</f>
        <v>4.6001133772355445</v>
      </c>
      <c r="X35" s="268">
        <f>'Adjusted price'!W36*parameters!$B$74</f>
        <v>4.6218273198980722</v>
      </c>
      <c r="Y35" s="268">
        <f>'Adjusted price'!X36*parameters!$B$74</f>
        <v>4.6378643903671986</v>
      </c>
      <c r="Z35" s="268">
        <f>'Adjusted price'!Y36*parameters!$B$74</f>
        <v>4.6477854793538018</v>
      </c>
      <c r="AA35" s="268">
        <f>'Adjusted price'!Z36*parameters!$B$74</f>
        <v>4.6573237790825086</v>
      </c>
      <c r="AB35" s="268">
        <f>'Adjusted price'!AA36*parameters!$B$74</f>
        <v>4.6725848716939797</v>
      </c>
      <c r="AC35" s="268">
        <f>'Adjusted price'!AB36*parameters!$B$74</f>
        <v>4.6612547303078165</v>
      </c>
      <c r="AD35" s="268">
        <f>'Adjusted price'!AC36*parameters!$B$74</f>
        <v>4.6778088467067924</v>
      </c>
      <c r="AE35" s="268">
        <f>'Adjusted price'!AD36*parameters!$B$74</f>
        <v>4.7006028019183823</v>
      </c>
      <c r="AF35" s="268">
        <f>'Adjusted price'!AE36*parameters!$B$74</f>
        <v>4.7057955789055983</v>
      </c>
      <c r="AG35" s="268">
        <f>'Adjusted price'!AF36*parameters!$B$74</f>
        <v>4.7185680739545992</v>
      </c>
    </row>
    <row r="36" spans="1:33">
      <c r="A36" s="214" t="s">
        <v>861</v>
      </c>
      <c r="C36" s="268">
        <f>'Adjusted price'!B38*parameters!$B$83</f>
        <v>3.2683389656812971</v>
      </c>
      <c r="D36" s="268">
        <f>'Adjusted price'!C38*parameters!$B$83</f>
        <v>3.4530056877556881</v>
      </c>
      <c r="E36" s="268">
        <f>'Adjusted price'!D38*parameters!$B$83</f>
        <v>3.5356815424770773</v>
      </c>
      <c r="F36" s="268">
        <f>'Adjusted price'!E38*parameters!$B$83</f>
        <v>3.6219842211495492</v>
      </c>
      <c r="G36" s="268">
        <f>'Adjusted price'!F38*parameters!$B$83</f>
        <v>4.0511871757783195</v>
      </c>
      <c r="H36" s="268">
        <f>'Adjusted price'!G38*parameters!$B$83</f>
        <v>4.1244382936193462</v>
      </c>
      <c r="I36" s="268">
        <f>'Adjusted price'!H38*parameters!$B$83</f>
        <v>4.1738419751221478</v>
      </c>
      <c r="J36" s="268">
        <f>'Adjusted price'!I38*parameters!$B$83</f>
        <v>4.2442759955210079</v>
      </c>
      <c r="K36" s="268">
        <f>'Adjusted price'!J38*parameters!$B$83</f>
        <v>4.3176849657126963</v>
      </c>
      <c r="L36" s="268">
        <f>'Adjusted price'!K38*parameters!$B$83</f>
        <v>4.443789638831098</v>
      </c>
      <c r="M36" s="268">
        <f>'Adjusted price'!L38*parameters!$B$83</f>
        <v>4.5024712845083616</v>
      </c>
      <c r="N36" s="268">
        <f>'Adjusted price'!M38*parameters!$B$83</f>
        <v>4.5762804253990792</v>
      </c>
      <c r="O36" s="268">
        <f>'Adjusted price'!N38*parameters!$B$83</f>
        <v>4.6216452505144332</v>
      </c>
      <c r="P36" s="268">
        <f>'Adjusted price'!O38*parameters!$B$83</f>
        <v>4.6915989357256951</v>
      </c>
      <c r="Q36" s="268">
        <f>'Adjusted price'!P38*parameters!$B$83</f>
        <v>4.7376460485555958</v>
      </c>
      <c r="R36" s="268">
        <f>'Adjusted price'!Q38*parameters!$B$83</f>
        <v>4.7553806493557946</v>
      </c>
      <c r="S36" s="268">
        <f>'Adjusted price'!R38*parameters!$B$83</f>
        <v>4.7742499361283262</v>
      </c>
      <c r="T36" s="268">
        <f>'Adjusted price'!S38*parameters!$B$83</f>
        <v>4.8290975667652365</v>
      </c>
      <c r="U36" s="268">
        <f>'Adjusted price'!T38*parameters!$B$83</f>
        <v>4.8513804269143845</v>
      </c>
      <c r="V36" s="268">
        <f>'Adjusted price'!U38*parameters!$B$83</f>
        <v>4.871814550573518</v>
      </c>
      <c r="W36" s="268">
        <f>'Adjusted price'!V38*parameters!$B$83</f>
        <v>4.8912447280685019</v>
      </c>
      <c r="X36" s="268">
        <f>'Adjusted price'!W38*parameters!$B$83</f>
        <v>4.9130348698976718</v>
      </c>
      <c r="Y36" s="268">
        <f>'Adjusted price'!X38*parameters!$B$83</f>
        <v>4.9164931528996201</v>
      </c>
      <c r="Z36" s="268">
        <f>'Adjusted price'!Y38*parameters!$B$83</f>
        <v>4.9272689546970687</v>
      </c>
      <c r="AA36" s="268">
        <f>'Adjusted price'!Z38*parameters!$B$83</f>
        <v>4.9348552526396032</v>
      </c>
      <c r="AB36" s="268">
        <f>'Adjusted price'!AA38*parameters!$B$83</f>
        <v>4.9455727885404812</v>
      </c>
      <c r="AC36" s="268">
        <f>'Adjusted price'!AB38*parameters!$B$83</f>
        <v>4.9393200887809376</v>
      </c>
      <c r="AD36" s="268">
        <f>'Adjusted price'!AC38*parameters!$B$83</f>
        <v>4.9497113617307811</v>
      </c>
      <c r="AE36" s="268">
        <f>'Adjusted price'!AD38*parameters!$B$83</f>
        <v>4.9570237969245659</v>
      </c>
      <c r="AF36" s="268">
        <f>'Adjusted price'!AE38*parameters!$B$83</f>
        <v>4.9354858799496704</v>
      </c>
      <c r="AG36" s="268">
        <f>'Adjusted price'!AF38*parameters!$B$83</f>
        <v>4.9455031823016267</v>
      </c>
    </row>
    <row r="37" spans="1:33">
      <c r="A37" s="214" t="s">
        <v>1026</v>
      </c>
      <c r="C37" s="274">
        <f>'Adjusted price'!B37*parameters!$B$86</f>
        <v>2.2485298950000003</v>
      </c>
      <c r="D37" s="274">
        <f>'Adjusted price'!C37*parameters!$B$86</f>
        <v>2.46495555</v>
      </c>
      <c r="E37" s="274">
        <f>'Adjusted price'!D37*parameters!$B$86</f>
        <v>2.5556821650000003</v>
      </c>
      <c r="F37" s="274">
        <f>'Adjusted price'!E37*parameters!$B$86</f>
        <v>2.6338462200000001</v>
      </c>
      <c r="G37" s="274">
        <f>'Adjusted price'!F37*parameters!$B$86</f>
        <v>2.7135232200000003</v>
      </c>
      <c r="H37" s="274">
        <f>'Adjusted price'!G37*parameters!$B$86</f>
        <v>2.7303567750000002</v>
      </c>
      <c r="I37" s="274">
        <f>'Adjusted price'!H37*parameters!$B$86</f>
        <v>2.7439960950000004</v>
      </c>
      <c r="J37" s="274">
        <f>'Adjusted price'!I37*parameters!$B$86</f>
        <v>2.789019675</v>
      </c>
      <c r="K37" s="274">
        <f>'Adjusted price'!J37*parameters!$B$86</f>
        <v>2.8287558450000003</v>
      </c>
      <c r="L37" s="274">
        <f>'Adjusted price'!K37*parameters!$B$86</f>
        <v>2.9039265450000005</v>
      </c>
      <c r="M37" s="274">
        <f>'Adjusted price'!L37*parameters!$B$86</f>
        <v>2.9326382100000004</v>
      </c>
      <c r="N37" s="274">
        <f>'Adjusted price'!M37*parameters!$B$86</f>
        <v>2.9852625600000002</v>
      </c>
      <c r="O37" s="274">
        <f>'Adjusted price'!N37*parameters!$B$86</f>
        <v>3.0173612400000001</v>
      </c>
      <c r="P37" s="274">
        <f>'Adjusted price'!O37*parameters!$B$86</f>
        <v>3.062775915</v>
      </c>
      <c r="Q37" s="274">
        <f>'Adjusted price'!P37*parameters!$B$86</f>
        <v>3.0929843250000002</v>
      </c>
      <c r="R37" s="274">
        <f>'Adjusted price'!Q37*parameters!$B$86</f>
        <v>3.1197360600000001</v>
      </c>
      <c r="S37" s="274">
        <f>'Adjusted price'!R37*parameters!$B$86</f>
        <v>3.145089735</v>
      </c>
      <c r="T37" s="274">
        <f>'Adjusted price'!S37*parameters!$B$86</f>
        <v>3.212317305</v>
      </c>
      <c r="U37" s="274">
        <f>'Adjusted price'!T37*parameters!$B$86</f>
        <v>3.24759888</v>
      </c>
      <c r="V37" s="274">
        <f>'Adjusted price'!U37*parameters!$B$86</f>
        <v>3.2729463449999998</v>
      </c>
      <c r="W37" s="274">
        <f>'Adjusted price'!V37*parameters!$B$86</f>
        <v>3.2978105100000001</v>
      </c>
      <c r="X37" s="274">
        <f>'Adjusted price'!W37*parameters!$B$86</f>
        <v>3.3272148600000002</v>
      </c>
      <c r="Y37" s="274">
        <f>'Adjusted price'!X37*parameters!$B$86</f>
        <v>3.3429458699999999</v>
      </c>
      <c r="Z37" s="274">
        <f>'Adjusted price'!Y37*parameters!$B$86</f>
        <v>3.3718717800000002</v>
      </c>
      <c r="AA37" s="274">
        <f>'Adjusted price'!Z37*parameters!$B$86</f>
        <v>3.3977319750000001</v>
      </c>
      <c r="AB37" s="274">
        <f>'Adjusted price'!AA37*parameters!$B$86</f>
        <v>3.4191076050000002</v>
      </c>
      <c r="AC37" s="274">
        <f>'Adjusted price'!AB37*parameters!$B$86</f>
        <v>3.4311868649999999</v>
      </c>
      <c r="AD37" s="274">
        <f>'Adjusted price'!AC37*parameters!$B$86</f>
        <v>3.4559156249999998</v>
      </c>
      <c r="AE37" s="274">
        <f>'Adjusted price'!AD37*parameters!$B$86</f>
        <v>3.4910792100000005</v>
      </c>
      <c r="AF37" s="274">
        <f>'Adjusted price'!AE37*parameters!$B$86</f>
        <v>3.5312994900000003</v>
      </c>
      <c r="AG37" s="274">
        <f>'Adjusted price'!AF37*parameters!$B$86</f>
        <v>3.545841555</v>
      </c>
    </row>
    <row r="38" spans="1:33" s="214" customFormat="1" ht="13">
      <c r="C38" s="164"/>
      <c r="D38" s="164"/>
      <c r="E38" s="164"/>
      <c r="F38" s="164"/>
      <c r="G38" s="164"/>
      <c r="H38" s="164"/>
      <c r="I38" s="164"/>
      <c r="J38" s="164"/>
      <c r="K38" s="164"/>
      <c r="L38" s="164"/>
      <c r="M38" s="164"/>
      <c r="N38" s="164"/>
      <c r="O38" s="164"/>
      <c r="P38" s="164"/>
      <c r="Q38" s="164"/>
      <c r="R38" s="164"/>
      <c r="S38" s="164"/>
      <c r="T38" s="164"/>
      <c r="U38" s="164"/>
      <c r="V38" s="164"/>
      <c r="W38" s="164"/>
    </row>
    <row r="39" spans="1:33" s="252" customFormat="1" ht="13">
      <c r="A39" s="250" t="s">
        <v>1169</v>
      </c>
      <c r="B39" s="240"/>
      <c r="C39" s="240"/>
      <c r="D39" s="240"/>
      <c r="E39" s="240"/>
      <c r="F39" s="240"/>
      <c r="G39" s="240"/>
      <c r="H39" s="240"/>
      <c r="I39" s="240"/>
      <c r="J39" s="240"/>
      <c r="K39" s="240"/>
      <c r="L39" s="240"/>
      <c r="M39" s="240"/>
      <c r="N39" s="240"/>
      <c r="O39" s="240"/>
      <c r="P39" s="240"/>
      <c r="Q39" s="240"/>
      <c r="R39" s="240"/>
      <c r="S39" s="240"/>
      <c r="T39" s="240"/>
      <c r="U39" s="240"/>
      <c r="V39" s="240"/>
      <c r="W39" s="241"/>
      <c r="X39" s="240"/>
      <c r="Y39" s="240"/>
      <c r="Z39" s="240"/>
      <c r="AA39" s="240"/>
      <c r="AB39" s="240"/>
      <c r="AC39" s="240"/>
      <c r="AD39" s="240"/>
      <c r="AE39" s="240"/>
      <c r="AF39" s="240"/>
      <c r="AG39" s="240"/>
    </row>
    <row r="40" spans="1:33" s="252" customFormat="1">
      <c r="A40" s="554" t="str">
        <f>A6</f>
        <v>Sector and Fuel Category</v>
      </c>
      <c r="B40" s="554"/>
      <c r="C40" s="242">
        <v>2020</v>
      </c>
      <c r="D40" s="242">
        <v>2021</v>
      </c>
      <c r="E40" s="242">
        <v>2022</v>
      </c>
      <c r="F40" s="242">
        <v>2023</v>
      </c>
      <c r="G40" s="242">
        <v>2024</v>
      </c>
      <c r="H40" s="242">
        <v>2025</v>
      </c>
      <c r="I40" s="242">
        <v>2026</v>
      </c>
      <c r="J40" s="242">
        <v>2027</v>
      </c>
      <c r="K40" s="242">
        <v>2028</v>
      </c>
      <c r="L40" s="242">
        <v>2029</v>
      </c>
      <c r="M40" s="242">
        <v>2030</v>
      </c>
      <c r="N40" s="242">
        <v>2031</v>
      </c>
      <c r="O40" s="242">
        <v>2032</v>
      </c>
      <c r="P40" s="242">
        <v>2033</v>
      </c>
      <c r="Q40" s="242">
        <v>2034</v>
      </c>
      <c r="R40" s="242">
        <v>2035</v>
      </c>
      <c r="S40" s="242">
        <v>2036</v>
      </c>
      <c r="T40" s="242">
        <v>2037</v>
      </c>
      <c r="U40" s="242">
        <v>2038</v>
      </c>
      <c r="V40" s="242">
        <v>2039</v>
      </c>
      <c r="W40" s="375">
        <v>2040</v>
      </c>
      <c r="X40" s="375">
        <v>2041</v>
      </c>
      <c r="Y40" s="375">
        <v>2042</v>
      </c>
      <c r="Z40" s="375">
        <v>2043</v>
      </c>
      <c r="AA40" s="375">
        <v>2044</v>
      </c>
      <c r="AB40" s="375">
        <v>2045</v>
      </c>
      <c r="AC40" s="375">
        <v>2046</v>
      </c>
      <c r="AD40" s="375">
        <v>2047</v>
      </c>
      <c r="AE40" s="375">
        <v>2048</v>
      </c>
      <c r="AF40" s="375">
        <v>2049</v>
      </c>
      <c r="AG40" s="375">
        <v>2050</v>
      </c>
    </row>
    <row r="41" spans="1:33">
      <c r="A41" s="214" t="s">
        <v>1162</v>
      </c>
      <c r="C41" s="269">
        <f t="shared" ref="C41:C54" si="0">(C24-C7)/C7</f>
        <v>2.1785487178656714E-2</v>
      </c>
      <c r="D41" s="269">
        <f t="shared" ref="D41:W41" si="1">(D24-D7)/D7</f>
        <v>2.7026012988134823E-2</v>
      </c>
      <c r="E41" s="269">
        <f t="shared" si="1"/>
        <v>3.186893210869754E-2</v>
      </c>
      <c r="F41" s="269">
        <f t="shared" si="1"/>
        <v>3.6595281765608674E-2</v>
      </c>
      <c r="G41" s="269">
        <f t="shared" si="1"/>
        <v>4.100138957532426E-2</v>
      </c>
      <c r="H41" s="269">
        <f t="shared" si="1"/>
        <v>4.512441688573661E-2</v>
      </c>
      <c r="I41" s="269">
        <f t="shared" si="1"/>
        <v>4.9165728489662393E-2</v>
      </c>
      <c r="J41" s="269">
        <f t="shared" si="1"/>
        <v>5.3259656022974493E-2</v>
      </c>
      <c r="K41" s="269">
        <f t="shared" si="1"/>
        <v>5.7442442470275662E-2</v>
      </c>
      <c r="L41" s="269">
        <f t="shared" si="1"/>
        <v>5.8127423962465175E-2</v>
      </c>
      <c r="M41" s="269">
        <f t="shared" si="1"/>
        <v>6.240208187292421E-2</v>
      </c>
      <c r="N41" s="269">
        <f t="shared" si="1"/>
        <v>6.6197120710500559E-2</v>
      </c>
      <c r="O41" s="269">
        <f t="shared" si="1"/>
        <v>7.0342720899206679E-2</v>
      </c>
      <c r="P41" s="269">
        <f t="shared" si="1"/>
        <v>7.4338601010142794E-2</v>
      </c>
      <c r="Q41" s="269">
        <f t="shared" si="1"/>
        <v>7.5244372045966776E-2</v>
      </c>
      <c r="R41" s="269">
        <f t="shared" si="1"/>
        <v>7.4679674199969015E-2</v>
      </c>
      <c r="S41" s="269">
        <f t="shared" si="1"/>
        <v>7.4107183356354675E-2</v>
      </c>
      <c r="T41" s="269">
        <f t="shared" si="1"/>
        <v>7.3645042954287102E-2</v>
      </c>
      <c r="U41" s="269">
        <f t="shared" si="1"/>
        <v>7.3279612835143088E-2</v>
      </c>
      <c r="V41" s="269">
        <f t="shared" si="1"/>
        <v>7.2948866569284274E-2</v>
      </c>
      <c r="W41" s="269">
        <f t="shared" si="1"/>
        <v>7.2651915294865879E-2</v>
      </c>
      <c r="X41" s="269">
        <f t="shared" ref="X41:AG41" si="2">(X24-X7)/X7</f>
        <v>7.2447147142319535E-2</v>
      </c>
      <c r="Y41" s="269">
        <f t="shared" si="2"/>
        <v>7.2228437254258954E-2</v>
      </c>
      <c r="Z41" s="269">
        <f t="shared" si="2"/>
        <v>7.1998907947199736E-2</v>
      </c>
      <c r="AA41" s="269">
        <f t="shared" si="2"/>
        <v>7.1778637999652339E-2</v>
      </c>
      <c r="AB41" s="269">
        <f t="shared" si="2"/>
        <v>7.1617031854883231E-2</v>
      </c>
      <c r="AC41" s="269">
        <f t="shared" si="2"/>
        <v>7.1523535836966287E-2</v>
      </c>
      <c r="AD41" s="269">
        <f t="shared" si="2"/>
        <v>7.1475533195083082E-2</v>
      </c>
      <c r="AE41" s="269">
        <f t="shared" si="2"/>
        <v>7.1457476663018493E-2</v>
      </c>
      <c r="AF41" s="269">
        <f t="shared" si="2"/>
        <v>7.1526410817108657E-2</v>
      </c>
      <c r="AG41" s="269">
        <f t="shared" si="2"/>
        <v>7.1704768671067509E-2</v>
      </c>
    </row>
    <row r="42" spans="1:33">
      <c r="A42" s="214" t="s">
        <v>1170</v>
      </c>
      <c r="C42" s="269">
        <f t="shared" si="0"/>
        <v>4.4319535581832152E-2</v>
      </c>
      <c r="D42" s="269">
        <f t="shared" ref="D42:W42" si="3">(D25-D8)/D8</f>
        <v>6.8425810850372637E-2</v>
      </c>
      <c r="E42" s="269">
        <f t="shared" si="3"/>
        <v>9.3243681850120705E-2</v>
      </c>
      <c r="F42" s="269">
        <f t="shared" si="3"/>
        <v>0.11832827607633467</v>
      </c>
      <c r="G42" s="269">
        <f t="shared" si="3"/>
        <v>0.14430944616252223</v>
      </c>
      <c r="H42" s="269">
        <f t="shared" si="3"/>
        <v>0.16508094491272635</v>
      </c>
      <c r="I42" s="269">
        <f t="shared" si="3"/>
        <v>0.18649318125884745</v>
      </c>
      <c r="J42" s="269">
        <f t="shared" si="3"/>
        <v>0.20900364468461269</v>
      </c>
      <c r="K42" s="269">
        <f t="shared" si="3"/>
        <v>0.23057381227325408</v>
      </c>
      <c r="L42" s="269">
        <f t="shared" si="3"/>
        <v>0.21286198616121732</v>
      </c>
      <c r="M42" s="269">
        <f t="shared" si="3"/>
        <v>0.23119577105067859</v>
      </c>
      <c r="N42" s="269">
        <f t="shared" si="3"/>
        <v>0.24442543891884833</v>
      </c>
      <c r="O42" s="269">
        <f t="shared" si="3"/>
        <v>0.26115211211068773</v>
      </c>
      <c r="P42" s="269">
        <f t="shared" si="3"/>
        <v>0.27798069458393648</v>
      </c>
      <c r="Q42" s="269">
        <f t="shared" si="3"/>
        <v>0.29515770165943706</v>
      </c>
      <c r="R42" s="269">
        <f t="shared" si="3"/>
        <v>0.31223736838879151</v>
      </c>
      <c r="S42" s="269">
        <f t="shared" si="3"/>
        <v>0.32909554446356454</v>
      </c>
      <c r="T42" s="269">
        <f t="shared" si="3"/>
        <v>0.34600410638112378</v>
      </c>
      <c r="U42" s="269">
        <f t="shared" si="3"/>
        <v>0.36341312713879392</v>
      </c>
      <c r="V42" s="269">
        <f t="shared" si="3"/>
        <v>0.38058453554538463</v>
      </c>
      <c r="W42" s="269">
        <f t="shared" si="3"/>
        <v>0.39684128957202069</v>
      </c>
      <c r="X42" s="269">
        <f t="shared" ref="X42:AG42" si="4">(X25-X8)/X8</f>
        <v>0.41407757197130202</v>
      </c>
      <c r="Y42" s="269">
        <f t="shared" si="4"/>
        <v>0.43055769421030832</v>
      </c>
      <c r="Z42" s="269">
        <f t="shared" si="4"/>
        <v>0.44625037206689017</v>
      </c>
      <c r="AA42" s="269">
        <f t="shared" si="4"/>
        <v>0.46140318157050636</v>
      </c>
      <c r="AB42" s="269">
        <f t="shared" si="4"/>
        <v>0.47596609291886288</v>
      </c>
      <c r="AC42" s="269">
        <f t="shared" si="4"/>
        <v>0.49089826487142246</v>
      </c>
      <c r="AD42" s="269">
        <f t="shared" si="4"/>
        <v>0.50497833483188181</v>
      </c>
      <c r="AE42" s="269">
        <f t="shared" si="4"/>
        <v>0.51812213294577136</v>
      </c>
      <c r="AF42" s="269">
        <f t="shared" si="4"/>
        <v>0.53117076203396607</v>
      </c>
      <c r="AG42" s="269">
        <f t="shared" si="4"/>
        <v>0.54491118105227798</v>
      </c>
    </row>
    <row r="43" spans="1:33" s="217" customFormat="1">
      <c r="A43" s="217" t="s">
        <v>1171</v>
      </c>
      <c r="C43" s="269">
        <f t="shared" si="0"/>
        <v>1.4515017209378055E-2</v>
      </c>
      <c r="D43" s="269">
        <f t="shared" ref="D43:W43" si="5">(D26-D9)/D9</f>
        <v>1.5710218420332538E-2</v>
      </c>
      <c r="E43" s="269">
        <f t="shared" si="5"/>
        <v>1.0847516158182096E-2</v>
      </c>
      <c r="F43" s="269">
        <f t="shared" si="5"/>
        <v>1.234589985633801E-2</v>
      </c>
      <c r="G43" s="269">
        <f t="shared" si="5"/>
        <v>7.8126957729218287E-3</v>
      </c>
      <c r="H43" s="269">
        <f t="shared" si="5"/>
        <v>-2.1038685129519566E-3</v>
      </c>
      <c r="I43" s="269">
        <f t="shared" si="5"/>
        <v>-5.7163785482072897E-3</v>
      </c>
      <c r="J43" s="269">
        <f t="shared" si="5"/>
        <v>-4.4656789338528612E-3</v>
      </c>
      <c r="K43" s="269">
        <f t="shared" si="5"/>
        <v>-2.9535897570039911E-3</v>
      </c>
      <c r="L43" s="269">
        <f t="shared" si="5"/>
        <v>2.2834693531165262E-3</v>
      </c>
      <c r="M43" s="269">
        <f t="shared" si="5"/>
        <v>3.3798120360204712E-3</v>
      </c>
      <c r="N43" s="269">
        <f t="shared" si="5"/>
        <v>4.3997147941754761E-3</v>
      </c>
      <c r="O43" s="269">
        <f t="shared" si="5"/>
        <v>5.2261699732974133E-3</v>
      </c>
      <c r="P43" s="269">
        <f t="shared" si="5"/>
        <v>5.7434717246416158E-3</v>
      </c>
      <c r="Q43" s="269">
        <f t="shared" si="5"/>
        <v>5.4888136117253877E-3</v>
      </c>
      <c r="R43" s="269">
        <f t="shared" si="5"/>
        <v>4.9109737685912955E-3</v>
      </c>
      <c r="S43" s="269">
        <f t="shared" si="5"/>
        <v>4.3223031152378119E-3</v>
      </c>
      <c r="T43" s="269">
        <f t="shared" si="5"/>
        <v>3.7669850421420191E-3</v>
      </c>
      <c r="U43" s="269">
        <f t="shared" si="5"/>
        <v>3.2420478843154942E-3</v>
      </c>
      <c r="V43" s="269">
        <f t="shared" si="5"/>
        <v>2.7258498911274017E-3</v>
      </c>
      <c r="W43" s="269">
        <f t="shared" si="5"/>
        <v>2.2172776488374349E-3</v>
      </c>
      <c r="X43" s="269">
        <f t="shared" ref="X43:AG43" si="6">(X26-X9)/X9</f>
        <v>1.705219675153519E-3</v>
      </c>
      <c r="Y43" s="269">
        <f t="shared" si="6"/>
        <v>1.2008914919244796E-3</v>
      </c>
      <c r="Z43" s="269">
        <f t="shared" si="6"/>
        <v>7.0833502491109731E-4</v>
      </c>
      <c r="AA43" s="269">
        <f t="shared" si="6"/>
        <v>2.2016224715381858E-4</v>
      </c>
      <c r="AB43" s="269">
        <f t="shared" si="6"/>
        <v>-2.6137397960965492E-4</v>
      </c>
      <c r="AC43" s="269">
        <f t="shared" si="6"/>
        <v>-2.5914272733461351E-4</v>
      </c>
      <c r="AD43" s="269">
        <f t="shared" si="6"/>
        <v>-2.5746964272406041E-4</v>
      </c>
      <c r="AE43" s="269">
        <f t="shared" si="6"/>
        <v>-2.5581517572579985E-4</v>
      </c>
      <c r="AF43" s="269">
        <f t="shared" si="6"/>
        <v>-2.5453262506180057E-4</v>
      </c>
      <c r="AG43" s="269">
        <f t="shared" si="6"/>
        <v>-2.5375294319785298E-4</v>
      </c>
    </row>
    <row r="44" spans="1:33" s="214" customFormat="1">
      <c r="A44" s="214" t="s">
        <v>1163</v>
      </c>
      <c r="C44" s="286">
        <f t="shared" si="0"/>
        <v>3.0051642212713597E-2</v>
      </c>
      <c r="D44" s="286">
        <f t="shared" ref="D44:W44" si="7">(D27-D10)/D10</f>
        <v>3.8448888157349266E-2</v>
      </c>
      <c r="E44" s="286">
        <f t="shared" si="7"/>
        <v>4.6068881688160396E-2</v>
      </c>
      <c r="F44" s="286">
        <f t="shared" si="7"/>
        <v>5.3691998716096596E-2</v>
      </c>
      <c r="G44" s="286">
        <f t="shared" si="7"/>
        <v>6.0662124592891588E-2</v>
      </c>
      <c r="H44" s="286">
        <f t="shared" si="7"/>
        <v>6.7216077153177567E-2</v>
      </c>
      <c r="I44" s="286">
        <f t="shared" si="7"/>
        <v>7.3851116971463987E-2</v>
      </c>
      <c r="J44" s="286">
        <f t="shared" si="7"/>
        <v>8.0714124432477538E-2</v>
      </c>
      <c r="K44" s="286">
        <f t="shared" si="7"/>
        <v>8.7739456013052469E-2</v>
      </c>
      <c r="L44" s="286">
        <f t="shared" si="7"/>
        <v>8.7955051913427909E-2</v>
      </c>
      <c r="M44" s="286">
        <f t="shared" si="7"/>
        <v>9.4885524720341535E-2</v>
      </c>
      <c r="N44" s="286">
        <f t="shared" si="7"/>
        <v>0.10075556136619947</v>
      </c>
      <c r="O44" s="286">
        <f t="shared" si="7"/>
        <v>0.10710687029065198</v>
      </c>
      <c r="P44" s="286">
        <f t="shared" si="7"/>
        <v>0.11322139068510573</v>
      </c>
      <c r="Q44" s="286">
        <f t="shared" si="7"/>
        <v>0.11471209088645599</v>
      </c>
      <c r="R44" s="286">
        <f t="shared" si="7"/>
        <v>0.11402931520123197</v>
      </c>
      <c r="S44" s="286">
        <f t="shared" si="7"/>
        <v>0.11329500925297131</v>
      </c>
      <c r="T44" s="286">
        <f t="shared" si="7"/>
        <v>0.11281913795164795</v>
      </c>
      <c r="U44" s="286">
        <f t="shared" si="7"/>
        <v>0.11247946680831716</v>
      </c>
      <c r="V44" s="286">
        <f t="shared" si="7"/>
        <v>0.11211688267828733</v>
      </c>
      <c r="W44" s="286">
        <f t="shared" si="7"/>
        <v>0.11178011265238527</v>
      </c>
      <c r="X44" s="286">
        <f t="shared" ref="X44:AG44" si="8">(X27-X10)/X10</f>
        <v>0.11162020854841616</v>
      </c>
      <c r="Y44" s="286">
        <f t="shared" si="8"/>
        <v>0.11133670837776904</v>
      </c>
      <c r="Z44" s="286">
        <f t="shared" si="8"/>
        <v>0.11101612985222301</v>
      </c>
      <c r="AA44" s="286">
        <f t="shared" si="8"/>
        <v>0.11072322032335002</v>
      </c>
      <c r="AB44" s="286">
        <f t="shared" si="8"/>
        <v>0.11056339505888124</v>
      </c>
      <c r="AC44" s="286">
        <f t="shared" si="8"/>
        <v>0.11051397836800672</v>
      </c>
      <c r="AD44" s="286">
        <f t="shared" si="8"/>
        <v>0.1105014722884024</v>
      </c>
      <c r="AE44" s="286">
        <f t="shared" si="8"/>
        <v>0.11050634653846317</v>
      </c>
      <c r="AF44" s="286">
        <f t="shared" si="8"/>
        <v>0.11067786960810586</v>
      </c>
      <c r="AG44" s="286">
        <f t="shared" si="8"/>
        <v>0.11102741467958561</v>
      </c>
    </row>
    <row r="45" spans="1:33" s="214" customFormat="1">
      <c r="A45" s="214" t="s">
        <v>1181</v>
      </c>
      <c r="C45" s="269">
        <f t="shared" si="0"/>
        <v>3.0740212551655311E-2</v>
      </c>
      <c r="D45" s="269">
        <f t="shared" ref="D45:W45" si="9">(D28-D11)/D11</f>
        <v>4.1048009487725516E-2</v>
      </c>
      <c r="E45" s="269">
        <f t="shared" si="9"/>
        <v>5.2291083516911273E-2</v>
      </c>
      <c r="F45" s="269">
        <f t="shared" si="9"/>
        <v>6.3147088986667932E-2</v>
      </c>
      <c r="G45" s="269">
        <f t="shared" si="9"/>
        <v>7.2992773565739549E-2</v>
      </c>
      <c r="H45" s="269">
        <f t="shared" si="9"/>
        <v>8.0983828077543757E-2</v>
      </c>
      <c r="I45" s="269">
        <f t="shared" si="9"/>
        <v>8.8938518220541621E-2</v>
      </c>
      <c r="J45" s="269">
        <f t="shared" si="9"/>
        <v>9.5722243778528948E-2</v>
      </c>
      <c r="K45" s="269">
        <f t="shared" si="9"/>
        <v>0.10385027255111753</v>
      </c>
      <c r="L45" s="269">
        <f t="shared" si="9"/>
        <v>0.10127386056383035</v>
      </c>
      <c r="M45" s="269">
        <f t="shared" si="9"/>
        <v>0.1088243857075422</v>
      </c>
      <c r="N45" s="269">
        <f t="shared" si="9"/>
        <v>0.11466071444584677</v>
      </c>
      <c r="O45" s="269">
        <f t="shared" si="9"/>
        <v>0.12124382493874745</v>
      </c>
      <c r="P45" s="269">
        <f t="shared" si="9"/>
        <v>0.12805280919500864</v>
      </c>
      <c r="Q45" s="269">
        <f t="shared" si="9"/>
        <v>0.13026355585067317</v>
      </c>
      <c r="R45" s="269">
        <f t="shared" si="9"/>
        <v>0.12912045616465548</v>
      </c>
      <c r="S45" s="269">
        <f t="shared" si="9"/>
        <v>0.12760024529947916</v>
      </c>
      <c r="T45" s="269">
        <f t="shared" si="9"/>
        <v>0.12781562622999604</v>
      </c>
      <c r="U45" s="269">
        <f t="shared" si="9"/>
        <v>0.12700681621188281</v>
      </c>
      <c r="V45" s="269">
        <f t="shared" si="9"/>
        <v>0.12630897714075162</v>
      </c>
      <c r="W45" s="269">
        <f t="shared" si="9"/>
        <v>0.12587207927734992</v>
      </c>
      <c r="X45" s="269">
        <f t="shared" ref="X45:AG45" si="10">(X28-X11)/X11</f>
        <v>0.12566419496733708</v>
      </c>
      <c r="Y45" s="269">
        <f t="shared" si="10"/>
        <v>0.12469670063269574</v>
      </c>
      <c r="Z45" s="269">
        <f t="shared" si="10"/>
        <v>0.12464613872844305</v>
      </c>
      <c r="AA45" s="269">
        <f t="shared" si="10"/>
        <v>0.12511698823243528</v>
      </c>
      <c r="AB45" s="269">
        <f t="shared" si="10"/>
        <v>0.12497847687816163</v>
      </c>
      <c r="AC45" s="269">
        <f t="shared" si="10"/>
        <v>0.12523763906214519</v>
      </c>
      <c r="AD45" s="269">
        <f t="shared" si="10"/>
        <v>0.12567075368917091</v>
      </c>
      <c r="AE45" s="269">
        <f t="shared" si="10"/>
        <v>0.12548305400673992</v>
      </c>
      <c r="AF45" s="269">
        <f t="shared" si="10"/>
        <v>0.12571726295833907</v>
      </c>
      <c r="AG45" s="269">
        <f t="shared" si="10"/>
        <v>0.12580325334264314</v>
      </c>
    </row>
    <row r="46" spans="1:33" s="214" customFormat="1">
      <c r="A46" s="214" t="s">
        <v>1172</v>
      </c>
      <c r="C46" s="269">
        <f t="shared" si="0"/>
        <v>5.8962622357535806E-2</v>
      </c>
      <c r="D46" s="269">
        <f t="shared" ref="D46:W46" si="11">(D29-D12)/D12</f>
        <v>8.8664778731326513E-2</v>
      </c>
      <c r="E46" s="269">
        <f t="shared" si="11"/>
        <v>0.11745928995464412</v>
      </c>
      <c r="F46" s="269">
        <f t="shared" si="11"/>
        <v>0.14463352117426753</v>
      </c>
      <c r="G46" s="269">
        <f t="shared" si="11"/>
        <v>0.17107484161577974</v>
      </c>
      <c r="H46" s="269">
        <f t="shared" si="11"/>
        <v>0.19532118299154119</v>
      </c>
      <c r="I46" s="269">
        <f t="shared" si="11"/>
        <v>0.22062561924040605</v>
      </c>
      <c r="J46" s="269">
        <f t="shared" si="11"/>
        <v>0.24751810628303408</v>
      </c>
      <c r="K46" s="269">
        <f t="shared" si="11"/>
        <v>0.27310050764403465</v>
      </c>
      <c r="L46" s="269">
        <f t="shared" si="11"/>
        <v>0.24832135912867623</v>
      </c>
      <c r="M46" s="269">
        <f t="shared" si="11"/>
        <v>0.27023191014929077</v>
      </c>
      <c r="N46" s="269">
        <f t="shared" si="11"/>
        <v>0.28548277702263819</v>
      </c>
      <c r="O46" s="269">
        <f t="shared" si="11"/>
        <v>0.30495228953703496</v>
      </c>
      <c r="P46" s="269">
        <f t="shared" si="11"/>
        <v>0.32454406218327037</v>
      </c>
      <c r="Q46" s="269">
        <f t="shared" si="11"/>
        <v>0.34459692448814527</v>
      </c>
      <c r="R46" s="269">
        <f t="shared" si="11"/>
        <v>0.36452583499343488</v>
      </c>
      <c r="S46" s="269">
        <f t="shared" si="11"/>
        <v>0.3841679458587966</v>
      </c>
      <c r="T46" s="269">
        <f t="shared" si="11"/>
        <v>0.40390806896729342</v>
      </c>
      <c r="U46" s="269">
        <f t="shared" si="11"/>
        <v>0.42431157932091396</v>
      </c>
      <c r="V46" s="269">
        <f t="shared" si="11"/>
        <v>0.44440280374338764</v>
      </c>
      <c r="W46" s="269">
        <f t="shared" si="11"/>
        <v>0.46327147340025016</v>
      </c>
      <c r="X46" s="269">
        <f t="shared" ref="X46:AG46" si="12">(X29-X12)/X12</f>
        <v>0.48349777944785216</v>
      </c>
      <c r="Y46" s="269">
        <f t="shared" si="12"/>
        <v>0.50268253152148268</v>
      </c>
      <c r="Z46" s="269">
        <f t="shared" si="12"/>
        <v>0.52080813874472809</v>
      </c>
      <c r="AA46" s="269">
        <f t="shared" si="12"/>
        <v>0.53823116120704917</v>
      </c>
      <c r="AB46" s="269">
        <f t="shared" si="12"/>
        <v>0.55483631683778556</v>
      </c>
      <c r="AC46" s="269">
        <f t="shared" si="12"/>
        <v>0.57192801013567007</v>
      </c>
      <c r="AD46" s="269">
        <f t="shared" si="12"/>
        <v>0.58786695024290558</v>
      </c>
      <c r="AE46" s="269">
        <f t="shared" si="12"/>
        <v>0.60257643922715498</v>
      </c>
      <c r="AF46" s="269">
        <f t="shared" si="12"/>
        <v>0.61715225160943643</v>
      </c>
      <c r="AG46" s="269">
        <f t="shared" si="12"/>
        <v>0.63265886768640067</v>
      </c>
    </row>
    <row r="47" spans="1:33" s="217" customFormat="1">
      <c r="A47" s="217" t="s">
        <v>1173</v>
      </c>
      <c r="C47" s="269">
        <f t="shared" si="0"/>
        <v>1.6762409206696836E-2</v>
      </c>
      <c r="D47" s="269">
        <f t="shared" ref="D47:W47" si="13">(D30-D13)/D13</f>
        <v>1.80704819646531E-2</v>
      </c>
      <c r="E47" s="269">
        <f t="shared" si="13"/>
        <v>1.2232649911843229E-2</v>
      </c>
      <c r="F47" s="269">
        <f t="shared" si="13"/>
        <v>1.409428197600008E-2</v>
      </c>
      <c r="G47" s="269">
        <f t="shared" si="13"/>
        <v>8.9752734768067787E-3</v>
      </c>
      <c r="H47" s="269">
        <f t="shared" si="13"/>
        <v>-2.3883033281224112E-3</v>
      </c>
      <c r="I47" s="269">
        <f t="shared" si="13"/>
        <v>-6.583596395115748E-3</v>
      </c>
      <c r="J47" s="269">
        <f t="shared" si="13"/>
        <v>-5.1854280469537392E-3</v>
      </c>
      <c r="K47" s="269">
        <f t="shared" si="13"/>
        <v>-3.4654008330614961E-3</v>
      </c>
      <c r="L47" s="269">
        <f t="shared" si="13"/>
        <v>2.7021443288620089E-3</v>
      </c>
      <c r="M47" s="269">
        <f t="shared" si="13"/>
        <v>4.0184413258180594E-3</v>
      </c>
      <c r="N47" s="269">
        <f t="shared" si="13"/>
        <v>5.2823562792265579E-3</v>
      </c>
      <c r="O47" s="269">
        <f t="shared" si="13"/>
        <v>6.3251899607623943E-3</v>
      </c>
      <c r="P47" s="269">
        <f t="shared" si="13"/>
        <v>7.020263845654847E-3</v>
      </c>
      <c r="Q47" s="269">
        <f t="shared" si="13"/>
        <v>6.7734505827165064E-3</v>
      </c>
      <c r="R47" s="269">
        <f t="shared" si="13"/>
        <v>6.1115786039308683E-3</v>
      </c>
      <c r="S47" s="269">
        <f t="shared" si="13"/>
        <v>5.4088634036366821E-3</v>
      </c>
      <c r="T47" s="269">
        <f t="shared" si="13"/>
        <v>4.7514438009086616E-3</v>
      </c>
      <c r="U47" s="269">
        <f t="shared" si="13"/>
        <v>4.123879685477381E-3</v>
      </c>
      <c r="V47" s="269">
        <f t="shared" si="13"/>
        <v>3.4981182542539293E-3</v>
      </c>
      <c r="W47" s="269">
        <f t="shared" si="13"/>
        <v>2.8729848500782498E-3</v>
      </c>
      <c r="X47" s="269">
        <f t="shared" ref="X47:AG47" si="14">(X30-X13)/X13</f>
        <v>2.2270721934961784E-3</v>
      </c>
      <c r="Y47" s="269">
        <f t="shared" si="14"/>
        <v>1.5831975703804544E-3</v>
      </c>
      <c r="Z47" s="269">
        <f t="shared" si="14"/>
        <v>9.4338756959976857E-4</v>
      </c>
      <c r="AA47" s="269">
        <f t="shared" si="14"/>
        <v>2.9635455550298105E-4</v>
      </c>
      <c r="AB47" s="269">
        <f t="shared" si="14"/>
        <v>-3.5543627715936164E-4</v>
      </c>
      <c r="AC47" s="269">
        <f t="shared" si="14"/>
        <v>-3.5613666385936695E-4</v>
      </c>
      <c r="AD47" s="269">
        <f t="shared" si="14"/>
        <v>-3.5773409460856676E-4</v>
      </c>
      <c r="AE47" s="269">
        <f t="shared" si="14"/>
        <v>-3.5910232515260756E-4</v>
      </c>
      <c r="AF47" s="269">
        <f t="shared" si="14"/>
        <v>-3.6109432808936444E-4</v>
      </c>
      <c r="AG47" s="269">
        <f t="shared" si="14"/>
        <v>-3.6381691674676725E-4</v>
      </c>
    </row>
    <row r="48" spans="1:33" s="214" customFormat="1">
      <c r="A48" s="214" t="s">
        <v>1174</v>
      </c>
      <c r="C48" s="286">
        <f t="shared" si="0"/>
        <v>3.290382778554956E-2</v>
      </c>
      <c r="D48" s="286">
        <f t="shared" ref="D48:W48" si="15">(D31-D14)/D14</f>
        <v>4.2091391721890983E-2</v>
      </c>
      <c r="E48" s="286">
        <f t="shared" si="15"/>
        <v>5.1067273630349602E-2</v>
      </c>
      <c r="F48" s="286">
        <f t="shared" si="15"/>
        <v>5.9933271738118535E-2</v>
      </c>
      <c r="G48" s="286">
        <f t="shared" si="15"/>
        <v>6.2181377508844664E-2</v>
      </c>
      <c r="H48" s="286">
        <f t="shared" si="15"/>
        <v>7.0450920278154958E-2</v>
      </c>
      <c r="I48" s="286">
        <f t="shared" si="15"/>
        <v>7.8699359322119605E-2</v>
      </c>
      <c r="J48" s="286">
        <f t="shared" si="15"/>
        <v>8.6968198282879439E-2</v>
      </c>
      <c r="K48" s="286">
        <f t="shared" si="15"/>
        <v>9.5009348517515926E-2</v>
      </c>
      <c r="L48" s="286">
        <f t="shared" si="15"/>
        <v>0.10093777746434339</v>
      </c>
      <c r="M48" s="286">
        <f t="shared" si="15"/>
        <v>0.10866831800750315</v>
      </c>
      <c r="N48" s="286">
        <f t="shared" si="15"/>
        <v>0.11582660402204689</v>
      </c>
      <c r="O48" s="286">
        <f t="shared" si="15"/>
        <v>0.12255451262691609</v>
      </c>
      <c r="P48" s="286">
        <f t="shared" si="15"/>
        <v>0.12929665360828607</v>
      </c>
      <c r="Q48" s="286">
        <f t="shared" si="15"/>
        <v>0.13097043710395007</v>
      </c>
      <c r="R48" s="286">
        <f t="shared" si="15"/>
        <v>0.12977815645252699</v>
      </c>
      <c r="S48" s="286">
        <f t="shared" si="15"/>
        <v>0.12854595290776391</v>
      </c>
      <c r="T48" s="286">
        <f t="shared" si="15"/>
        <v>0.12805285679796399</v>
      </c>
      <c r="U48" s="286">
        <f t="shared" si="15"/>
        <v>0.12627235414002186</v>
      </c>
      <c r="V48" s="286">
        <f t="shared" si="15"/>
        <v>0.12552465698896015</v>
      </c>
      <c r="W48" s="286">
        <f t="shared" si="15"/>
        <v>0.12493298994012601</v>
      </c>
      <c r="X48" s="286">
        <f t="shared" ref="X48:AG48" si="16">(X31-X14)/X14</f>
        <v>0.12404477753561027</v>
      </c>
      <c r="Y48" s="286">
        <f t="shared" si="16"/>
        <v>0.12334668308331544</v>
      </c>
      <c r="Z48" s="286">
        <f t="shared" si="16"/>
        <v>0.12245027482694078</v>
      </c>
      <c r="AA48" s="286">
        <f t="shared" si="16"/>
        <v>0.12178699298488928</v>
      </c>
      <c r="AB48" s="286">
        <f t="shared" si="16"/>
        <v>0.12083697415834951</v>
      </c>
      <c r="AC48" s="286">
        <f t="shared" si="16"/>
        <v>0.12023308538830928</v>
      </c>
      <c r="AD48" s="286">
        <f t="shared" si="16"/>
        <v>0.11948982220305845</v>
      </c>
      <c r="AE48" s="286">
        <f t="shared" si="16"/>
        <v>0.11852654377968598</v>
      </c>
      <c r="AF48" s="286">
        <f t="shared" si="16"/>
        <v>0.11764483206540245</v>
      </c>
      <c r="AG48" s="286">
        <f t="shared" si="16"/>
        <v>0.11708435589448091</v>
      </c>
    </row>
    <row r="49" spans="1:33">
      <c r="A49" s="214" t="s">
        <v>1175</v>
      </c>
      <c r="C49" s="269">
        <f t="shared" si="0"/>
        <v>0.11048551013458319</v>
      </c>
      <c r="D49" s="269">
        <f t="shared" ref="D49:W49" si="17">(D32-D15)/D15</f>
        <v>0.14634101492647092</v>
      </c>
      <c r="E49" s="269">
        <f t="shared" si="17"/>
        <v>0.17927358269954205</v>
      </c>
      <c r="F49" s="269">
        <f t="shared" si="17"/>
        <v>0.2078584020093652</v>
      </c>
      <c r="G49" s="269">
        <f t="shared" si="17"/>
        <v>0.23435770379323603</v>
      </c>
      <c r="H49" s="269">
        <f t="shared" si="17"/>
        <v>0.25438814353391931</v>
      </c>
      <c r="I49" s="269">
        <f t="shared" si="17"/>
        <v>0.27901259656017868</v>
      </c>
      <c r="J49" s="269">
        <f t="shared" si="17"/>
        <v>0.30876090217076341</v>
      </c>
      <c r="K49" s="269">
        <f t="shared" si="17"/>
        <v>0.33358297597451564</v>
      </c>
      <c r="L49" s="269">
        <f t="shared" si="17"/>
        <v>0.36516342568307442</v>
      </c>
      <c r="M49" s="269">
        <f t="shared" si="17"/>
        <v>0.39318527438765538</v>
      </c>
      <c r="N49" s="269">
        <f t="shared" si="17"/>
        <v>0.42302206277822957</v>
      </c>
      <c r="O49" s="269">
        <f t="shared" si="17"/>
        <v>0.44197482975371433</v>
      </c>
      <c r="P49" s="269">
        <f t="shared" si="17"/>
        <v>0.46482620204846292</v>
      </c>
      <c r="Q49" s="269">
        <f t="shared" si="17"/>
        <v>0.46895929632476413</v>
      </c>
      <c r="R49" s="269">
        <f t="shared" si="17"/>
        <v>0.46437233996804927</v>
      </c>
      <c r="S49" s="269">
        <f t="shared" si="17"/>
        <v>0.45964245667443204</v>
      </c>
      <c r="T49" s="269">
        <f t="shared" si="17"/>
        <v>0.45609862344008256</v>
      </c>
      <c r="U49" s="269">
        <f t="shared" si="17"/>
        <v>0.4543558357792391</v>
      </c>
      <c r="V49" s="269">
        <f t="shared" si="17"/>
        <v>0.45249676611361278</v>
      </c>
      <c r="W49" s="269">
        <f t="shared" si="17"/>
        <v>0.44693283950301171</v>
      </c>
      <c r="X49" s="269">
        <f t="shared" ref="X49:AG49" si="18">(X32-X15)/X15</f>
        <v>0.44666509518678199</v>
      </c>
      <c r="Y49" s="269">
        <f t="shared" si="18"/>
        <v>0.44387592333554216</v>
      </c>
      <c r="Z49" s="269">
        <f t="shared" si="18"/>
        <v>0.43840274760666065</v>
      </c>
      <c r="AA49" s="269">
        <f t="shared" si="18"/>
        <v>0.43108115435175332</v>
      </c>
      <c r="AB49" s="269">
        <f t="shared" si="18"/>
        <v>0.42412658621131633</v>
      </c>
      <c r="AC49" s="269">
        <f t="shared" si="18"/>
        <v>0.41889053406345628</v>
      </c>
      <c r="AD49" s="269">
        <f t="shared" si="18"/>
        <v>0.41184686551855687</v>
      </c>
      <c r="AE49" s="269">
        <f t="shared" si="18"/>
        <v>0.40233483115030638</v>
      </c>
      <c r="AF49" s="269">
        <f t="shared" si="18"/>
        <v>0.39520629684275976</v>
      </c>
      <c r="AG49" s="269">
        <f t="shared" si="18"/>
        <v>0.38940672782874619</v>
      </c>
    </row>
    <row r="50" spans="1:33" s="217" customFormat="1">
      <c r="A50" s="217" t="s">
        <v>1176</v>
      </c>
      <c r="C50" s="269">
        <f t="shared" si="0"/>
        <v>3.0906188250166427E-2</v>
      </c>
      <c r="D50" s="269">
        <f t="shared" ref="D50:W50" si="19">(D33-D16)/D16</f>
        <v>3.3461591974262968E-2</v>
      </c>
      <c r="E50" s="269">
        <f t="shared" si="19"/>
        <v>2.2164141936353045E-2</v>
      </c>
      <c r="F50" s="269">
        <f t="shared" si="19"/>
        <v>2.5793960736144018E-2</v>
      </c>
      <c r="G50" s="269">
        <f t="shared" si="19"/>
        <v>1.6432491182608804E-2</v>
      </c>
      <c r="H50" s="269">
        <f t="shared" si="19"/>
        <v>-4.2990004713869814E-3</v>
      </c>
      <c r="I50" s="269">
        <f t="shared" si="19"/>
        <v>-1.1919927220478455E-2</v>
      </c>
      <c r="J50" s="269">
        <f t="shared" si="19"/>
        <v>-9.4240270489501874E-3</v>
      </c>
      <c r="K50" s="269">
        <f t="shared" si="19"/>
        <v>-6.2870144255981874E-3</v>
      </c>
      <c r="L50" s="269">
        <f t="shared" si="19"/>
        <v>4.8921218994749409E-3</v>
      </c>
      <c r="M50" s="269">
        <f t="shared" si="19"/>
        <v>7.2611581777015412E-3</v>
      </c>
      <c r="N50" s="269">
        <f t="shared" si="19"/>
        <v>9.544802967675339E-3</v>
      </c>
      <c r="O50" s="269">
        <f t="shared" si="19"/>
        <v>1.1444224458789115E-2</v>
      </c>
      <c r="P50" s="269">
        <f t="shared" si="19"/>
        <v>1.2717640661219325E-2</v>
      </c>
      <c r="Q50" s="269">
        <f t="shared" si="19"/>
        <v>1.2272793496403912E-2</v>
      </c>
      <c r="R50" s="269">
        <f t="shared" si="19"/>
        <v>1.1076392325461764E-2</v>
      </c>
      <c r="S50" s="269">
        <f t="shared" si="19"/>
        <v>9.7661828351545583E-3</v>
      </c>
      <c r="T50" s="269">
        <f t="shared" si="19"/>
        <v>8.6048661362821167E-3</v>
      </c>
      <c r="U50" s="269">
        <f t="shared" si="19"/>
        <v>7.4702022661877025E-3</v>
      </c>
      <c r="V50" s="269">
        <f t="shared" si="19"/>
        <v>6.3397325703425647E-3</v>
      </c>
      <c r="W50" s="269">
        <f t="shared" si="19"/>
        <v>5.2041250414566094E-3</v>
      </c>
      <c r="X50" s="269">
        <f t="shared" ref="X50:AG50" si="20">(X33-X16)/X16</f>
        <v>4.0276625417009614E-3</v>
      </c>
      <c r="Y50" s="269">
        <f t="shared" si="20"/>
        <v>2.8670207105711228E-3</v>
      </c>
      <c r="Z50" s="269">
        <f t="shared" si="20"/>
        <v>1.7057857751165751E-3</v>
      </c>
      <c r="AA50" s="269">
        <f t="shared" si="20"/>
        <v>5.3522508655424192E-4</v>
      </c>
      <c r="AB50" s="269">
        <f t="shared" si="20"/>
        <v>-6.4166010751012369E-4</v>
      </c>
      <c r="AC50" s="269">
        <f t="shared" si="20"/>
        <v>-6.4254293545425146E-4</v>
      </c>
      <c r="AD50" s="269">
        <f t="shared" si="20"/>
        <v>-6.4463398350787131E-4</v>
      </c>
      <c r="AE50" s="269">
        <f t="shared" si="20"/>
        <v>-6.4593868135511673E-4</v>
      </c>
      <c r="AF50" s="269">
        <f t="shared" si="20"/>
        <v>-6.4862936653149132E-4</v>
      </c>
      <c r="AG50" s="269">
        <f t="shared" si="20"/>
        <v>-6.5207744180908068E-4</v>
      </c>
    </row>
    <row r="51" spans="1:33">
      <c r="A51" s="214" t="s">
        <v>1177</v>
      </c>
      <c r="C51" s="286">
        <f t="shared" si="0"/>
        <v>0</v>
      </c>
      <c r="D51" s="286">
        <f t="shared" ref="D51:W51" si="21">(D34-D17)/D17</f>
        <v>0</v>
      </c>
      <c r="E51" s="286">
        <f t="shared" si="21"/>
        <v>0</v>
      </c>
      <c r="F51" s="286">
        <f t="shared" si="21"/>
        <v>0</v>
      </c>
      <c r="G51" s="286">
        <f t="shared" si="21"/>
        <v>0</v>
      </c>
      <c r="H51" s="286">
        <f t="shared" si="21"/>
        <v>0</v>
      </c>
      <c r="I51" s="286">
        <f t="shared" si="21"/>
        <v>0</v>
      </c>
      <c r="J51" s="286">
        <f t="shared" si="21"/>
        <v>0</v>
      </c>
      <c r="K51" s="286">
        <f t="shared" si="21"/>
        <v>0</v>
      </c>
      <c r="L51" s="286">
        <f t="shared" si="21"/>
        <v>0</v>
      </c>
      <c r="M51" s="286">
        <f t="shared" si="21"/>
        <v>0</v>
      </c>
      <c r="N51" s="286">
        <f t="shared" si="21"/>
        <v>0</v>
      </c>
      <c r="O51" s="286">
        <f t="shared" si="21"/>
        <v>0</v>
      </c>
      <c r="P51" s="286">
        <f t="shared" si="21"/>
        <v>0</v>
      </c>
      <c r="Q51" s="286">
        <f t="shared" si="21"/>
        <v>0</v>
      </c>
      <c r="R51" s="286">
        <f t="shared" si="21"/>
        <v>0</v>
      </c>
      <c r="S51" s="286">
        <f t="shared" si="21"/>
        <v>0</v>
      </c>
      <c r="T51" s="286">
        <f t="shared" si="21"/>
        <v>0</v>
      </c>
      <c r="U51" s="286">
        <f t="shared" si="21"/>
        <v>0</v>
      </c>
      <c r="V51" s="286">
        <f t="shared" si="21"/>
        <v>0</v>
      </c>
      <c r="W51" s="286">
        <f t="shared" si="21"/>
        <v>0</v>
      </c>
      <c r="X51" s="286">
        <f t="shared" ref="X51:AG51" si="22">(X34-X17)/X17</f>
        <v>0</v>
      </c>
      <c r="Y51" s="286">
        <f t="shared" si="22"/>
        <v>0</v>
      </c>
      <c r="Z51" s="286">
        <f t="shared" si="22"/>
        <v>0</v>
      </c>
      <c r="AA51" s="286">
        <f t="shared" si="22"/>
        <v>0</v>
      </c>
      <c r="AB51" s="286">
        <f t="shared" si="22"/>
        <v>0</v>
      </c>
      <c r="AC51" s="286">
        <f t="shared" si="22"/>
        <v>0</v>
      </c>
      <c r="AD51" s="286">
        <f t="shared" si="22"/>
        <v>0</v>
      </c>
      <c r="AE51" s="286">
        <f t="shared" si="22"/>
        <v>0</v>
      </c>
      <c r="AF51" s="286">
        <f t="shared" si="22"/>
        <v>0</v>
      </c>
      <c r="AG51" s="286">
        <f t="shared" si="22"/>
        <v>0</v>
      </c>
    </row>
    <row r="52" spans="1:33">
      <c r="A52" s="214" t="s">
        <v>334</v>
      </c>
      <c r="C52" s="269">
        <f t="shared" si="0"/>
        <v>2.8437273227809232E-2</v>
      </c>
      <c r="D52" s="269">
        <f t="shared" ref="D52:W52" si="23">(D35-D18)/D18</f>
        <v>3.502716022323682E-2</v>
      </c>
      <c r="E52" s="269">
        <f t="shared" si="23"/>
        <v>4.2163972369649298E-2</v>
      </c>
      <c r="F52" s="269">
        <f t="shared" si="23"/>
        <v>4.9219237521089483E-2</v>
      </c>
      <c r="G52" s="269">
        <f t="shared" si="23"/>
        <v>5.1458062063822051E-2</v>
      </c>
      <c r="H52" s="269">
        <f t="shared" si="23"/>
        <v>5.8358400361836212E-2</v>
      </c>
      <c r="I52" s="269">
        <f t="shared" si="23"/>
        <v>6.5161435877547247E-2</v>
      </c>
      <c r="J52" s="269">
        <f t="shared" si="23"/>
        <v>7.1768724367457723E-2</v>
      </c>
      <c r="K52" s="269">
        <f t="shared" si="23"/>
        <v>7.8010041020222728E-2</v>
      </c>
      <c r="L52" s="269">
        <f t="shared" si="23"/>
        <v>8.3225630120222327E-2</v>
      </c>
      <c r="M52" s="269">
        <f t="shared" si="23"/>
        <v>8.9587870904192124E-2</v>
      </c>
      <c r="N52" s="269">
        <f t="shared" si="23"/>
        <v>9.5249870844206136E-2</v>
      </c>
      <c r="O52" s="269">
        <f t="shared" si="23"/>
        <v>0.10147112147402797</v>
      </c>
      <c r="P52" s="269">
        <f t="shared" si="23"/>
        <v>0.10789343407261939</v>
      </c>
      <c r="Q52" s="269">
        <f t="shared" si="23"/>
        <v>0.10949137964269114</v>
      </c>
      <c r="R52" s="269">
        <f t="shared" si="23"/>
        <v>0.10903210068848672</v>
      </c>
      <c r="S52" s="269">
        <f t="shared" si="23"/>
        <v>0.10891848399240459</v>
      </c>
      <c r="T52" s="269">
        <f t="shared" si="23"/>
        <v>0.1076287541401755</v>
      </c>
      <c r="U52" s="269">
        <f t="shared" si="23"/>
        <v>0.10729385867977809</v>
      </c>
      <c r="V52" s="269">
        <f t="shared" si="23"/>
        <v>0.10666259130477478</v>
      </c>
      <c r="W52" s="269">
        <f t="shared" si="23"/>
        <v>0.10593655056188243</v>
      </c>
      <c r="X52" s="269">
        <f t="shared" ref="X52:AG52" si="24">(X35-X18)/X18</f>
        <v>0.10538639575202163</v>
      </c>
      <c r="Y52" s="269">
        <f t="shared" si="24"/>
        <v>0.10498372746620435</v>
      </c>
      <c r="Z52" s="269">
        <f t="shared" si="24"/>
        <v>0.10473615985390289</v>
      </c>
      <c r="AA52" s="269">
        <f t="shared" si="24"/>
        <v>0.10449924264750805</v>
      </c>
      <c r="AB52" s="269">
        <f t="shared" si="24"/>
        <v>0.10412240108708888</v>
      </c>
      <c r="AC52" s="269">
        <f t="shared" si="24"/>
        <v>0.10440191524967325</v>
      </c>
      <c r="AD52" s="269">
        <f t="shared" si="24"/>
        <v>0.10399402932008718</v>
      </c>
      <c r="AE52" s="269">
        <f t="shared" si="24"/>
        <v>0.10343758423159501</v>
      </c>
      <c r="AF52" s="269">
        <f t="shared" si="24"/>
        <v>0.10331165017669887</v>
      </c>
      <c r="AG52" s="269">
        <f t="shared" si="24"/>
        <v>0.10300319533814728</v>
      </c>
    </row>
    <row r="53" spans="1:33">
      <c r="A53" s="214" t="s">
        <v>335</v>
      </c>
      <c r="C53" s="269">
        <f t="shared" si="0"/>
        <v>3.1722970749994611E-2</v>
      </c>
      <c r="D53" s="269">
        <f t="shared" ref="D53:W53" si="25">(D36-D19)/D19</f>
        <v>3.9321851564018552E-2</v>
      </c>
      <c r="E53" s="269">
        <f t="shared" si="25"/>
        <v>4.7642873447120572E-2</v>
      </c>
      <c r="F53" s="269">
        <f t="shared" si="25"/>
        <v>5.5649955740466488E-2</v>
      </c>
      <c r="G53" s="269">
        <f t="shared" si="25"/>
        <v>5.7723178246953277E-2</v>
      </c>
      <c r="H53" s="269">
        <f t="shared" si="25"/>
        <v>6.4864550091741593E-2</v>
      </c>
      <c r="I53" s="269">
        <f t="shared" si="25"/>
        <v>7.2288911708364947E-2</v>
      </c>
      <c r="J53" s="269">
        <f t="shared" si="25"/>
        <v>7.9214304230612292E-2</v>
      </c>
      <c r="K53" s="269">
        <f t="shared" si="25"/>
        <v>8.5934904940465642E-2</v>
      </c>
      <c r="L53" s="269">
        <f t="shared" si="25"/>
        <v>9.1313640611300012E-2</v>
      </c>
      <c r="M53" s="269">
        <f t="shared" si="25"/>
        <v>9.8030516872914697E-2</v>
      </c>
      <c r="N53" s="269">
        <f t="shared" si="25"/>
        <v>0.10427253700390492</v>
      </c>
      <c r="O53" s="269">
        <f t="shared" si="25"/>
        <v>0.11113927691893978</v>
      </c>
      <c r="P53" s="269">
        <f t="shared" si="25"/>
        <v>0.11726525026878772</v>
      </c>
      <c r="Q53" s="269">
        <f t="shared" si="25"/>
        <v>0.11864135748778816</v>
      </c>
      <c r="R53" s="269">
        <f t="shared" si="25"/>
        <v>0.11814662435655826</v>
      </c>
      <c r="S53" s="269">
        <f t="shared" si="25"/>
        <v>0.11762474795221367</v>
      </c>
      <c r="T53" s="269">
        <f t="shared" si="25"/>
        <v>0.11613364785670653</v>
      </c>
      <c r="U53" s="269">
        <f t="shared" si="25"/>
        <v>0.1155386049602324</v>
      </c>
      <c r="V53" s="269">
        <f t="shared" si="25"/>
        <v>0.11499826562971403</v>
      </c>
      <c r="W53" s="269">
        <f t="shared" si="25"/>
        <v>0.114489140531693</v>
      </c>
      <c r="X53" s="269">
        <f t="shared" ref="X53:AG53" si="26">(X36-X19)/X19</f>
        <v>0.11392351386373457</v>
      </c>
      <c r="Y53" s="269">
        <f t="shared" si="26"/>
        <v>0.11383425753196182</v>
      </c>
      <c r="Z53" s="269">
        <f t="shared" si="26"/>
        <v>0.11355703484346409</v>
      </c>
      <c r="AA53" s="269">
        <f t="shared" si="26"/>
        <v>0.1133626751622457</v>
      </c>
      <c r="AB53" s="269">
        <f t="shared" si="26"/>
        <v>0.11308922485644539</v>
      </c>
      <c r="AC53" s="269">
        <f t="shared" si="26"/>
        <v>0.11324859750428813</v>
      </c>
      <c r="AD53" s="269">
        <f t="shared" si="26"/>
        <v>0.1129839848397368</v>
      </c>
      <c r="AE53" s="269">
        <f t="shared" si="26"/>
        <v>0.11279851450684933</v>
      </c>
      <c r="AF53" s="269">
        <f t="shared" si="26"/>
        <v>0.113346548543686</v>
      </c>
      <c r="AG53" s="269">
        <f t="shared" si="26"/>
        <v>0.11309099655397256</v>
      </c>
    </row>
    <row r="54" spans="1:33">
      <c r="A54" s="214" t="s">
        <v>457</v>
      </c>
      <c r="C54" s="269">
        <f t="shared" si="0"/>
        <v>0</v>
      </c>
      <c r="D54" s="269">
        <f t="shared" ref="D54:W54" si="27">(D37-D20)/D20</f>
        <v>0</v>
      </c>
      <c r="E54" s="269">
        <f t="shared" si="27"/>
        <v>0</v>
      </c>
      <c r="F54" s="269">
        <f t="shared" si="27"/>
        <v>0</v>
      </c>
      <c r="G54" s="269">
        <f t="shared" si="27"/>
        <v>0</v>
      </c>
      <c r="H54" s="269">
        <f t="shared" si="27"/>
        <v>0</v>
      </c>
      <c r="I54" s="269">
        <f t="shared" si="27"/>
        <v>0</v>
      </c>
      <c r="J54" s="269">
        <f t="shared" si="27"/>
        <v>0</v>
      </c>
      <c r="K54" s="269">
        <f t="shared" si="27"/>
        <v>0</v>
      </c>
      <c r="L54" s="269">
        <f t="shared" si="27"/>
        <v>0</v>
      </c>
      <c r="M54" s="269">
        <f t="shared" si="27"/>
        <v>0</v>
      </c>
      <c r="N54" s="269">
        <f t="shared" si="27"/>
        <v>0</v>
      </c>
      <c r="O54" s="269">
        <f t="shared" si="27"/>
        <v>0</v>
      </c>
      <c r="P54" s="269">
        <f t="shared" si="27"/>
        <v>0</v>
      </c>
      <c r="Q54" s="269">
        <f t="shared" si="27"/>
        <v>0</v>
      </c>
      <c r="R54" s="269">
        <f t="shared" si="27"/>
        <v>0</v>
      </c>
      <c r="S54" s="269">
        <f t="shared" si="27"/>
        <v>0</v>
      </c>
      <c r="T54" s="269">
        <f t="shared" si="27"/>
        <v>0</v>
      </c>
      <c r="U54" s="269">
        <f t="shared" si="27"/>
        <v>0</v>
      </c>
      <c r="V54" s="269">
        <f t="shared" si="27"/>
        <v>0</v>
      </c>
      <c r="W54" s="269">
        <f t="shared" si="27"/>
        <v>0</v>
      </c>
      <c r="X54" s="269">
        <f t="shared" ref="X54:AG54" si="28">(X37-X20)/X20</f>
        <v>0</v>
      </c>
      <c r="Y54" s="269">
        <f t="shared" si="28"/>
        <v>0</v>
      </c>
      <c r="Z54" s="269">
        <f t="shared" si="28"/>
        <v>0</v>
      </c>
      <c r="AA54" s="269">
        <f t="shared" si="28"/>
        <v>0</v>
      </c>
      <c r="AB54" s="269">
        <f t="shared" si="28"/>
        <v>0</v>
      </c>
      <c r="AC54" s="269">
        <f t="shared" si="28"/>
        <v>0</v>
      </c>
      <c r="AD54" s="269">
        <f t="shared" si="28"/>
        <v>0</v>
      </c>
      <c r="AE54" s="269">
        <f t="shared" si="28"/>
        <v>0</v>
      </c>
      <c r="AF54" s="269">
        <f t="shared" si="28"/>
        <v>0</v>
      </c>
      <c r="AG54" s="269">
        <f t="shared" si="28"/>
        <v>0</v>
      </c>
    </row>
    <row r="55" spans="1:33">
      <c r="X55" s="374"/>
      <c r="Y55" s="374"/>
      <c r="Z55" s="374"/>
      <c r="AA55" s="374"/>
      <c r="AB55" s="374"/>
      <c r="AC55" s="374"/>
      <c r="AD55" s="374"/>
      <c r="AE55" s="374"/>
      <c r="AF55" s="374"/>
      <c r="AG55" s="374"/>
    </row>
    <row r="56" spans="1:33" s="252" customFormat="1" ht="13">
      <c r="A56" s="250" t="s">
        <v>1178</v>
      </c>
      <c r="B56" s="240"/>
      <c r="C56" s="240"/>
      <c r="D56" s="240"/>
      <c r="E56" s="240"/>
      <c r="F56" s="240"/>
      <c r="G56" s="240"/>
      <c r="H56" s="240"/>
      <c r="I56" s="240"/>
      <c r="J56" s="240"/>
      <c r="K56" s="240"/>
      <c r="L56" s="240"/>
      <c r="M56" s="240"/>
      <c r="N56" s="240"/>
      <c r="O56" s="240"/>
      <c r="P56" s="240"/>
      <c r="Q56" s="240"/>
      <c r="R56" s="240"/>
      <c r="S56" s="240"/>
      <c r="T56" s="240"/>
      <c r="U56" s="240"/>
      <c r="V56" s="240"/>
      <c r="W56" s="241"/>
      <c r="X56" s="240"/>
      <c r="Y56" s="240"/>
      <c r="Z56" s="240"/>
      <c r="AA56" s="240"/>
      <c r="AB56" s="240"/>
      <c r="AC56" s="240"/>
      <c r="AD56" s="240"/>
      <c r="AE56" s="240"/>
      <c r="AF56" s="240"/>
      <c r="AG56" s="240"/>
    </row>
    <row r="57" spans="1:33" s="252" customFormat="1">
      <c r="A57" s="554" t="str">
        <f>A23</f>
        <v>Sector and Fuel Category</v>
      </c>
      <c r="B57" s="554"/>
      <c r="C57" s="242">
        <v>2020</v>
      </c>
      <c r="D57" s="242">
        <v>2021</v>
      </c>
      <c r="E57" s="242">
        <v>2022</v>
      </c>
      <c r="F57" s="242">
        <v>2023</v>
      </c>
      <c r="G57" s="242">
        <v>2024</v>
      </c>
      <c r="H57" s="242">
        <v>2025</v>
      </c>
      <c r="I57" s="242">
        <v>2026</v>
      </c>
      <c r="J57" s="242">
        <v>2027</v>
      </c>
      <c r="K57" s="242">
        <v>2028</v>
      </c>
      <c r="L57" s="242">
        <v>2029</v>
      </c>
      <c r="M57" s="242">
        <v>2030</v>
      </c>
      <c r="N57" s="242">
        <v>2031</v>
      </c>
      <c r="O57" s="242">
        <v>2032</v>
      </c>
      <c r="P57" s="242">
        <v>2033</v>
      </c>
      <c r="Q57" s="242">
        <v>2034</v>
      </c>
      <c r="R57" s="242">
        <v>2035</v>
      </c>
      <c r="S57" s="242">
        <v>2036</v>
      </c>
      <c r="T57" s="242">
        <v>2037</v>
      </c>
      <c r="U57" s="242">
        <v>2038</v>
      </c>
      <c r="V57" s="242">
        <v>2039</v>
      </c>
      <c r="W57" s="242">
        <v>2040</v>
      </c>
      <c r="X57" s="375">
        <v>2041</v>
      </c>
      <c r="Y57" s="375">
        <v>2042</v>
      </c>
      <c r="Z57" s="375">
        <v>2043</v>
      </c>
      <c r="AA57" s="375">
        <v>2044</v>
      </c>
      <c r="AB57" s="375">
        <v>2045</v>
      </c>
      <c r="AC57" s="375">
        <v>2046</v>
      </c>
      <c r="AD57" s="375">
        <v>2047</v>
      </c>
      <c r="AE57" s="375">
        <v>2048</v>
      </c>
      <c r="AF57" s="375">
        <v>2049</v>
      </c>
      <c r="AG57" s="375">
        <v>2050</v>
      </c>
    </row>
    <row r="58" spans="1:33">
      <c r="A58" s="214" t="s">
        <v>1162</v>
      </c>
      <c r="C58" s="274">
        <f>'Baseline Emissions'!Q8</f>
        <v>0.3809282050672716</v>
      </c>
      <c r="D58" s="274">
        <f>'Baseline Emissions'!R8</f>
        <v>0.37091721151993612</v>
      </c>
      <c r="E58" s="274">
        <f>'Baseline Emissions'!S8</f>
        <v>0.36221659699267861</v>
      </c>
      <c r="F58" s="274">
        <f>'Baseline Emissions'!T8</f>
        <v>0.35463941814629174</v>
      </c>
      <c r="G58" s="274">
        <f>'Baseline Emissions'!U8</f>
        <v>0.34768101077433794</v>
      </c>
      <c r="H58" s="274">
        <f>'Baseline Emissions'!V8</f>
        <v>0.34140243213229776</v>
      </c>
      <c r="I58" s="274">
        <f>'Baseline Emissions'!W8</f>
        <v>0.33550547947393411</v>
      </c>
      <c r="J58" s="274">
        <f>'Baseline Emissions'!X8</f>
        <v>0.33033519264284517</v>
      </c>
      <c r="K58" s="274">
        <f>'Baseline Emissions'!Y8</f>
        <v>0.32609670135512564</v>
      </c>
      <c r="L58" s="274">
        <f>'Baseline Emissions'!Z8</f>
        <v>0.320688637679167</v>
      </c>
      <c r="M58" s="274">
        <f>'Baseline Emissions'!AA8</f>
        <v>0.31687631164400087</v>
      </c>
      <c r="N58" s="274">
        <f>'Baseline Emissions'!AB8</f>
        <v>0.31385758125085189</v>
      </c>
      <c r="O58" s="274">
        <f>'Baseline Emissions'!AC8</f>
        <v>0.31132716024362583</v>
      </c>
      <c r="P58" s="274">
        <f>'Baseline Emissions'!AD8</f>
        <v>0.30902467248060161</v>
      </c>
      <c r="Q58" s="274">
        <f>'Baseline Emissions'!AE8</f>
        <v>0.3070556938310216</v>
      </c>
      <c r="R58" s="274">
        <f>'Baseline Emissions'!AF8</f>
        <v>0.30533816556240206</v>
      </c>
      <c r="S58" s="274">
        <f>'Baseline Emissions'!AG8</f>
        <v>0.3038696875283185</v>
      </c>
      <c r="T58" s="274">
        <f>'Baseline Emissions'!AH8</f>
        <v>0.30256478599990294</v>
      </c>
      <c r="U58" s="274">
        <f>'Baseline Emissions'!AI8</f>
        <v>0.30152633083893599</v>
      </c>
      <c r="V58" s="274">
        <f>'Baseline Emissions'!AJ8</f>
        <v>0.30070338213353881</v>
      </c>
      <c r="W58" s="274">
        <f>'Baseline Emissions'!AK8</f>
        <v>0.30011067352778265</v>
      </c>
      <c r="X58" s="274">
        <f>'Baseline Emissions'!AL8</f>
        <v>0.29973175171936967</v>
      </c>
      <c r="Y58" s="274">
        <f>'Baseline Emissions'!AM8</f>
        <v>0.29931091115269909</v>
      </c>
      <c r="Z58" s="274">
        <f>'Baseline Emissions'!AN8</f>
        <v>0.29896807465764652</v>
      </c>
      <c r="AA58" s="274">
        <f>'Baseline Emissions'!AO8</f>
        <v>0.2986532634147348</v>
      </c>
      <c r="AB58" s="274">
        <f>'Baseline Emissions'!AP8</f>
        <v>0.29856837955760945</v>
      </c>
      <c r="AC58" s="274">
        <f>'Baseline Emissions'!AQ8</f>
        <v>0.2986547863034888</v>
      </c>
      <c r="AD58" s="274">
        <f>'Baseline Emissions'!AR8</f>
        <v>0.29888343384952948</v>
      </c>
      <c r="AE58" s="274">
        <f>'Baseline Emissions'!AS8</f>
        <v>0.29919201717892202</v>
      </c>
      <c r="AF58" s="274">
        <f>'Baseline Emissions'!AT8</f>
        <v>0.2996701041983153</v>
      </c>
      <c r="AG58" s="274">
        <f>'Baseline Emissions'!AU8</f>
        <v>0.3003041579515302</v>
      </c>
    </row>
    <row r="59" spans="1:33">
      <c r="A59" s="214" t="s">
        <v>1170</v>
      </c>
      <c r="C59" s="274">
        <f>'Baseline Emissions'!Q11</f>
        <v>4.4917242347042343</v>
      </c>
      <c r="D59" s="274">
        <f>'Baseline Emissions'!R11</f>
        <v>4.5010524441773416</v>
      </c>
      <c r="E59" s="274">
        <f>'Baseline Emissions'!S11</f>
        <v>4.5155670737526981</v>
      </c>
      <c r="F59" s="274">
        <f>'Baseline Emissions'!T11</f>
        <v>4.5306444003623385</v>
      </c>
      <c r="G59" s="274">
        <f>'Baseline Emissions'!U11</f>
        <v>4.5975352098885161</v>
      </c>
      <c r="H59" s="274">
        <f>'Baseline Emissions'!V11</f>
        <v>4.6394727006262455</v>
      </c>
      <c r="I59" s="274">
        <f>'Baseline Emissions'!W11</f>
        <v>4.6557712692983619</v>
      </c>
      <c r="J59" s="274">
        <f>'Baseline Emissions'!X11</f>
        <v>4.6600183457215101</v>
      </c>
      <c r="K59" s="274">
        <f>'Baseline Emissions'!Y11</f>
        <v>4.6682291777076363</v>
      </c>
      <c r="L59" s="274">
        <f>'Baseline Emissions'!Z11</f>
        <v>4.6324247915306609</v>
      </c>
      <c r="M59" s="274">
        <f>'Baseline Emissions'!AA11</f>
        <v>4.6135848177057355</v>
      </c>
      <c r="N59" s="274">
        <f>'Baseline Emissions'!AB11</f>
        <v>4.6059288113470727</v>
      </c>
      <c r="O59" s="274">
        <f>'Baseline Emissions'!AC11</f>
        <v>4.6078810626857765</v>
      </c>
      <c r="P59" s="274">
        <f>'Baseline Emissions'!AD11</f>
        <v>4.6120486666709475</v>
      </c>
      <c r="Q59" s="274">
        <f>'Baseline Emissions'!AE11</f>
        <v>4.6198732246298437</v>
      </c>
      <c r="R59" s="274">
        <f>'Baseline Emissions'!AF11</f>
        <v>4.6291773027267187</v>
      </c>
      <c r="S59" s="274">
        <f>'Baseline Emissions'!AG11</f>
        <v>4.6396141117180205</v>
      </c>
      <c r="T59" s="274">
        <f>'Baseline Emissions'!AH11</f>
        <v>4.648670949234174</v>
      </c>
      <c r="U59" s="274">
        <f>'Baseline Emissions'!AI11</f>
        <v>4.6574244600752435</v>
      </c>
      <c r="V59" s="274">
        <f>'Baseline Emissions'!AJ11</f>
        <v>4.6653432410645355</v>
      </c>
      <c r="W59" s="274">
        <f>'Baseline Emissions'!AK11</f>
        <v>4.672843314013166</v>
      </c>
      <c r="X59" s="274">
        <f>'Baseline Emissions'!AL11</f>
        <v>4.6816233140008894</v>
      </c>
      <c r="Y59" s="274">
        <f>'Baseline Emissions'!AM11</f>
        <v>4.6876648117232769</v>
      </c>
      <c r="Z59" s="274">
        <f>'Baseline Emissions'!AN11</f>
        <v>4.6920256658034303</v>
      </c>
      <c r="AA59" s="274">
        <f>'Baseline Emissions'!AO11</f>
        <v>4.6942340998854268</v>
      </c>
      <c r="AB59" s="274">
        <f>'Baseline Emissions'!AP11</f>
        <v>4.6966707668755463</v>
      </c>
      <c r="AC59" s="274">
        <f>'Baseline Emissions'!AQ11</f>
        <v>4.6989139628134353</v>
      </c>
      <c r="AD59" s="274">
        <f>'Baseline Emissions'!AR11</f>
        <v>4.7002625717758297</v>
      </c>
      <c r="AE59" s="274">
        <f>'Baseline Emissions'!AS11</f>
        <v>4.6990232694739111</v>
      </c>
      <c r="AF59" s="274">
        <f>'Baseline Emissions'!AT11</f>
        <v>4.6972303386617602</v>
      </c>
      <c r="AG59" s="274">
        <f>'Baseline Emissions'!AU11</f>
        <v>4.6948166732520349</v>
      </c>
    </row>
    <row r="60" spans="1:33" s="217" customFormat="1">
      <c r="A60" s="217" t="s">
        <v>1171</v>
      </c>
      <c r="C60" s="274">
        <f>'Baseline Emissions'!Q13</f>
        <v>4.9816519300311732</v>
      </c>
      <c r="D60" s="274">
        <f>'Baseline Emissions'!R13</f>
        <v>4.5314426557081697</v>
      </c>
      <c r="E60" s="274">
        <f>'Baseline Emissions'!S13</f>
        <v>4.4614003015976262</v>
      </c>
      <c r="F60" s="274">
        <f>'Baseline Emissions'!T13</f>
        <v>3.8881783255140365</v>
      </c>
      <c r="G60" s="274">
        <f>'Baseline Emissions'!U13</f>
        <v>3.597000211429676</v>
      </c>
      <c r="H60" s="274">
        <f>'Baseline Emissions'!V13</f>
        <v>3.5325558424789132</v>
      </c>
      <c r="I60" s="274">
        <f>'Baseline Emissions'!W13</f>
        <v>3.1079498732659108</v>
      </c>
      <c r="J60" s="274">
        <f>'Baseline Emissions'!X13</f>
        <v>3.0475980842155375</v>
      </c>
      <c r="K60" s="274">
        <f>'Baseline Emissions'!Y13</f>
        <v>3.0220877253889937</v>
      </c>
      <c r="L60" s="274">
        <f>'Baseline Emissions'!Z13</f>
        <v>2.7577926285955146</v>
      </c>
      <c r="M60" s="274">
        <f>'Baseline Emissions'!AA13</f>
        <v>2.751015287789305</v>
      </c>
      <c r="N60" s="274">
        <f>'Baseline Emissions'!AB13</f>
        <v>2.7541443441794313</v>
      </c>
      <c r="O60" s="274">
        <f>'Baseline Emissions'!AC13</f>
        <v>2.759301386484263</v>
      </c>
      <c r="P60" s="274">
        <f>'Baseline Emissions'!AD13</f>
        <v>2.7677680218922007</v>
      </c>
      <c r="Q60" s="274">
        <f>'Baseline Emissions'!AE13</f>
        <v>2.7797885113965748</v>
      </c>
      <c r="R60" s="274">
        <f>'Baseline Emissions'!AF13</f>
        <v>2.7927986232518109</v>
      </c>
      <c r="S60" s="274">
        <f>'Baseline Emissions'!AG13</f>
        <v>2.7969009439361185</v>
      </c>
      <c r="T60" s="274">
        <f>'Baseline Emissions'!AH13</f>
        <v>2.8053099672038866</v>
      </c>
      <c r="U60" s="274">
        <f>'Baseline Emissions'!AI13</f>
        <v>2.8137189904716555</v>
      </c>
      <c r="V60" s="274">
        <f>'Baseline Emissions'!AJ13</f>
        <v>2.8221280137394231</v>
      </c>
      <c r="W60" s="274">
        <f>'Baseline Emissions'!AK13</f>
        <v>2.8305370370071921</v>
      </c>
      <c r="X60" s="274">
        <f>'Baseline Emissions'!AL13</f>
        <v>2.8389460602749601</v>
      </c>
      <c r="Y60" s="274">
        <f>'Baseline Emissions'!AM13</f>
        <v>2.8473550835427281</v>
      </c>
      <c r="Z60" s="274">
        <f>'Baseline Emissions'!AN13</f>
        <v>2.8557641068104962</v>
      </c>
      <c r="AA60" s="274">
        <f>'Baseline Emissions'!AO13</f>
        <v>2.8641731300782647</v>
      </c>
      <c r="AB60" s="274">
        <f>'Baseline Emissions'!AP13</f>
        <v>2.8725821533460336</v>
      </c>
      <c r="AC60" s="274">
        <f>'Baseline Emissions'!AQ13</f>
        <v>2.8809911766138012</v>
      </c>
      <c r="AD60" s="274">
        <f>'Baseline Emissions'!AR13</f>
        <v>2.8894001998815702</v>
      </c>
      <c r="AE60" s="274">
        <f>'Baseline Emissions'!AS13</f>
        <v>2.8978092231493386</v>
      </c>
      <c r="AF60" s="274">
        <f>'Baseline Emissions'!AT13</f>
        <v>2.9062182464171076</v>
      </c>
      <c r="AG60" s="274">
        <f>'Baseline Emissions'!AU13</f>
        <v>2.9146272696848752</v>
      </c>
    </row>
    <row r="61" spans="1:33">
      <c r="A61" s="214" t="s">
        <v>1163</v>
      </c>
      <c r="C61" s="287">
        <f>'Baseline Emissions'!Q18</f>
        <v>0.22506870173683946</v>
      </c>
      <c r="D61" s="287">
        <f>'Baseline Emissions'!R18</f>
        <v>0.22718187040207097</v>
      </c>
      <c r="E61" s="287">
        <f>'Baseline Emissions'!S18</f>
        <v>0.22862004237299552</v>
      </c>
      <c r="F61" s="287">
        <f>'Baseline Emissions'!T18</f>
        <v>0.23045462175439668</v>
      </c>
      <c r="G61" s="287">
        <f>'Baseline Emissions'!U18</f>
        <v>0.23188979006413507</v>
      </c>
      <c r="H61" s="287">
        <f>'Baseline Emissions'!V18</f>
        <v>0.233221168208396</v>
      </c>
      <c r="I61" s="287">
        <f>'Baseline Emissions'!W18</f>
        <v>0.23490569407651476</v>
      </c>
      <c r="J61" s="287">
        <f>'Baseline Emissions'!X18</f>
        <v>0.23693038026048957</v>
      </c>
      <c r="K61" s="287">
        <f>'Baseline Emissions'!Y18</f>
        <v>0.23917851820443253</v>
      </c>
      <c r="L61" s="287">
        <f>'Baseline Emissions'!Z18</f>
        <v>0.23704621658600736</v>
      </c>
      <c r="M61" s="287">
        <f>'Baseline Emissions'!AA18</f>
        <v>0.23970950447728342</v>
      </c>
      <c r="N61" s="287">
        <f>'Baseline Emissions'!AB18</f>
        <v>0.24178474893884777</v>
      </c>
      <c r="O61" s="287">
        <f>'Baseline Emissions'!AC18</f>
        <v>0.24411039857243297</v>
      </c>
      <c r="P61" s="287">
        <f>'Baseline Emissions'!AD18</f>
        <v>0.24627663415025838</v>
      </c>
      <c r="Q61" s="287">
        <f>'Baseline Emissions'!AE18</f>
        <v>0.24851064344377016</v>
      </c>
      <c r="R61" s="287">
        <f>'Baseline Emissions'!AF18</f>
        <v>0.25079650519587787</v>
      </c>
      <c r="S61" s="287">
        <f>'Baseline Emissions'!AG18</f>
        <v>0.25307312707657742</v>
      </c>
      <c r="T61" s="287">
        <f>'Baseline Emissions'!AH18</f>
        <v>0.25546194660489907</v>
      </c>
      <c r="U61" s="287">
        <f>'Baseline Emissions'!AI18</f>
        <v>0.25791751907346855</v>
      </c>
      <c r="V61" s="287">
        <f>'Baseline Emissions'!AJ18</f>
        <v>0.26038742156028005</v>
      </c>
      <c r="W61" s="287">
        <f>'Baseline Emissions'!AK18</f>
        <v>0.26288679397908715</v>
      </c>
      <c r="X61" s="287">
        <f>'Baseline Emissions'!AL18</f>
        <v>0.2655029878109767</v>
      </c>
      <c r="Y61" s="287">
        <f>'Baseline Emissions'!AM18</f>
        <v>0.26785230495147133</v>
      </c>
      <c r="Z61" s="287">
        <f>'Baseline Emissions'!AN18</f>
        <v>0.2700874359736965</v>
      </c>
      <c r="AA61" s="287">
        <f>'Baseline Emissions'!AO18</f>
        <v>0.27224852366145308</v>
      </c>
      <c r="AB61" s="287">
        <f>'Baseline Emissions'!AP18</f>
        <v>0.27442093814534912</v>
      </c>
      <c r="AC61" s="287">
        <f>'Baseline Emissions'!AQ18</f>
        <v>0.27659903674116665</v>
      </c>
      <c r="AD61" s="287">
        <f>'Baseline Emissions'!AR18</f>
        <v>0.27872873673786314</v>
      </c>
      <c r="AE61" s="287">
        <f>'Baseline Emissions'!AS18</f>
        <v>0.28081438657474361</v>
      </c>
      <c r="AF61" s="287">
        <f>'Baseline Emissions'!AT18</f>
        <v>0.2829270141817703</v>
      </c>
      <c r="AG61" s="287">
        <f>'Baseline Emissions'!AU18</f>
        <v>0.28507879367183625</v>
      </c>
    </row>
    <row r="62" spans="1:33" s="214" customFormat="1">
      <c r="A62" s="214" t="s">
        <v>1181</v>
      </c>
      <c r="C62" s="274">
        <f>'Baseline Emissions'!Q21</f>
        <v>0.54148792969855442</v>
      </c>
      <c r="D62" s="274">
        <f>'Baseline Emissions'!R21</f>
        <v>0.5448015315971293</v>
      </c>
      <c r="E62" s="274">
        <f>'Baseline Emissions'!S21</f>
        <v>0.54928577057211903</v>
      </c>
      <c r="F62" s="274">
        <f>'Baseline Emissions'!T21</f>
        <v>0.5536671913892397</v>
      </c>
      <c r="G62" s="274">
        <f>'Baseline Emissions'!U21</f>
        <v>0.56458580414160342</v>
      </c>
      <c r="H62" s="274">
        <f>'Baseline Emissions'!V21</f>
        <v>0.57000365127150709</v>
      </c>
      <c r="I62" s="274">
        <f>'Baseline Emissions'!W21</f>
        <v>0.57050532319302194</v>
      </c>
      <c r="J62" s="274">
        <f>'Baseline Emissions'!X21</f>
        <v>0.56789255635997971</v>
      </c>
      <c r="K62" s="274">
        <f>'Baseline Emissions'!Y21</f>
        <v>0.56582194081538872</v>
      </c>
      <c r="L62" s="274">
        <f>'Baseline Emissions'!Z21</f>
        <v>0.55903428450759585</v>
      </c>
      <c r="M62" s="274">
        <f>'Baseline Emissions'!AA21</f>
        <v>0.5547181153623163</v>
      </c>
      <c r="N62" s="274">
        <f>'Baseline Emissions'!AB21</f>
        <v>0.55214232094575777</v>
      </c>
      <c r="O62" s="274">
        <f>'Baseline Emissions'!AC21</f>
        <v>0.55092329925440175</v>
      </c>
      <c r="P62" s="274">
        <f>'Baseline Emissions'!AD21</f>
        <v>0.54976556579556801</v>
      </c>
      <c r="Q62" s="274">
        <f>'Baseline Emissions'!AE21</f>
        <v>0.54945928826661472</v>
      </c>
      <c r="R62" s="274">
        <f>'Baseline Emissions'!AF21</f>
        <v>0.54906341971890216</v>
      </c>
      <c r="S62" s="274">
        <f>'Baseline Emissions'!AG21</f>
        <v>0.5485751718430254</v>
      </c>
      <c r="T62" s="274">
        <f>'Baseline Emissions'!AH21</f>
        <v>0.54830392354571067</v>
      </c>
      <c r="U62" s="274">
        <f>'Baseline Emissions'!AI21</f>
        <v>0.54816471298723757</v>
      </c>
      <c r="V62" s="274">
        <f>'Baseline Emissions'!AJ21</f>
        <v>0.54805159362285394</v>
      </c>
      <c r="W62" s="274">
        <f>'Baseline Emissions'!AK21</f>
        <v>0.54828252793763876</v>
      </c>
      <c r="X62" s="274">
        <f>'Baseline Emissions'!AL21</f>
        <v>0.54874892511856266</v>
      </c>
      <c r="Y62" s="274">
        <f>'Baseline Emissions'!AM21</f>
        <v>0.54853633293829951</v>
      </c>
      <c r="Z62" s="274">
        <f>'Baseline Emissions'!AN21</f>
        <v>0.54840592817323064</v>
      </c>
      <c r="AA62" s="274">
        <f>'Baseline Emissions'!AO21</f>
        <v>0.5485813354416692</v>
      </c>
      <c r="AB62" s="274">
        <f>'Baseline Emissions'!AP21</f>
        <v>0.54862281748803632</v>
      </c>
      <c r="AC62" s="274">
        <f>'Baseline Emissions'!AQ21</f>
        <v>0.54861528924909708</v>
      </c>
      <c r="AD62" s="274">
        <f>'Baseline Emissions'!AR21</f>
        <v>0.54863736311983691</v>
      </c>
      <c r="AE62" s="274">
        <f>'Baseline Emissions'!AS21</f>
        <v>0.54829619727007106</v>
      </c>
      <c r="AF62" s="274">
        <f>'Baseline Emissions'!AT21</f>
        <v>0.5478676004322961</v>
      </c>
      <c r="AG62" s="274">
        <f>'Baseline Emissions'!AU21</f>
        <v>0.54730078506462732</v>
      </c>
    </row>
    <row r="63" spans="1:33">
      <c r="A63" s="214" t="s">
        <v>1172</v>
      </c>
      <c r="C63" s="274">
        <f>'Baseline Emissions'!Q23</f>
        <v>3.199386089589848</v>
      </c>
      <c r="D63" s="274">
        <f>'Baseline Emissions'!R23</f>
        <v>3.2318824739467318</v>
      </c>
      <c r="E63" s="274">
        <f>'Baseline Emissions'!S23</f>
        <v>3.2610391842379753</v>
      </c>
      <c r="F63" s="274">
        <f>'Baseline Emissions'!T23</f>
        <v>3.2800708588230361</v>
      </c>
      <c r="G63" s="274">
        <f>'Baseline Emissions'!U23</f>
        <v>3.3792311703558204</v>
      </c>
      <c r="H63" s="274">
        <f>'Baseline Emissions'!V23</f>
        <v>3.4557797243550796</v>
      </c>
      <c r="I63" s="274">
        <f>'Baseline Emissions'!W23</f>
        <v>3.511424826532489</v>
      </c>
      <c r="J63" s="274">
        <f>'Baseline Emissions'!X23</f>
        <v>3.5598632958000342</v>
      </c>
      <c r="K63" s="274">
        <f>'Baseline Emissions'!Y23</f>
        <v>3.6139396122448439</v>
      </c>
      <c r="L63" s="274">
        <f>'Baseline Emissions'!Z23</f>
        <v>3.5912401350102403</v>
      </c>
      <c r="M63" s="274">
        <f>'Baseline Emissions'!AA23</f>
        <v>3.5906044319543069</v>
      </c>
      <c r="N63" s="274">
        <f>'Baseline Emissions'!AB23</f>
        <v>3.6042056669506901</v>
      </c>
      <c r="O63" s="274">
        <f>'Baseline Emissions'!AC23</f>
        <v>3.6358974409389511</v>
      </c>
      <c r="P63" s="274">
        <f>'Baseline Emissions'!AD23</f>
        <v>3.6706915427159865</v>
      </c>
      <c r="Q63" s="274">
        <f>'Baseline Emissions'!AE23</f>
        <v>3.7094659812005357</v>
      </c>
      <c r="R63" s="274">
        <f>'Baseline Emissions'!AF23</f>
        <v>3.7518831871143514</v>
      </c>
      <c r="S63" s="274">
        <f>'Baseline Emissions'!AG23</f>
        <v>3.8002734012090156</v>
      </c>
      <c r="T63" s="274">
        <f>'Baseline Emissions'!AH23</f>
        <v>3.8519126330425539</v>
      </c>
      <c r="U63" s="274">
        <f>'Baseline Emissions'!AI23</f>
        <v>3.9039086732266979</v>
      </c>
      <c r="V63" s="274">
        <f>'Baseline Emissions'!AJ23</f>
        <v>3.9558694069470044</v>
      </c>
      <c r="W63" s="274">
        <f>'Baseline Emissions'!AK23</f>
        <v>4.0082423527298143</v>
      </c>
      <c r="X63" s="274">
        <f>'Baseline Emissions'!AL23</f>
        <v>4.0726207073744991</v>
      </c>
      <c r="Y63" s="274">
        <f>'Baseline Emissions'!AM23</f>
        <v>4.1361091727206878</v>
      </c>
      <c r="Z63" s="274">
        <f>'Baseline Emissions'!AN23</f>
        <v>4.1981856314866404</v>
      </c>
      <c r="AA63" s="274">
        <f>'Baseline Emissions'!AO23</f>
        <v>4.2588128134673999</v>
      </c>
      <c r="AB63" s="274">
        <f>'Baseline Emissions'!AP23</f>
        <v>4.3200220091682846</v>
      </c>
      <c r="AC63" s="274">
        <f>'Baseline Emissions'!AQ23</f>
        <v>4.3836124231247577</v>
      </c>
      <c r="AD63" s="274">
        <f>'Baseline Emissions'!AR23</f>
        <v>4.4437831182577945</v>
      </c>
      <c r="AE63" s="274">
        <f>'Baseline Emissions'!AS23</f>
        <v>4.4995080773101801</v>
      </c>
      <c r="AF63" s="274">
        <f>'Baseline Emissions'!AT23</f>
        <v>4.5507943537909465</v>
      </c>
      <c r="AG63" s="274">
        <f>'Baseline Emissions'!AU23</f>
        <v>4.598121046790312</v>
      </c>
    </row>
    <row r="64" spans="1:33" s="217" customFormat="1">
      <c r="A64" s="217" t="s">
        <v>1173</v>
      </c>
      <c r="C64" s="274">
        <f>'Baseline Emissions'!Q26</f>
        <v>4.4430553999361786</v>
      </c>
      <c r="D64" s="274">
        <f>'Baseline Emissions'!R26</f>
        <v>4.0382317822809322</v>
      </c>
      <c r="E64" s="274">
        <f>'Baseline Emissions'!S26</f>
        <v>3.9714989417531177</v>
      </c>
      <c r="F64" s="274">
        <f>'Baseline Emissions'!T26</f>
        <v>3.456327033209972</v>
      </c>
      <c r="G64" s="274">
        <f>'Baseline Emissions'!U26</f>
        <v>3.1962549708552701</v>
      </c>
      <c r="H64" s="274">
        <f>'Baseline Emissions'!V26</f>
        <v>3.1429228858016707</v>
      </c>
      <c r="I64" s="274">
        <f>'Baseline Emissions'!W26</f>
        <v>2.7689546699312086</v>
      </c>
      <c r="J64" s="274">
        <f>'Baseline Emissions'!X26</f>
        <v>2.7371444864595711</v>
      </c>
      <c r="K64" s="274">
        <f>'Baseline Emissions'!Y26</f>
        <v>2.752013229064894</v>
      </c>
      <c r="L64" s="274">
        <f>'Baseline Emissions'!Z26</f>
        <v>2.5442484401751315</v>
      </c>
      <c r="M64" s="274">
        <f>'Baseline Emissions'!AA26</f>
        <v>2.569013619270955</v>
      </c>
      <c r="N64" s="274">
        <f>'Baseline Emissions'!AB26</f>
        <v>2.6021901629039803</v>
      </c>
      <c r="O64" s="274">
        <f>'Baseline Emissions'!AC26</f>
        <v>2.6363221915411672</v>
      </c>
      <c r="P64" s="274">
        <f>'Baseline Emissions'!AD26</f>
        <v>2.6721296508183623</v>
      </c>
      <c r="Q64" s="274">
        <f>'Baseline Emissions'!AE26</f>
        <v>2.7081179982632038</v>
      </c>
      <c r="R64" s="274">
        <f>'Baseline Emissions'!AF26</f>
        <v>2.7479241885031782</v>
      </c>
      <c r="S64" s="274">
        <f>'Baseline Emissions'!AG26</f>
        <v>2.7807640163684004</v>
      </c>
      <c r="T64" s="274">
        <f>'Baseline Emissions'!AH26</f>
        <v>2.8164252681260029</v>
      </c>
      <c r="U64" s="274">
        <f>'Baseline Emissions'!AI26</f>
        <v>2.8520865198836067</v>
      </c>
      <c r="V64" s="274">
        <f>'Baseline Emissions'!AJ26</f>
        <v>2.887747771641199</v>
      </c>
      <c r="W64" s="274">
        <f>'Baseline Emissions'!AK26</f>
        <v>2.9234090233988024</v>
      </c>
      <c r="X64" s="274">
        <f>'Baseline Emissions'!AL26</f>
        <v>2.9590702751563942</v>
      </c>
      <c r="Y64" s="274">
        <f>'Baseline Emissions'!AM26</f>
        <v>2.9947315269139976</v>
      </c>
      <c r="Z64" s="274">
        <f>'Baseline Emissions'!AN26</f>
        <v>3.0303927786716001</v>
      </c>
      <c r="AA64" s="274">
        <f>'Baseline Emissions'!AO26</f>
        <v>3.0660540304291923</v>
      </c>
      <c r="AB64" s="274">
        <f>'Baseline Emissions'!AP26</f>
        <v>3.1017152821867966</v>
      </c>
      <c r="AC64" s="274">
        <f>'Baseline Emissions'!AQ26</f>
        <v>3.1373765339443991</v>
      </c>
      <c r="AD64" s="274">
        <f>'Baseline Emissions'!AR26</f>
        <v>3.1730377857019918</v>
      </c>
      <c r="AE64" s="274">
        <f>'Baseline Emissions'!AS26</f>
        <v>3.2086990374595956</v>
      </c>
      <c r="AF64" s="274">
        <f>'Baseline Emissions'!AT26</f>
        <v>3.244360289217199</v>
      </c>
      <c r="AG64" s="274">
        <f>'Baseline Emissions'!AU26</f>
        <v>3.2800215409747904</v>
      </c>
    </row>
    <row r="65" spans="1:33">
      <c r="A65" s="214" t="s">
        <v>1174</v>
      </c>
      <c r="C65" s="287">
        <f>'Baseline Emissions'!Q34</f>
        <v>1.2967552880388045</v>
      </c>
      <c r="D65" s="287">
        <f>'Baseline Emissions'!R34</f>
        <v>1.3135693947068283</v>
      </c>
      <c r="E65" s="287">
        <f>'Baseline Emissions'!S34</f>
        <v>1.334609904247432</v>
      </c>
      <c r="F65" s="287">
        <f>'Baseline Emissions'!T34</f>
        <v>1.3493385208462709</v>
      </c>
      <c r="G65" s="287">
        <f>'Baseline Emissions'!U34</f>
        <v>1.3637867210405588</v>
      </c>
      <c r="H65" s="287">
        <f>'Baseline Emissions'!V34</f>
        <v>1.3752809088965516</v>
      </c>
      <c r="I65" s="287">
        <f>'Baseline Emissions'!W34</f>
        <v>1.3856117335699132</v>
      </c>
      <c r="J65" s="287">
        <f>'Baseline Emissions'!X34</f>
        <v>1.3970090874621075</v>
      </c>
      <c r="K65" s="287">
        <f>'Baseline Emissions'!Y34</f>
        <v>1.4095580801099137</v>
      </c>
      <c r="L65" s="287">
        <f>'Baseline Emissions'!Z34</f>
        <v>1.4231418420299367</v>
      </c>
      <c r="M65" s="287">
        <f>'Baseline Emissions'!AA34</f>
        <v>1.4335922397427852</v>
      </c>
      <c r="N65" s="287">
        <f>'Baseline Emissions'!AB34</f>
        <v>1.4489348348551623</v>
      </c>
      <c r="O65" s="287">
        <f>'Baseline Emissions'!AC34</f>
        <v>1.4634533275426187</v>
      </c>
      <c r="P65" s="287">
        <f>'Baseline Emissions'!AD34</f>
        <v>1.4783724344297378</v>
      </c>
      <c r="Q65" s="287">
        <f>'Baseline Emissions'!AE34</f>
        <v>1.4920841798166502</v>
      </c>
      <c r="R65" s="287">
        <f>'Baseline Emissions'!AF34</f>
        <v>1.5102116018882386</v>
      </c>
      <c r="S65" s="287">
        <f>'Baseline Emissions'!AG34</f>
        <v>1.529968643010766</v>
      </c>
      <c r="T65" s="287">
        <f>'Baseline Emissions'!AH34</f>
        <v>1.5447229240366194</v>
      </c>
      <c r="U65" s="287">
        <f>'Baseline Emissions'!AI34</f>
        <v>1.5667249608800833</v>
      </c>
      <c r="V65" s="287">
        <f>'Baseline Emissions'!AJ34</f>
        <v>1.5851166919490274</v>
      </c>
      <c r="W65" s="287">
        <f>'Baseline Emissions'!AK34</f>
        <v>1.6053673552464069</v>
      </c>
      <c r="X65" s="287">
        <f>'Baseline Emissions'!AL34</f>
        <v>1.6294146405739867</v>
      </c>
      <c r="Y65" s="287">
        <f>'Baseline Emissions'!AM34</f>
        <v>1.6507615165749994</v>
      </c>
      <c r="Z65" s="287">
        <f>'Baseline Emissions'!AN34</f>
        <v>1.6670082533412525</v>
      </c>
      <c r="AA65" s="287">
        <f>'Baseline Emissions'!AO34</f>
        <v>1.6888002075982187</v>
      </c>
      <c r="AB65" s="287">
        <f>'Baseline Emissions'!AP34</f>
        <v>1.7086682429542588</v>
      </c>
      <c r="AC65" s="287">
        <f>'Baseline Emissions'!AQ34</f>
        <v>1.7304145731735825</v>
      </c>
      <c r="AD65" s="287">
        <f>'Baseline Emissions'!AR34</f>
        <v>1.7517353990110385</v>
      </c>
      <c r="AE65" s="287">
        <f>'Baseline Emissions'!AS34</f>
        <v>1.7760315853118334</v>
      </c>
      <c r="AF65" s="287">
        <f>'Baseline Emissions'!AT34</f>
        <v>1.7923893237043671</v>
      </c>
      <c r="AG65" s="287">
        <f>'Baseline Emissions'!AU34</f>
        <v>1.8120753231199185</v>
      </c>
    </row>
    <row r="66" spans="1:33">
      <c r="A66" s="214" t="s">
        <v>1175</v>
      </c>
      <c r="C66" s="274">
        <f>'Baseline Emissions'!Q41</f>
        <v>4.2065202423967749</v>
      </c>
      <c r="D66" s="274">
        <f>'Baseline Emissions'!R41</f>
        <v>4.2382947744407211</v>
      </c>
      <c r="E66" s="274">
        <f>'Baseline Emissions'!S41</f>
        <v>4.3316339702605244</v>
      </c>
      <c r="F66" s="274">
        <f>'Baseline Emissions'!T41</f>
        <v>4.3839618740126909</v>
      </c>
      <c r="G66" s="274">
        <f>'Baseline Emissions'!U41</f>
        <v>4.8038575355178832</v>
      </c>
      <c r="H66" s="274">
        <f>'Baseline Emissions'!V41</f>
        <v>4.8367188081642718</v>
      </c>
      <c r="I66" s="274">
        <f>'Baseline Emissions'!W41</f>
        <v>5.0371730058360757</v>
      </c>
      <c r="J66" s="274">
        <f>'Baseline Emissions'!X41</f>
        <v>4.9827387727454635</v>
      </c>
      <c r="K66" s="274">
        <f>'Baseline Emissions'!Y41</f>
        <v>5.0585249935008703</v>
      </c>
      <c r="L66" s="274">
        <f>'Baseline Emissions'!Z41</f>
        <v>4.8320837570388768</v>
      </c>
      <c r="M66" s="274">
        <f>'Baseline Emissions'!AA41</f>
        <v>4.8937534013133739</v>
      </c>
      <c r="N66" s="274">
        <f>'Baseline Emissions'!AB41</f>
        <v>4.8744718016371733</v>
      </c>
      <c r="O66" s="274">
        <f>'Baseline Emissions'!AC41</f>
        <v>4.8493175302978804</v>
      </c>
      <c r="P66" s="274">
        <f>'Baseline Emissions'!AD41</f>
        <v>4.8414419203325645</v>
      </c>
      <c r="Q66" s="274">
        <f>'Baseline Emissions'!AE41</f>
        <v>4.8810639232697781</v>
      </c>
      <c r="R66" s="274">
        <f>'Baseline Emissions'!AF41</f>
        <v>4.8731094144406928</v>
      </c>
      <c r="S66" s="274">
        <f>'Baseline Emissions'!AG41</f>
        <v>4.9141062114363372</v>
      </c>
      <c r="T66" s="274">
        <f>'Baseline Emissions'!AH41</f>
        <v>4.9326812958857804</v>
      </c>
      <c r="U66" s="274">
        <f>'Baseline Emissions'!AI41</f>
        <v>4.9902036180708924</v>
      </c>
      <c r="V66" s="274">
        <f>'Baseline Emissions'!AJ41</f>
        <v>5.0206315882021482</v>
      </c>
      <c r="W66" s="274">
        <f>'Baseline Emissions'!AK41</f>
        <v>5.0548234312923377</v>
      </c>
      <c r="X66" s="274">
        <f>'Baseline Emissions'!AL41</f>
        <v>5.1161520591823288</v>
      </c>
      <c r="Y66" s="274">
        <f>'Baseline Emissions'!AM41</f>
        <v>5.1289959863543144</v>
      </c>
      <c r="Z66" s="274">
        <f>'Baseline Emissions'!AN41</f>
        <v>5.1853870513558959</v>
      </c>
      <c r="AA66" s="274">
        <f>'Baseline Emissions'!AO41</f>
        <v>5.2740014860790732</v>
      </c>
      <c r="AB66" s="274">
        <f>'Baseline Emissions'!AP41</f>
        <v>5.4165060714726145</v>
      </c>
      <c r="AC66" s="274">
        <f>'Baseline Emissions'!AQ41</f>
        <v>5.4419080311566956</v>
      </c>
      <c r="AD66" s="274">
        <f>'Baseline Emissions'!AR41</f>
        <v>5.5048039957611037</v>
      </c>
      <c r="AE66" s="274">
        <f>'Baseline Emissions'!AS41</f>
        <v>5.5778439611444943</v>
      </c>
      <c r="AF66" s="274">
        <f>'Baseline Emissions'!AT41</f>
        <v>5.6316019780069793</v>
      </c>
      <c r="AG66" s="274">
        <f>'Baseline Emissions'!AU41</f>
        <v>5.6771941470885228</v>
      </c>
    </row>
    <row r="67" spans="1:33" s="217" customFormat="1">
      <c r="A67" s="217" t="s">
        <v>1176</v>
      </c>
      <c r="C67" s="274">
        <f>'Baseline Emissions'!Q49</f>
        <v>3.2881877683865444</v>
      </c>
      <c r="D67" s="274">
        <f>'Baseline Emissions'!R49</f>
        <v>3.0546816901037466</v>
      </c>
      <c r="E67" s="274">
        <f>'Baseline Emissions'!S49</f>
        <v>3.072288446487093</v>
      </c>
      <c r="F67" s="274">
        <f>'Baseline Emissions'!T49</f>
        <v>2.7381463297979169</v>
      </c>
      <c r="G67" s="274">
        <f>'Baseline Emissions'!U49</f>
        <v>2.5954946748662713</v>
      </c>
      <c r="H67" s="274">
        <f>'Baseline Emissions'!V49</f>
        <v>2.614065110173482</v>
      </c>
      <c r="I67" s="274">
        <f>'Baseline Emissions'!W49</f>
        <v>2.3578740593420462</v>
      </c>
      <c r="J67" s="274">
        <f>'Baseline Emissions'!X49</f>
        <v>2.3761105210354465</v>
      </c>
      <c r="K67" s="274">
        <f>'Baseline Emissions'!Y49</f>
        <v>2.4202628441659431</v>
      </c>
      <c r="L67" s="274">
        <f>'Baseline Emissions'!Z49</f>
        <v>2.2588733694929459</v>
      </c>
      <c r="M67" s="274">
        <f>'Baseline Emissions'!AA49</f>
        <v>2.2912374794199493</v>
      </c>
      <c r="N67" s="274">
        <f>'Baseline Emissions'!AB49</f>
        <v>2.2986468374536937</v>
      </c>
      <c r="O67" s="274">
        <f>'Baseline Emissions'!AC49</f>
        <v>2.3329102638921753</v>
      </c>
      <c r="P67" s="274">
        <f>'Baseline Emissions'!AD49</f>
        <v>2.3674787807277404</v>
      </c>
      <c r="Q67" s="274">
        <f>'Baseline Emissions'!AE49</f>
        <v>2.402435294266493</v>
      </c>
      <c r="R67" s="274">
        <f>'Baseline Emissions'!AF49</f>
        <v>2.4396259218819476</v>
      </c>
      <c r="S67" s="274">
        <f>'Baseline Emissions'!AG49</f>
        <v>2.4641767062320614</v>
      </c>
      <c r="T67" s="274">
        <f>'Baseline Emissions'!AH49</f>
        <v>2.4952588805058862</v>
      </c>
      <c r="U67" s="274">
        <f>'Baseline Emissions'!AI49</f>
        <v>2.5263410547797238</v>
      </c>
      <c r="V67" s="274">
        <f>'Baseline Emissions'!AJ49</f>
        <v>2.5574232290535486</v>
      </c>
      <c r="W67" s="274">
        <f>'Baseline Emissions'!AK49</f>
        <v>2.5885054033273747</v>
      </c>
      <c r="X67" s="274">
        <f>'Baseline Emissions'!AL49</f>
        <v>2.6195875776012003</v>
      </c>
      <c r="Y67" s="274">
        <f>'Baseline Emissions'!AM49</f>
        <v>2.6506697518750255</v>
      </c>
      <c r="Z67" s="274">
        <f>'Baseline Emissions'!AN49</f>
        <v>2.6817519261488512</v>
      </c>
      <c r="AA67" s="274">
        <f>'Baseline Emissions'!AO49</f>
        <v>2.7128341004226768</v>
      </c>
      <c r="AB67" s="274">
        <f>'Baseline Emissions'!AP49</f>
        <v>2.7439162746965136</v>
      </c>
      <c r="AC67" s="274">
        <f>'Baseline Emissions'!AQ49</f>
        <v>2.7749984489703388</v>
      </c>
      <c r="AD67" s="274">
        <f>'Baseline Emissions'!AR49</f>
        <v>2.8060806232441649</v>
      </c>
      <c r="AE67" s="274">
        <f>'Baseline Emissions'!AS49</f>
        <v>2.8371627975179905</v>
      </c>
      <c r="AF67" s="274">
        <f>'Baseline Emissions'!AT49</f>
        <v>2.868244971791817</v>
      </c>
      <c r="AG67" s="274">
        <f>'Baseline Emissions'!AU49</f>
        <v>2.8993271460656418</v>
      </c>
    </row>
    <row r="68" spans="1:33">
      <c r="A68" s="214" t="s">
        <v>1177</v>
      </c>
      <c r="C68" s="287">
        <f>'Baseline Emissions'!Q69</f>
        <v>2.7661968672006916</v>
      </c>
      <c r="D68" s="287">
        <f>'Baseline Emissions'!R69</f>
        <v>3.3006962004711169</v>
      </c>
      <c r="E68" s="287">
        <f>'Baseline Emissions'!S69</f>
        <v>4.3950708227296689</v>
      </c>
      <c r="F68" s="287">
        <f>'Baseline Emissions'!T69</f>
        <v>4.6014009001125835</v>
      </c>
      <c r="G68" s="287">
        <f>'Baseline Emissions'!U69</f>
        <v>4.7057854419747809</v>
      </c>
      <c r="H68" s="287">
        <f>'Baseline Emissions'!V69</f>
        <v>4.7990927272075297</v>
      </c>
      <c r="I68" s="287">
        <f>'Baseline Emissions'!W69</f>
        <v>4.7130747861455795</v>
      </c>
      <c r="J68" s="287">
        <f>'Baseline Emissions'!X69</f>
        <v>4.640984245533005</v>
      </c>
      <c r="K68" s="287">
        <f>'Baseline Emissions'!Y69</f>
        <v>4.5978830210741481</v>
      </c>
      <c r="L68" s="287">
        <f>'Baseline Emissions'!Z69</f>
        <v>4.6233736852603515</v>
      </c>
      <c r="M68" s="287">
        <f>'Baseline Emissions'!AA69</f>
        <v>4.4690186797792366</v>
      </c>
      <c r="N68" s="287">
        <f>'Baseline Emissions'!AB69</f>
        <v>4.4458044291625844</v>
      </c>
      <c r="O68" s="287">
        <f>'Baseline Emissions'!AC69</f>
        <v>4.4312425942923577</v>
      </c>
      <c r="P68" s="287">
        <f>'Baseline Emissions'!AD69</f>
        <v>4.4189823945260027</v>
      </c>
      <c r="Q68" s="287">
        <f>'Baseline Emissions'!AE69</f>
        <v>4.3900630606843363</v>
      </c>
      <c r="R68" s="287">
        <f>'Baseline Emissions'!AF69</f>
        <v>4.1074125049803385</v>
      </c>
      <c r="S68" s="287">
        <f>'Baseline Emissions'!AG69</f>
        <v>4.0867866501031864</v>
      </c>
      <c r="T68" s="287">
        <f>'Baseline Emissions'!AH69</f>
        <v>4.017867106306249</v>
      </c>
      <c r="U68" s="287">
        <f>'Baseline Emissions'!AI69</f>
        <v>3.9957110759357066</v>
      </c>
      <c r="V68" s="287">
        <f>'Baseline Emissions'!AJ69</f>
        <v>3.9761306462429582</v>
      </c>
      <c r="W68" s="287">
        <f>'Baseline Emissions'!AK69</f>
        <v>3.961178706920363</v>
      </c>
      <c r="X68" s="287">
        <f>'Baseline Emissions'!AL69</f>
        <v>3.9399102523474641</v>
      </c>
      <c r="Y68" s="287">
        <f>'Baseline Emissions'!AM69</f>
        <v>3.897340722881212</v>
      </c>
      <c r="Z68" s="287">
        <f>'Baseline Emissions'!AN69</f>
        <v>4.0133317941060875</v>
      </c>
      <c r="AA68" s="287">
        <f>'Baseline Emissions'!AO69</f>
        <v>3.8757745879371663</v>
      </c>
      <c r="AB68" s="287">
        <f>'Baseline Emissions'!AP69</f>
        <v>3.8672203122277442</v>
      </c>
      <c r="AC68" s="287">
        <f>'Baseline Emissions'!AQ69</f>
        <v>3.7928437864566358</v>
      </c>
      <c r="AD68" s="287">
        <f>'Baseline Emissions'!AR69</f>
        <v>3.7785353167562263</v>
      </c>
      <c r="AE68" s="287">
        <f>'Baseline Emissions'!AS69</f>
        <v>3.7701446864823955</v>
      </c>
      <c r="AF68" s="287">
        <f>'Baseline Emissions'!AT69</f>
        <v>3.7741274973535432</v>
      </c>
      <c r="AG68" s="287">
        <f>'Baseline Emissions'!AU69</f>
        <v>3.7582311302487548</v>
      </c>
    </row>
    <row r="69" spans="1:33">
      <c r="A69" s="214" t="s">
        <v>334</v>
      </c>
      <c r="C69" s="274">
        <f>'Baseline Emissions'!Q66</f>
        <v>21.5673553199201</v>
      </c>
      <c r="D69" s="274">
        <f>'Baseline Emissions'!R66</f>
        <v>21.243686999046218</v>
      </c>
      <c r="E69" s="274">
        <f>'Baseline Emissions'!S66</f>
        <v>20.882192536495744</v>
      </c>
      <c r="F69" s="274">
        <f>'Baseline Emissions'!T66</f>
        <v>20.534774053027579</v>
      </c>
      <c r="G69" s="274">
        <f>'Baseline Emissions'!U66</f>
        <v>20.23911308881582</v>
      </c>
      <c r="H69" s="274">
        <f>'Baseline Emissions'!V66</f>
        <v>19.817574408545436</v>
      </c>
      <c r="I69" s="274">
        <f>'Baseline Emissions'!W66</f>
        <v>19.447258902966787</v>
      </c>
      <c r="J69" s="274">
        <f>'Baseline Emissions'!X66</f>
        <v>19.091234551076219</v>
      </c>
      <c r="K69" s="274">
        <f>'Baseline Emissions'!Y66</f>
        <v>18.754194408328626</v>
      </c>
      <c r="L69" s="274">
        <f>'Baseline Emissions'!Z66</f>
        <v>18.412319559703512</v>
      </c>
      <c r="M69" s="274">
        <f>'Baseline Emissions'!AA66</f>
        <v>18.103536084084588</v>
      </c>
      <c r="N69" s="274">
        <f>'Baseline Emissions'!AB66</f>
        <v>17.804305966382305</v>
      </c>
      <c r="O69" s="274">
        <f>'Baseline Emissions'!AC66</f>
        <v>17.553429940304024</v>
      </c>
      <c r="P69" s="274">
        <f>'Baseline Emissions'!AD66</f>
        <v>17.309804469502165</v>
      </c>
      <c r="Q69" s="274">
        <f>'Baseline Emissions'!AE66</f>
        <v>17.080373132251289</v>
      </c>
      <c r="R69" s="274">
        <f>'Baseline Emissions'!AF66</f>
        <v>16.885196560216812</v>
      </c>
      <c r="S69" s="274">
        <f>'Baseline Emissions'!AG66</f>
        <v>16.723156569140944</v>
      </c>
      <c r="T69" s="274">
        <f>'Baseline Emissions'!AH66</f>
        <v>16.600391651775723</v>
      </c>
      <c r="U69" s="274">
        <f>'Baseline Emissions'!AI66</f>
        <v>16.5059035353704</v>
      </c>
      <c r="V69" s="274">
        <f>'Baseline Emissions'!AJ66</f>
        <v>16.44545791031506</v>
      </c>
      <c r="W69" s="274">
        <f>'Baseline Emissions'!AK66</f>
        <v>16.400291078970969</v>
      </c>
      <c r="X69" s="274">
        <f>'Baseline Emissions'!AL66</f>
        <v>16.384733165841443</v>
      </c>
      <c r="Y69" s="274">
        <f>'Baseline Emissions'!AM66</f>
        <v>16.372356677443339</v>
      </c>
      <c r="Z69" s="274">
        <f>'Baseline Emissions'!AN66</f>
        <v>16.376603858988513</v>
      </c>
      <c r="AA69" s="274">
        <f>'Baseline Emissions'!AO66</f>
        <v>16.388756382491906</v>
      </c>
      <c r="AB69" s="274">
        <f>'Baseline Emissions'!AP66</f>
        <v>16.39900513156773</v>
      </c>
      <c r="AC69" s="274">
        <f>'Baseline Emissions'!AQ66</f>
        <v>16.433935149769137</v>
      </c>
      <c r="AD69" s="274">
        <f>'Baseline Emissions'!AR66</f>
        <v>16.485581337053464</v>
      </c>
      <c r="AE69" s="274">
        <f>'Baseline Emissions'!AS66</f>
        <v>16.518302154098759</v>
      </c>
      <c r="AF69" s="274">
        <f>'Baseline Emissions'!AT66</f>
        <v>16.524260549974581</v>
      </c>
      <c r="AG69" s="274">
        <f>'Baseline Emissions'!AU66</f>
        <v>16.525778280834118</v>
      </c>
    </row>
    <row r="70" spans="1:33">
      <c r="A70" s="214" t="s">
        <v>335</v>
      </c>
      <c r="C70" s="274">
        <f>'Baseline Emissions'!Q68</f>
        <v>10.424348904844033</v>
      </c>
      <c r="D70" s="274">
        <f>'Baseline Emissions'!R68</f>
        <v>10.378800641016948</v>
      </c>
      <c r="E70" s="274">
        <f>'Baseline Emissions'!S68</f>
        <v>10.097894675900038</v>
      </c>
      <c r="F70" s="274">
        <f>'Baseline Emissions'!T68</f>
        <v>10.022215907252484</v>
      </c>
      <c r="G70" s="274">
        <f>'Baseline Emissions'!U68</f>
        <v>9.9825062486340332</v>
      </c>
      <c r="H70" s="274">
        <f>'Baseline Emissions'!V68</f>
        <v>9.971700815726706</v>
      </c>
      <c r="I70" s="274">
        <f>'Baseline Emissions'!W68</f>
        <v>9.978934256103928</v>
      </c>
      <c r="J70" s="274">
        <f>'Baseline Emissions'!X68</f>
        <v>9.9474991497385261</v>
      </c>
      <c r="K70" s="274">
        <f>'Baseline Emissions'!Y68</f>
        <v>9.9281349216807264</v>
      </c>
      <c r="L70" s="274">
        <f>'Baseline Emissions'!Z68</f>
        <v>9.8839494659441556</v>
      </c>
      <c r="M70" s="274">
        <f>'Baseline Emissions'!AA68</f>
        <v>9.8731768106800057</v>
      </c>
      <c r="N70" s="274">
        <f>'Baseline Emissions'!AB68</f>
        <v>9.8377426491679305</v>
      </c>
      <c r="O70" s="274">
        <f>'Baseline Emissions'!AC68</f>
        <v>9.7977047890544426</v>
      </c>
      <c r="P70" s="274">
        <f>'Baseline Emissions'!AD68</f>
        <v>9.7530467046600045</v>
      </c>
      <c r="Q70" s="274">
        <f>'Baseline Emissions'!AE68</f>
        <v>9.7379617697521716</v>
      </c>
      <c r="R70" s="274">
        <f>'Baseline Emissions'!AF68</f>
        <v>9.8040956524651204</v>
      </c>
      <c r="S70" s="274">
        <f>'Baseline Emissions'!AG68</f>
        <v>9.8172164616385178</v>
      </c>
      <c r="T70" s="274">
        <f>'Baseline Emissions'!AH68</f>
        <v>9.8507935224443575</v>
      </c>
      <c r="U70" s="274">
        <f>'Baseline Emissions'!AI68</f>
        <v>9.8849621784493351</v>
      </c>
      <c r="V70" s="274">
        <f>'Baseline Emissions'!AJ68</f>
        <v>9.917780141249068</v>
      </c>
      <c r="W70" s="274">
        <f>'Baseline Emissions'!AK68</f>
        <v>9.9442548375013562</v>
      </c>
      <c r="X70" s="274">
        <f>'Baseline Emissions'!AL68</f>
        <v>9.9805993177283518</v>
      </c>
      <c r="Y70" s="274">
        <f>'Baseline Emissions'!AM68</f>
        <v>10.000346694064676</v>
      </c>
      <c r="Z70" s="274">
        <f>'Baseline Emissions'!AN68</f>
        <v>10.017662968325293</v>
      </c>
      <c r="AA70" s="274">
        <f>'Baseline Emissions'!AO68</f>
        <v>10.08665177671331</v>
      </c>
      <c r="AB70" s="274">
        <f>'Baseline Emissions'!AP68</f>
        <v>10.130840423285376</v>
      </c>
      <c r="AC70" s="274">
        <f>'Baseline Emissions'!AQ68</f>
        <v>10.18690680315831</v>
      </c>
      <c r="AD70" s="274">
        <f>'Baseline Emissions'!AR68</f>
        <v>10.235676790474532</v>
      </c>
      <c r="AE70" s="274">
        <f>'Baseline Emissions'!AS68</f>
        <v>10.285295944341438</v>
      </c>
      <c r="AF70" s="274">
        <f>'Baseline Emissions'!AT68</f>
        <v>10.322843519648533</v>
      </c>
      <c r="AG70" s="274">
        <f>'Baseline Emissions'!AU68</f>
        <v>10.36505320924114</v>
      </c>
    </row>
    <row r="71" spans="1:33">
      <c r="A71" s="214" t="s">
        <v>457</v>
      </c>
      <c r="C71" s="274">
        <f>'Baseline Emissions'!Q67</f>
        <v>7.4292683431161084</v>
      </c>
      <c r="D71" s="274">
        <f>'Baseline Emissions'!R67</f>
        <v>7.4938172819490623</v>
      </c>
      <c r="E71" s="274">
        <f>'Baseline Emissions'!S67</f>
        <v>7.5529230597927883</v>
      </c>
      <c r="F71" s="274">
        <f>'Baseline Emissions'!T67</f>
        <v>7.5995794633598814</v>
      </c>
      <c r="G71" s="274">
        <f>'Baseline Emissions'!U67</f>
        <v>7.6621972132246388</v>
      </c>
      <c r="H71" s="274">
        <f>'Baseline Emissions'!V67</f>
        <v>7.7477502690531104</v>
      </c>
      <c r="I71" s="274">
        <f>'Baseline Emissions'!W67</f>
        <v>7.8335996249555304</v>
      </c>
      <c r="J71" s="274">
        <f>'Baseline Emissions'!X67</f>
        <v>7.9153048799062278</v>
      </c>
      <c r="K71" s="274">
        <f>'Baseline Emissions'!Y67</f>
        <v>8.0244883601079362</v>
      </c>
      <c r="L71" s="274">
        <f>'Baseline Emissions'!Z67</f>
        <v>8.1111531300988897</v>
      </c>
      <c r="M71" s="274">
        <f>'Baseline Emissions'!AA67</f>
        <v>8.2013141002291512</v>
      </c>
      <c r="N71" s="274">
        <f>'Baseline Emissions'!AB67</f>
        <v>8.2944507233621216</v>
      </c>
      <c r="O71" s="274">
        <f>'Baseline Emissions'!AC67</f>
        <v>8.3826153824381731</v>
      </c>
      <c r="P71" s="274">
        <f>'Baseline Emissions'!AD67</f>
        <v>8.4689490464340071</v>
      </c>
      <c r="Q71" s="274">
        <f>'Baseline Emissions'!AE67</f>
        <v>8.5603156359005297</v>
      </c>
      <c r="R71" s="274">
        <f>'Baseline Emissions'!AF67</f>
        <v>8.6503137159076786</v>
      </c>
      <c r="S71" s="274">
        <f>'Baseline Emissions'!AG67</f>
        <v>8.7403761839512608</v>
      </c>
      <c r="T71" s="274">
        <f>'Baseline Emissions'!AH67</f>
        <v>8.8311466012087685</v>
      </c>
      <c r="U71" s="274">
        <f>'Baseline Emissions'!AI67</f>
        <v>8.9233578955846546</v>
      </c>
      <c r="V71" s="274">
        <f>'Baseline Emissions'!AJ67</f>
        <v>9.0147587132127107</v>
      </c>
      <c r="W71" s="274">
        <f>'Baseline Emissions'!AK67</f>
        <v>9.1098135351018747</v>
      </c>
      <c r="X71" s="274">
        <f>'Baseline Emissions'!AL67</f>
        <v>9.2048609102849674</v>
      </c>
      <c r="Y71" s="274">
        <f>'Baseline Emissions'!AM67</f>
        <v>9.2925700623748604</v>
      </c>
      <c r="Z71" s="274">
        <f>'Baseline Emissions'!AN67</f>
        <v>9.3830408620844903</v>
      </c>
      <c r="AA71" s="274">
        <f>'Baseline Emissions'!AO67</f>
        <v>9.4709705141626159</v>
      </c>
      <c r="AB71" s="274">
        <f>'Baseline Emissions'!AP67</f>
        <v>9.5635832026227234</v>
      </c>
      <c r="AC71" s="274">
        <f>'Baseline Emissions'!AQ67</f>
        <v>9.6541185883484761</v>
      </c>
      <c r="AD71" s="274">
        <f>'Baseline Emissions'!AR67</f>
        <v>9.7444568380306702</v>
      </c>
      <c r="AE71" s="274">
        <f>'Baseline Emissions'!AS67</f>
        <v>9.8297624269833701</v>
      </c>
      <c r="AF71" s="274">
        <f>'Baseline Emissions'!AT67</f>
        <v>9.9109284336205139</v>
      </c>
      <c r="AG71" s="274">
        <f>'Baseline Emissions'!AU67</f>
        <v>9.9875659309416278</v>
      </c>
    </row>
    <row r="72" spans="1:33">
      <c r="C72" s="216"/>
      <c r="D72" s="216"/>
      <c r="E72" s="216"/>
      <c r="F72" s="216"/>
      <c r="G72" s="216"/>
      <c r="H72" s="216"/>
      <c r="I72" s="216"/>
      <c r="J72" s="216"/>
      <c r="K72" s="216"/>
      <c r="L72" s="216"/>
      <c r="M72" s="216"/>
      <c r="N72" s="216"/>
      <c r="O72" s="216"/>
      <c r="P72" s="216"/>
      <c r="Q72" s="216"/>
      <c r="R72" s="216"/>
      <c r="S72" s="216"/>
      <c r="T72" s="216"/>
      <c r="U72" s="216"/>
      <c r="V72" s="216"/>
      <c r="W72" s="216"/>
    </row>
    <row r="73" spans="1:33" s="252" customFormat="1" ht="13">
      <c r="A73" s="250" t="s">
        <v>1179</v>
      </c>
      <c r="B73" s="240"/>
      <c r="C73" s="240"/>
      <c r="D73" s="240"/>
      <c r="E73" s="240"/>
      <c r="F73" s="240"/>
      <c r="G73" s="240"/>
      <c r="H73" s="240"/>
      <c r="I73" s="240"/>
      <c r="J73" s="240"/>
      <c r="K73" s="240"/>
      <c r="L73" s="240"/>
      <c r="M73" s="240"/>
      <c r="N73" s="240"/>
      <c r="O73" s="240"/>
      <c r="P73" s="240"/>
      <c r="Q73" s="240"/>
      <c r="R73" s="240"/>
      <c r="S73" s="240"/>
      <c r="T73" s="240"/>
      <c r="U73" s="240"/>
      <c r="V73" s="240"/>
      <c r="W73" s="241"/>
      <c r="X73" s="240"/>
      <c r="Y73" s="240"/>
      <c r="Z73" s="240"/>
      <c r="AA73" s="240"/>
      <c r="AB73" s="240"/>
      <c r="AC73" s="240"/>
      <c r="AD73" s="240"/>
      <c r="AE73" s="240"/>
      <c r="AF73" s="240"/>
      <c r="AG73" s="240"/>
    </row>
    <row r="74" spans="1:33" s="252" customFormat="1">
      <c r="A74" s="554" t="str">
        <f>A40</f>
        <v>Sector and Fuel Category</v>
      </c>
      <c r="B74" s="554"/>
      <c r="C74" s="242">
        <v>2020</v>
      </c>
      <c r="D74" s="242">
        <v>2021</v>
      </c>
      <c r="E74" s="242">
        <v>2022</v>
      </c>
      <c r="F74" s="242">
        <v>2023</v>
      </c>
      <c r="G74" s="242">
        <v>2024</v>
      </c>
      <c r="H74" s="242">
        <v>2025</v>
      </c>
      <c r="I74" s="242">
        <v>2026</v>
      </c>
      <c r="J74" s="242">
        <v>2027</v>
      </c>
      <c r="K74" s="242">
        <v>2028</v>
      </c>
      <c r="L74" s="242">
        <v>2029</v>
      </c>
      <c r="M74" s="242">
        <v>2030</v>
      </c>
      <c r="N74" s="242">
        <v>2031</v>
      </c>
      <c r="O74" s="242">
        <v>2032</v>
      </c>
      <c r="P74" s="242">
        <v>2033</v>
      </c>
      <c r="Q74" s="242">
        <v>2034</v>
      </c>
      <c r="R74" s="242">
        <v>2035</v>
      </c>
      <c r="S74" s="242">
        <v>2036</v>
      </c>
      <c r="T74" s="242">
        <v>2037</v>
      </c>
      <c r="U74" s="242">
        <v>2038</v>
      </c>
      <c r="V74" s="242">
        <v>2039</v>
      </c>
      <c r="W74" s="242">
        <v>2040</v>
      </c>
      <c r="X74" s="375">
        <v>2040</v>
      </c>
      <c r="Y74" s="375">
        <v>2040</v>
      </c>
      <c r="Z74" s="375">
        <v>2040</v>
      </c>
      <c r="AA74" s="375">
        <v>2040</v>
      </c>
      <c r="AB74" s="375">
        <v>2040</v>
      </c>
      <c r="AC74" s="375">
        <v>2040</v>
      </c>
      <c r="AD74" s="375">
        <v>2040</v>
      </c>
      <c r="AE74" s="375">
        <v>2040</v>
      </c>
      <c r="AF74" s="375">
        <v>2040</v>
      </c>
      <c r="AG74" s="375">
        <v>2040</v>
      </c>
    </row>
    <row r="75" spans="1:33">
      <c r="A75" s="214" t="s">
        <v>1162</v>
      </c>
      <c r="C75" s="274">
        <f>'Adjusted Emissions'!B8</f>
        <v>0.38076223093672201</v>
      </c>
      <c r="D75" s="274">
        <f>'Adjusted Emissions'!C8</f>
        <v>0.37051623498489367</v>
      </c>
      <c r="E75" s="274">
        <f>'Adjusted Emissions'!D8</f>
        <v>0.36152398962438642</v>
      </c>
      <c r="F75" s="274">
        <f>'Adjusted Emissions'!E8</f>
        <v>0.35360116779171136</v>
      </c>
      <c r="G75" s="274">
        <f>'Adjusted Emissions'!F8</f>
        <v>0.34625547031726778</v>
      </c>
      <c r="H75" s="274">
        <f>'Adjusted Emissions'!G8</f>
        <v>0.33955376185149672</v>
      </c>
      <c r="I75" s="274">
        <f>'Adjusted Emissions'!H8</f>
        <v>0.33319612749044875</v>
      </c>
      <c r="J75" s="274">
        <f>'Adjusted Emissions'!I8</f>
        <v>0.32752022644565465</v>
      </c>
      <c r="K75" s="274">
        <f>'Adjusted Emissions'!J8</f>
        <v>0.32272497897380475</v>
      </c>
      <c r="L75" s="274">
        <f>'Adjusted Emissions'!K8</f>
        <v>0.31696047679870254</v>
      </c>
      <c r="M75" s="274">
        <f>'Adjusted Emissions'!L8</f>
        <v>0.31252608850458502</v>
      </c>
      <c r="N75" s="274">
        <f>'Adjusted Emissions'!M8</f>
        <v>0.30887122888477947</v>
      </c>
      <c r="O75" s="274">
        <f>'Adjusted Emissions'!N8</f>
        <v>0.30563326436287219</v>
      </c>
      <c r="P75" s="274">
        <f>'Adjusted Emissions'!O8</f>
        <v>0.30259238316825043</v>
      </c>
      <c r="Q75" s="274">
        <f>'Adjusted Emissions'!P8</f>
        <v>0.30012442997138544</v>
      </c>
      <c r="R75" s="274">
        <f>'Adjusted Emissions'!Q8</f>
        <v>0.29804134805039684</v>
      </c>
      <c r="S75" s="274">
        <f>'Adjusted Emissions'!R8</f>
        <v>0.29621325246728475</v>
      </c>
      <c r="T75" s="274">
        <f>'Adjusted Emissions'!S8</f>
        <v>0.2945431232017926</v>
      </c>
      <c r="U75" s="274">
        <f>'Adjusted Emissions'!T8</f>
        <v>0.2931299523812142</v>
      </c>
      <c r="V75" s="274">
        <f>'Adjusted Emissions'!U8</f>
        <v>0.29192899377346199</v>
      </c>
      <c r="W75" s="274">
        <f>'Adjusted Emissions'!V8</f>
        <v>0.29138922743489237</v>
      </c>
      <c r="X75" s="274">
        <f>'Adjusted Emissions'!W8</f>
        <v>0.29104586759135437</v>
      </c>
      <c r="Y75" s="274">
        <f>'Adjusted Emissions'!X8</f>
        <v>0.29066340740641594</v>
      </c>
      <c r="Z75" s="274">
        <f>'Adjusted Emissions'!Y8</f>
        <v>0.29035792470307553</v>
      </c>
      <c r="AA75" s="274">
        <f>'Adjusted Emissions'!Z8</f>
        <v>0.29007849362191035</v>
      </c>
      <c r="AB75" s="274">
        <f>'Adjusted Emissions'!AA8</f>
        <v>0.29001534709775423</v>
      </c>
      <c r="AC75" s="274">
        <f>'Adjusted Emissions'!AB8</f>
        <v>0.29011044777906514</v>
      </c>
      <c r="AD75" s="274">
        <f>'Adjusted Emissions'!AC8</f>
        <v>0.29033829273050049</v>
      </c>
      <c r="AE75" s="274">
        <f>'Adjusted Emissions'!AD8</f>
        <v>0.29064021454479227</v>
      </c>
      <c r="AF75" s="274">
        <f>'Adjusted Emissions'!AE8</f>
        <v>0.29109637340531752</v>
      </c>
      <c r="AG75" s="274">
        <f>'Adjusted Emissions'!AF8</f>
        <v>0.29169086188078053</v>
      </c>
    </row>
    <row r="76" spans="1:33">
      <c r="A76" s="214" t="s">
        <v>1170</v>
      </c>
      <c r="C76" s="274">
        <f>'Adjusted Emissions'!B11</f>
        <v>4.4841034244770572</v>
      </c>
      <c r="D76" s="274">
        <f>'Adjusted Emissions'!C11</f>
        <v>4.457506027527872</v>
      </c>
      <c r="E76" s="274">
        <f>'Adjusted Emissions'!D11</f>
        <v>4.4279308108348854</v>
      </c>
      <c r="F76" s="274">
        <f>'Adjusted Emissions'!E11</f>
        <v>4.3949765606977449</v>
      </c>
      <c r="G76" s="274">
        <f>'Adjusted Emissions'!F11</f>
        <v>4.402783203461329</v>
      </c>
      <c r="H76" s="274">
        <f>'Adjusted Emissions'!G11</f>
        <v>4.3796621326085843</v>
      </c>
      <c r="I76" s="274">
        <f>'Adjusted Emissions'!H11</f>
        <v>4.3300524383726913</v>
      </c>
      <c r="J76" s="274">
        <f>'Adjusted Emissions'!I11</f>
        <v>4.2680749282755901</v>
      </c>
      <c r="K76" s="274">
        <f>'Adjusted Emissions'!J11</f>
        <v>4.207764307759442</v>
      </c>
      <c r="L76" s="274">
        <f>'Adjusted Emissions'!K11</f>
        <v>4.155951834381268</v>
      </c>
      <c r="M76" s="274">
        <f>'Adjusted Emissions'!L11</f>
        <v>4.0851507619442904</v>
      </c>
      <c r="N76" s="274">
        <f>'Adjusted Emissions'!M11</f>
        <v>4.0295529472046292</v>
      </c>
      <c r="O76" s="274">
        <f>'Adjusted Emissions'!N11</f>
        <v>3.9766448944290276</v>
      </c>
      <c r="P76" s="274">
        <f>'Adjusted Emissions'!O11</f>
        <v>3.923719638385665</v>
      </c>
      <c r="Q76" s="274">
        <f>'Adjusted Emissions'!P11</f>
        <v>3.8872417812961806</v>
      </c>
      <c r="R76" s="274">
        <f>'Adjusted Emissions'!Q11</f>
        <v>3.8595528443290958</v>
      </c>
      <c r="S76" s="274">
        <f>'Adjusted Emissions'!R11</f>
        <v>3.8335887783002378</v>
      </c>
      <c r="T76" s="274">
        <f>'Adjusted Emissions'!S11</f>
        <v>3.806065022783522</v>
      </c>
      <c r="U76" s="274">
        <f>'Adjusted Emissions'!T11</f>
        <v>3.7776443877295649</v>
      </c>
      <c r="V76" s="274">
        <f>'Adjusted Emissions'!U11</f>
        <v>3.7488100548503276</v>
      </c>
      <c r="W76" s="274">
        <f>'Adjusted Emissions'!V11</f>
        <v>3.7352459572107142</v>
      </c>
      <c r="X76" s="274">
        <f>'Adjusted Emissions'!W11</f>
        <v>3.721386641096315</v>
      </c>
      <c r="Y76" s="274">
        <f>'Adjusted Emissions'!X11</f>
        <v>3.7059081663835647</v>
      </c>
      <c r="Z76" s="274">
        <f>'Adjusted Emissions'!Y11</f>
        <v>3.6896591187906473</v>
      </c>
      <c r="AA76" s="274">
        <f>'Adjusted Emissions'!Z11</f>
        <v>3.6719448932985812</v>
      </c>
      <c r="AB76" s="274">
        <f>'Adjusted Emissions'!AA11</f>
        <v>3.6547361562671896</v>
      </c>
      <c r="AC76" s="274">
        <f>'Adjusted Emissions'!AB11</f>
        <v>3.6373155536850779</v>
      </c>
      <c r="AD76" s="274">
        <f>'Adjusted Emissions'!AC11</f>
        <v>3.619698157279974</v>
      </c>
      <c r="AE76" s="274">
        <f>'Adjusted Emissions'!AD11</f>
        <v>3.6005474971862705</v>
      </c>
      <c r="AF76" s="274">
        <f>'Adjusted Emissions'!AE11</f>
        <v>3.5807832531862824</v>
      </c>
      <c r="AG76" s="274">
        <f>'Adjusted Emissions'!AF11</f>
        <v>3.5597700632043576</v>
      </c>
    </row>
    <row r="77" spans="1:33" s="217" customFormat="1">
      <c r="A77" s="217" t="s">
        <v>1171</v>
      </c>
      <c r="C77" s="274">
        <f>'Adjusted Emissions'!B13</f>
        <v>4.8588081629338582</v>
      </c>
      <c r="D77" s="274">
        <f>'Adjusted Emissions'!C13</f>
        <v>4.2110384977367437</v>
      </c>
      <c r="E77" s="274">
        <f>'Adjusted Emissions'!D13</f>
        <v>3.6075589702786979</v>
      </c>
      <c r="F77" s="274">
        <f>'Adjusted Emissions'!E13</f>
        <v>3.0769551110424529</v>
      </c>
      <c r="G77" s="274">
        <f>'Adjusted Emissions'!F13</f>
        <v>2.4572386719181187</v>
      </c>
      <c r="H77" s="274">
        <f>'Adjusted Emissions'!G13</f>
        <v>1.8159230233959909</v>
      </c>
      <c r="I77" s="274">
        <f>'Adjusted Emissions'!H13</f>
        <v>1.3128534125336375</v>
      </c>
      <c r="J77" s="274">
        <f>'Adjusted Emissions'!I13</f>
        <v>1.2643908878469821</v>
      </c>
      <c r="K77" s="274">
        <f>'Adjusted Emissions'!J13</f>
        <v>1.2527551567703927</v>
      </c>
      <c r="L77" s="274">
        <f>'Adjusted Emissions'!K13</f>
        <v>1.2660065256051989</v>
      </c>
      <c r="M77" s="274">
        <f>'Adjusted Emissions'!L13</f>
        <v>1.2431317611291131</v>
      </c>
      <c r="N77" s="274">
        <f>'Adjusted Emissions'!M13</f>
        <v>1.2243578715488925</v>
      </c>
      <c r="O77" s="274">
        <f>'Adjusted Emissions'!N13</f>
        <v>1.1771453819648372</v>
      </c>
      <c r="P77" s="274">
        <f>'Adjusted Emissions'!O13</f>
        <v>1.0871713827535712</v>
      </c>
      <c r="Q77" s="274">
        <f>'Adjusted Emissions'!P13</f>
        <v>0.99840685889006753</v>
      </c>
      <c r="R77" s="274">
        <f>'Adjusted Emissions'!Q13</f>
        <v>0.9097861328431468</v>
      </c>
      <c r="S77" s="274">
        <f>'Adjusted Emissions'!R13</f>
        <v>0.81811584101580825</v>
      </c>
      <c r="T77" s="274">
        <f>'Adjusted Emissions'!S13</f>
        <v>0.72770094690856035</v>
      </c>
      <c r="U77" s="274">
        <f>'Adjusted Emissions'!T13</f>
        <v>0.63715383371479506</v>
      </c>
      <c r="V77" s="274">
        <f>'Adjusted Emissions'!U13</f>
        <v>0.54647488534708433</v>
      </c>
      <c r="W77" s="274">
        <f>'Adjusted Emissions'!V13</f>
        <v>0.45566422660617578</v>
      </c>
      <c r="X77" s="274">
        <f>'Adjusted Emissions'!W13</f>
        <v>0.36475025252113907</v>
      </c>
      <c r="Y77" s="274">
        <f>'Adjusted Emissions'!X13</f>
        <v>0.27371756264195063</v>
      </c>
      <c r="Z77" s="274">
        <f>'Adjusted Emissions'!Y13</f>
        <v>0.18257521081780004</v>
      </c>
      <c r="AA77" s="274">
        <f>'Adjusted Emissions'!Z13</f>
        <v>9.1333757076051167E-2</v>
      </c>
      <c r="AB77" s="274">
        <f>'Adjusted Emissions'!AA13</f>
        <v>0</v>
      </c>
      <c r="AC77" s="274">
        <f>'Adjusted Emissions'!AB13</f>
        <v>0</v>
      </c>
      <c r="AD77" s="274">
        <f>'Adjusted Emissions'!AC13</f>
        <v>0</v>
      </c>
      <c r="AE77" s="274">
        <f>'Adjusted Emissions'!AD13</f>
        <v>0</v>
      </c>
      <c r="AF77" s="274">
        <f>'Adjusted Emissions'!AE13</f>
        <v>0</v>
      </c>
      <c r="AG77" s="274">
        <f>'Adjusted Emissions'!AF13</f>
        <v>0</v>
      </c>
    </row>
    <row r="78" spans="1:33">
      <c r="A78" s="214" t="s">
        <v>1163</v>
      </c>
      <c r="C78" s="287">
        <f>'Adjusted Emissions'!B18</f>
        <v>0.22495146454580961</v>
      </c>
      <c r="D78" s="287">
        <f>'Adjusted Emissions'!C18</f>
        <v>0.22687906087075346</v>
      </c>
      <c r="E78" s="287">
        <f>'Adjusted Emissions'!D18</f>
        <v>0.22807236434944708</v>
      </c>
      <c r="F78" s="287">
        <f>'Adjusted Emissions'!E18</f>
        <v>0.22959672095269204</v>
      </c>
      <c r="G78" s="287">
        <f>'Adjusted Emissions'!F18</f>
        <v>0.2306706563616219</v>
      </c>
      <c r="H78" s="287">
        <f>'Adjusted Emissions'!G18</f>
        <v>0.23159084215664683</v>
      </c>
      <c r="I78" s="287">
        <f>'Adjusted Emissions'!H18</f>
        <v>0.23280079759913316</v>
      </c>
      <c r="J78" s="287">
        <f>'Adjusted Emissions'!I18</f>
        <v>0.23427857048423004</v>
      </c>
      <c r="K78" s="287">
        <f>'Adjusted Emissions'!J18</f>
        <v>0.23590479688437921</v>
      </c>
      <c r="L78" s="287">
        <f>'Adjusted Emissions'!K18</f>
        <v>0.23343231845648538</v>
      </c>
      <c r="M78" s="287">
        <f>'Adjusted Emissions'!L18</f>
        <v>0.23537279836778002</v>
      </c>
      <c r="N78" s="287">
        <f>'Adjusted Emissions'!M18</f>
        <v>0.23671762805215099</v>
      </c>
      <c r="O78" s="287">
        <f>'Adjusted Emissions'!N18</f>
        <v>0.23821885559295566</v>
      </c>
      <c r="P78" s="287">
        <f>'Adjusted Emissions'!O18</f>
        <v>0.23951016947274298</v>
      </c>
      <c r="Q78" s="287">
        <f>'Adjusted Emissions'!P18</f>
        <v>0.24109877780935707</v>
      </c>
      <c r="R78" s="287">
        <f>'Adjusted Emissions'!Q18</f>
        <v>0.24286528389133333</v>
      </c>
      <c r="S78" s="287">
        <f>'Adjusted Emissions'!R18</f>
        <v>0.24462446731322535</v>
      </c>
      <c r="T78" s="287">
        <f>'Adjusted Emissions'!S18</f>
        <v>0.24646979566712976</v>
      </c>
      <c r="U78" s="287">
        <f>'Adjusted Emissions'!T18</f>
        <v>0.24836341909826964</v>
      </c>
      <c r="V78" s="287">
        <f>'Adjusted Emissions'!U18</f>
        <v>0.25026689521570178</v>
      </c>
      <c r="W78" s="287">
        <f>'Adjusted Emissions'!V18</f>
        <v>0.2526998152912075</v>
      </c>
      <c r="X78" s="287">
        <f>'Adjusted Emissions'!W18</f>
        <v>0.2552293482028179</v>
      </c>
      <c r="Y78" s="287">
        <f>'Adjusted Emissions'!X18</f>
        <v>0.25751408304371026</v>
      </c>
      <c r="Z78" s="287">
        <f>'Adjusted Emissions'!Y18</f>
        <v>0.25969296119434643</v>
      </c>
      <c r="AA78" s="287">
        <f>'Adjusted Emissions'!Z18</f>
        <v>0.26179852279518745</v>
      </c>
      <c r="AB78" s="287">
        <f>'Adjusted Emissions'!AA18</f>
        <v>0.26390275580519684</v>
      </c>
      <c r="AC78" s="287">
        <f>'Adjusted Emissions'!AB18</f>
        <v>0.26600210928731804</v>
      </c>
      <c r="AD78" s="287">
        <f>'Adjusted Emissions'!AC18</f>
        <v>0.26805142566794138</v>
      </c>
      <c r="AE78" s="287">
        <f>'Adjusted Emissions'!AD18</f>
        <v>0.27005670564392792</v>
      </c>
      <c r="AF78" s="287">
        <f>'Adjusted Emissions'!AE18</f>
        <v>0.27207157766457379</v>
      </c>
      <c r="AG78" s="287">
        <f>'Adjusted Emissions'!AF18</f>
        <v>0.27410625237216513</v>
      </c>
    </row>
    <row r="79" spans="1:33" s="214" customFormat="1">
      <c r="A79" s="214" t="s">
        <v>1181</v>
      </c>
      <c r="C79" s="274">
        <f>'Adjusted Emissions'!B21</f>
        <v>0.5411994084949675</v>
      </c>
      <c r="D79" s="274">
        <f>'Adjusted Emissions'!C21</f>
        <v>0.54402628029128108</v>
      </c>
      <c r="E79" s="274">
        <f>'Adjusted Emissions'!D21</f>
        <v>0.5477921876707299</v>
      </c>
      <c r="F79" s="274">
        <f>'Adjusted Emissions'!E21</f>
        <v>0.55124312670525288</v>
      </c>
      <c r="G79" s="274">
        <f>'Adjusted Emissions'!F21</f>
        <v>0.56101421154905806</v>
      </c>
      <c r="H79" s="274">
        <f>'Adjusted Emissions'!G21</f>
        <v>0.56520289919090017</v>
      </c>
      <c r="I79" s="274">
        <f>'Adjusted Emissions'!H21</f>
        <v>0.5643488822257734</v>
      </c>
      <c r="J79" s="274">
        <f>'Adjusted Emissions'!I21</f>
        <v>0.56035464333215323</v>
      </c>
      <c r="K79" s="274">
        <f>'Adjusted Emissions'!J21</f>
        <v>0.55665526182341218</v>
      </c>
      <c r="L79" s="274">
        <f>'Adjusted Emissions'!K21</f>
        <v>0.54922092074312789</v>
      </c>
      <c r="M79" s="274">
        <f>'Adjusted Emissions'!L21</f>
        <v>0.54320816774264113</v>
      </c>
      <c r="N79" s="274">
        <f>'Adjusted Emissions'!M21</f>
        <v>0.53897404208270872</v>
      </c>
      <c r="O79" s="274">
        <f>'Adjusted Emissions'!N21</f>
        <v>0.53587192309391951</v>
      </c>
      <c r="P79" s="274">
        <f>'Adjusted Emissions'!O21</f>
        <v>0.53268206903825777</v>
      </c>
      <c r="Q79" s="274">
        <f>'Adjusted Emissions'!P21</f>
        <v>0.53084991288856953</v>
      </c>
      <c r="R79" s="274">
        <f>'Adjusted Emissions'!Q21</f>
        <v>0.52940178452260156</v>
      </c>
      <c r="S79" s="274">
        <f>'Adjusted Emissions'!R21</f>
        <v>0.52794899830327258</v>
      </c>
      <c r="T79" s="274">
        <f>'Adjusted Emissions'!S21</f>
        <v>0.52643839902777478</v>
      </c>
      <c r="U79" s="274">
        <f>'Adjusted Emissions'!T21</f>
        <v>0.52523631062165921</v>
      </c>
      <c r="V79" s="274">
        <f>'Adjusted Emissions'!U21</f>
        <v>0.52405399706975531</v>
      </c>
      <c r="W79" s="274">
        <f>'Adjusted Emissions'!V21</f>
        <v>0.52435786117234862</v>
      </c>
      <c r="X79" s="274">
        <f>'Adjusted Emissions'!W21</f>
        <v>0.52484345325496784</v>
      </c>
      <c r="Y79" s="274">
        <f>'Adjusted Emissions'!X21</f>
        <v>0.52482410036151739</v>
      </c>
      <c r="Z79" s="274">
        <f>'Adjusted Emissions'!Y21</f>
        <v>0.5247089452870024</v>
      </c>
      <c r="AA79" s="274">
        <f>'Adjusted Emissions'!Z21</f>
        <v>0.52478722935145972</v>
      </c>
      <c r="AB79" s="274">
        <f>'Adjusted Emissions'!AA21</f>
        <v>0.52485325552981277</v>
      </c>
      <c r="AC79" s="274">
        <f>'Adjusted Emissions'!AB21</f>
        <v>0.52479676427506006</v>
      </c>
      <c r="AD79" s="274">
        <f>'Adjusted Emissions'!AC21</f>
        <v>0.52473550386572976</v>
      </c>
      <c r="AE79" s="274">
        <f>'Adjusted Emissions'!AD21</f>
        <v>0.52444487840771115</v>
      </c>
      <c r="AF79" s="274">
        <f>'Adjusted Emissions'!AE21</f>
        <v>0.52399044316646359</v>
      </c>
      <c r="AG79" s="274">
        <f>'Adjusted Emissions'!AF21</f>
        <v>0.52343201570101494</v>
      </c>
    </row>
    <row r="80" spans="1:33">
      <c r="A80" s="214" t="s">
        <v>1172</v>
      </c>
      <c r="C80" s="274">
        <f>'Adjusted Emissions'!B23</f>
        <v>3.1915311524426531</v>
      </c>
      <c r="D80" s="274">
        <f>'Adjusted Emissions'!C23</f>
        <v>3.1946727811688032</v>
      </c>
      <c r="E80" s="274">
        <f>'Adjusted Emissions'!D23</f>
        <v>3.1870499940463675</v>
      </c>
      <c r="F80" s="274">
        <f>'Adjusted Emissions'!E23</f>
        <v>3.1672411071151747</v>
      </c>
      <c r="G80" s="274">
        <f>'Adjusted Emissions'!F23</f>
        <v>3.2175174157036364</v>
      </c>
      <c r="H80" s="274">
        <f>'Adjusted Emissions'!G23</f>
        <v>3.2365410685387457</v>
      </c>
      <c r="I80" s="274">
        <f>'Adjusted Emissions'!H23</f>
        <v>3.2332387143722969</v>
      </c>
      <c r="J80" s="274">
        <f>'Adjusted Emissions'!I23</f>
        <v>3.2208896606404789</v>
      </c>
      <c r="K80" s="274">
        <f>'Adjusted Emissions'!J23</f>
        <v>3.2101101313041416</v>
      </c>
      <c r="L80" s="274">
        <f>'Adjusted Emissions'!K23</f>
        <v>3.1783864307317202</v>
      </c>
      <c r="M80" s="274">
        <f>'Adjusted Emissions'!L23</f>
        <v>3.1313615912988588</v>
      </c>
      <c r="N80" s="274">
        <f>'Adjusted Emissions'!M23</f>
        <v>3.1024497533100397</v>
      </c>
      <c r="O80" s="274">
        <f>'Adjusted Emissions'!N23</f>
        <v>3.0837368600238273</v>
      </c>
      <c r="P80" s="274">
        <f>'Adjusted Emissions'!O23</f>
        <v>3.0653739835296272</v>
      </c>
      <c r="Q80" s="274">
        <f>'Adjusted Emissions'!P23</f>
        <v>3.0623255996550718</v>
      </c>
      <c r="R80" s="274">
        <f>'Adjusted Emissions'!Q23</f>
        <v>3.0686829442643808</v>
      </c>
      <c r="S80" s="274">
        <f>'Adjusted Emissions'!R23</f>
        <v>3.0803351955118035</v>
      </c>
      <c r="T80" s="274">
        <f>'Adjusted Emissions'!S23</f>
        <v>3.0938152109001043</v>
      </c>
      <c r="U80" s="274">
        <f>'Adjusted Emissions'!T23</f>
        <v>3.1062244662469518</v>
      </c>
      <c r="V80" s="274">
        <f>'Adjusted Emissions'!U23</f>
        <v>3.118224718467228</v>
      </c>
      <c r="W80" s="274">
        <f>'Adjusted Emissions'!V23</f>
        <v>3.1434706798324936</v>
      </c>
      <c r="X80" s="274">
        <f>'Adjusted Emissions'!W23</f>
        <v>3.1767322523929908</v>
      </c>
      <c r="Y80" s="274">
        <f>'Adjusted Emissions'!X23</f>
        <v>3.2095582939225307</v>
      </c>
      <c r="Z80" s="274">
        <f>'Adjusted Emissions'!Y23</f>
        <v>3.2414671995699815</v>
      </c>
      <c r="AA80" s="274">
        <f>'Adjusted Emissions'!Z23</f>
        <v>3.2720563976983112</v>
      </c>
      <c r="AB80" s="274">
        <f>'Adjusted Emissions'!AA23</f>
        <v>3.3030575708870522</v>
      </c>
      <c r="AC80" s="274">
        <f>'Adjusted Emissions'!AB23</f>
        <v>3.3356292891452481</v>
      </c>
      <c r="AD80" s="274">
        <f>'Adjusted Emissions'!AC23</f>
        <v>3.3656269870547697</v>
      </c>
      <c r="AE80" s="274">
        <f>'Adjusted Emissions'!AD23</f>
        <v>3.392277053992284</v>
      </c>
      <c r="AF80" s="274">
        <f>'Adjusted Emissions'!AE23</f>
        <v>3.4147669601101232</v>
      </c>
      <c r="AG80" s="274">
        <f>'Adjusted Emissions'!AF23</f>
        <v>3.4327687474822071</v>
      </c>
    </row>
    <row r="81" spans="1:33" s="217" customFormat="1">
      <c r="A81" s="217" t="s">
        <v>1173</v>
      </c>
      <c r="C81" s="274">
        <f>'Adjusted Emissions'!B26</f>
        <v>4.3335278192666751</v>
      </c>
      <c r="D81" s="274">
        <f>'Adjusted Emissions'!C26</f>
        <v>3.7528464614793871</v>
      </c>
      <c r="E81" s="274">
        <f>'Adjusted Emissions'!D26</f>
        <v>3.2119799325027998</v>
      </c>
      <c r="F81" s="274">
        <f>'Adjusted Emissions'!E26</f>
        <v>2.7357470904621906</v>
      </c>
      <c r="G81" s="274">
        <f>'Adjusted Emissions'!F26</f>
        <v>2.1841728905401023</v>
      </c>
      <c r="H81" s="274">
        <f>'Adjusted Emissions'!G26</f>
        <v>1.6167529519640236</v>
      </c>
      <c r="I81" s="274">
        <f>'Adjusted Emissions'!H26</f>
        <v>1.1708408722368515</v>
      </c>
      <c r="J81" s="274">
        <f>'Adjusted Emissions'!I26</f>
        <v>1.1369865111061461</v>
      </c>
      <c r="K81" s="274">
        <f>'Adjusted Emissions'!J26</f>
        <v>1.1424375504188364</v>
      </c>
      <c r="L81" s="274">
        <f>'Adjusted Emissions'!K26</f>
        <v>1.169206677745684</v>
      </c>
      <c r="M81" s="274">
        <f>'Adjusted Emissions'!L26</f>
        <v>1.1621358637160744</v>
      </c>
      <c r="N81" s="274">
        <f>'Adjusted Emissions'!M26</f>
        <v>1.1579872017401505</v>
      </c>
      <c r="O81" s="274">
        <f>'Adjusted Emissions'!N26</f>
        <v>1.1257916416992226</v>
      </c>
      <c r="P81" s="274">
        <f>'Adjusted Emissions'!O26</f>
        <v>1.0506092027947502</v>
      </c>
      <c r="Q81" s="274">
        <f>'Adjusted Emissions'!P26</f>
        <v>0.97357715497987751</v>
      </c>
      <c r="R81" s="274">
        <f>'Adjusted Emissions'!Q26</f>
        <v>0.89603203735416326</v>
      </c>
      <c r="S81" s="274">
        <f>'Adjusted Emissions'!R26</f>
        <v>0.81421589009795936</v>
      </c>
      <c r="T81" s="274">
        <f>'Adjusted Emissions'!S26</f>
        <v>0.73134956925104178</v>
      </c>
      <c r="U81" s="274">
        <f>'Adjusted Emissions'!T26</f>
        <v>0.6465472676215599</v>
      </c>
      <c r="V81" s="274">
        <f>'Adjusted Emissions'!U26</f>
        <v>0.55981826388216305</v>
      </c>
      <c r="W81" s="274">
        <f>'Adjusted Emissions'!V26</f>
        <v>0.47117161026935162</v>
      </c>
      <c r="X81" s="274">
        <f>'Adjusted Emissions'!W26</f>
        <v>0.3806573251989499</v>
      </c>
      <c r="Y81" s="274">
        <f>'Adjusted Emissions'!X26</f>
        <v>0.28826058662583209</v>
      </c>
      <c r="Z81" s="274">
        <f>'Adjusted Emissions'!Y26</f>
        <v>0.1940038796643854</v>
      </c>
      <c r="AA81" s="274">
        <f>'Adjusted Emissions'!Z26</f>
        <v>9.7910963757159922E-2</v>
      </c>
      <c r="AB81" s="274">
        <f>'Adjusted Emissions'!AA26</f>
        <v>0</v>
      </c>
      <c r="AC81" s="274">
        <f>'Adjusted Emissions'!AB26</f>
        <v>0</v>
      </c>
      <c r="AD81" s="274">
        <f>'Adjusted Emissions'!AC26</f>
        <v>0</v>
      </c>
      <c r="AE81" s="274">
        <f>'Adjusted Emissions'!AD26</f>
        <v>0</v>
      </c>
      <c r="AF81" s="274">
        <f>'Adjusted Emissions'!AE26</f>
        <v>0</v>
      </c>
      <c r="AG81" s="274">
        <f>'Adjusted Emissions'!AF26</f>
        <v>0</v>
      </c>
    </row>
    <row r="82" spans="1:33">
      <c r="A82" s="214" t="s">
        <v>1174</v>
      </c>
      <c r="C82" s="287">
        <f>'Adjusted Emissions'!B34</f>
        <v>1.2955992526368114</v>
      </c>
      <c r="D82" s="287">
        <f>'Adjusted Emissions'!C34</f>
        <v>1.3104514439438029</v>
      </c>
      <c r="E82" s="287">
        <f>'Adjusted Emissions'!D34</f>
        <v>1.3285799346981229</v>
      </c>
      <c r="F82" s="287">
        <f>'Adjusted Emissions'!E34</f>
        <v>1.3395573275065817</v>
      </c>
      <c r="G82" s="287">
        <f>'Adjusted Emissions'!F34</f>
        <v>1.3495669051266459</v>
      </c>
      <c r="H82" s="287">
        <f>'Adjusted Emissions'!G34</f>
        <v>1.3562144299781316</v>
      </c>
      <c r="I82" s="287">
        <f>'Adjusted Emissions'!H34</f>
        <v>1.3609939324794087</v>
      </c>
      <c r="J82" s="287">
        <f>'Adjusted Emissions'!I34</f>
        <v>1.3664839631624024</v>
      </c>
      <c r="K82" s="287">
        <f>'Adjusted Emissions'!J34</f>
        <v>1.3719841477820067</v>
      </c>
      <c r="L82" s="287">
        <f>'Adjusted Emissions'!K34</f>
        <v>1.3782969134881631</v>
      </c>
      <c r="M82" s="287">
        <f>'Adjusted Emissions'!L34</f>
        <v>1.3802481120498802</v>
      </c>
      <c r="N82" s="287">
        <f>'Adjusted Emissions'!M34</f>
        <v>1.3862930005921263</v>
      </c>
      <c r="O82" s="287">
        <f>'Adjusted Emissions'!N34</f>
        <v>1.3910593507404927</v>
      </c>
      <c r="P82" s="287">
        <f>'Adjusted Emissions'!O34</f>
        <v>1.3952515607655622</v>
      </c>
      <c r="Q82" s="287">
        <f>'Adjusted Emissions'!P34</f>
        <v>1.4006963788817761</v>
      </c>
      <c r="R82" s="287">
        <f>'Adjusted Emissions'!Q34</f>
        <v>1.4125046014249789</v>
      </c>
      <c r="S82" s="287">
        <f>'Adjusted Emissions'!R34</f>
        <v>1.4261514492256864</v>
      </c>
      <c r="T82" s="287">
        <f>'Adjusted Emissions'!S34</f>
        <v>1.4335266427428528</v>
      </c>
      <c r="U82" s="287">
        <f>'Adjusted Emissions'!T34</f>
        <v>1.4485115361228875</v>
      </c>
      <c r="V82" s="287">
        <f>'Adjusted Emissions'!U34</f>
        <v>1.4599646493239344</v>
      </c>
      <c r="W82" s="287">
        <f>'Adjusted Emissions'!V34</f>
        <v>1.4790914546629377</v>
      </c>
      <c r="X82" s="287">
        <f>'Adjusted Emissions'!W34</f>
        <v>1.5014496724193174</v>
      </c>
      <c r="Y82" s="287">
        <f>'Adjusted Emissions'!X34</f>
        <v>1.5221749872052297</v>
      </c>
      <c r="Z82" s="287">
        <f>'Adjusted Emissions'!Y34</f>
        <v>1.5371840812987552</v>
      </c>
      <c r="AA82" s="287">
        <f>'Adjusted Emissions'!Z34</f>
        <v>1.55667065504752</v>
      </c>
      <c r="AB82" s="287">
        <f>'Adjusted Emissions'!AA34</f>
        <v>1.5751185206942762</v>
      </c>
      <c r="AC82" s="287">
        <f>'Adjusted Emissions'!AB34</f>
        <v>1.5947892571429261</v>
      </c>
      <c r="AD82" s="287">
        <f>'Adjusted Emissions'!AC34</f>
        <v>1.613820753203874</v>
      </c>
      <c r="AE82" s="287">
        <f>'Adjusted Emissions'!AD34</f>
        <v>1.6364181432461757</v>
      </c>
      <c r="AF82" s="287">
        <f>'Adjusted Emissions'!AE34</f>
        <v>1.651200743364597</v>
      </c>
      <c r="AG82" s="287">
        <f>'Adjusted Emissions'!AF34</f>
        <v>1.6692309481172547</v>
      </c>
    </row>
    <row r="83" spans="1:33">
      <c r="A83" s="214" t="s">
        <v>1175</v>
      </c>
      <c r="C83" s="274">
        <f>'Adjusted Emissions'!B38</f>
        <v>4.1739870749556882</v>
      </c>
      <c r="D83" s="274">
        <f>'Adjusted Emissions'!C38</f>
        <v>4.1514616842018315</v>
      </c>
      <c r="E83" s="274">
        <f>'Adjusted Emissions'!D38</f>
        <v>4.1685589866942783</v>
      </c>
      <c r="F83" s="274">
        <f>'Adjusted Emissions'!E38</f>
        <v>4.1288137473240578</v>
      </c>
      <c r="G83" s="274">
        <f>'Adjusted Emissions'!F38</f>
        <v>4.4098201780370507</v>
      </c>
      <c r="H83" s="274">
        <f>'Adjusted Emissions'!G38</f>
        <v>4.3199491624343827</v>
      </c>
      <c r="I83" s="274">
        <f>'Adjusted Emissions'!H38</f>
        <v>4.3485099931923061</v>
      </c>
      <c r="J83" s="274">
        <f>'Adjusted Emissions'!I38</f>
        <v>4.1211928182431494</v>
      </c>
      <c r="K83" s="274">
        <f>'Adjusted Emissions'!J38</f>
        <v>3.9954391660355726</v>
      </c>
      <c r="L83" s="274">
        <f>'Adjusted Emissions'!K38</f>
        <v>3.5969335765033765</v>
      </c>
      <c r="M83" s="274">
        <f>'Adjusted Emissions'!L38</f>
        <v>3.5468471595967301</v>
      </c>
      <c r="N83" s="274">
        <f>'Adjusted Emissions'!M38</f>
        <v>3.4310654200991646</v>
      </c>
      <c r="O83" s="274">
        <f>'Adjusted Emissions'!N38</f>
        <v>3.349024127385305</v>
      </c>
      <c r="P83" s="274">
        <f>'Adjusted Emissions'!O38</f>
        <v>3.2661415781460832</v>
      </c>
      <c r="Q83" s="274">
        <f>'Adjusted Emissions'!P38</f>
        <v>3.2787497113288264</v>
      </c>
      <c r="R83" s="274">
        <f>'Adjusted Emissions'!Q38</f>
        <v>3.2890533592477835</v>
      </c>
      <c r="S83" s="274">
        <f>'Adjusted Emissions'!R38</f>
        <v>3.332993915467759</v>
      </c>
      <c r="T83" s="274">
        <f>'Adjusted Emissions'!S38</f>
        <v>3.3578288916402781</v>
      </c>
      <c r="U83" s="274">
        <f>'Adjusted Emissions'!T38</f>
        <v>3.4030739231528639</v>
      </c>
      <c r="V83" s="274">
        <f>'Adjusted Emissions'!U38</f>
        <v>3.4303578979456208</v>
      </c>
      <c r="W83" s="274">
        <f>'Adjusted Emissions'!V38</f>
        <v>3.4734068187586491</v>
      </c>
      <c r="X83" s="274">
        <f>'Adjusted Emissions'!W38</f>
        <v>3.5165074766290205</v>
      </c>
      <c r="Y83" s="274">
        <f>'Adjusted Emissions'!X38</f>
        <v>3.5353495058951965</v>
      </c>
      <c r="Z83" s="274">
        <f>'Adjusted Emissions'!Y38</f>
        <v>3.5940854998529987</v>
      </c>
      <c r="AA83" s="274">
        <f>'Adjusted Emissions'!Z38</f>
        <v>3.6825356320087925</v>
      </c>
      <c r="AB83" s="274">
        <f>'Adjusted Emissions'!AA38</f>
        <v>3.8084071109720306</v>
      </c>
      <c r="AC83" s="274">
        <f>'Adjusted Emissions'!AB38</f>
        <v>3.8462133981098874</v>
      </c>
      <c r="AD83" s="274">
        <f>'Adjusted Emissions'!AC38</f>
        <v>3.9178086060973372</v>
      </c>
      <c r="AE83" s="274">
        <f>'Adjusted Emissions'!AD38</f>
        <v>4.0069313253416166</v>
      </c>
      <c r="AF83" s="274">
        <f>'Adjusted Emissions'!AE38</f>
        <v>4.0736507838926306</v>
      </c>
      <c r="AG83" s="274">
        <f>'Adjusted Emissions'!AF38</f>
        <v>4.1296778298421462</v>
      </c>
    </row>
    <row r="84" spans="1:33" s="217" customFormat="1">
      <c r="A84" s="217" t="s">
        <v>1176</v>
      </c>
      <c r="C84" s="274">
        <f>'Adjusted Emissions'!B49</f>
        <v>3.2053588971894849</v>
      </c>
      <c r="D84" s="274">
        <f>'Adjusted Emissions'!C49</f>
        <v>2.8421395682421955</v>
      </c>
      <c r="E84" s="274">
        <f>'Adjusted Emissions'!D49</f>
        <v>2.4924020538420173</v>
      </c>
      <c r="F84" s="274">
        <f>'Adjusted Emissions'!E49</f>
        <v>2.1770706839896201</v>
      </c>
      <c r="G84" s="274">
        <f>'Adjusted Emissions'!F49</f>
        <v>1.7847808678314345</v>
      </c>
      <c r="H84" s="274">
        <f>'Adjusted Emissions'!G49</f>
        <v>1.3563131027551143</v>
      </c>
      <c r="I84" s="274">
        <f>'Adjusted Emissions'!H49</f>
        <v>1.0073980630677217</v>
      </c>
      <c r="J84" s="274">
        <f>'Adjusted Emissions'!I49</f>
        <v>0.99836738981770645</v>
      </c>
      <c r="K84" s="274">
        <f>'Adjusted Emissions'!J49</f>
        <v>1.0171635809567323</v>
      </c>
      <c r="L84" s="274">
        <f>'Adjusted Emissions'!K49</f>
        <v>1.052766216375284</v>
      </c>
      <c r="M84" s="274">
        <f>'Adjusted Emissions'!L49</f>
        <v>1.052902492454421</v>
      </c>
      <c r="N84" s="274">
        <f>'Adjusted Emissions'!M49</f>
        <v>1.0410266595669504</v>
      </c>
      <c r="O84" s="274">
        <f>'Adjusted Emissions'!N49</f>
        <v>1.0155868261817109</v>
      </c>
      <c r="P84" s="274">
        <f>'Adjusted Emissions'!O49</f>
        <v>0.95055884397521395</v>
      </c>
      <c r="Q84" s="274">
        <f>'Adjusted Emissions'!P49</f>
        <v>0.88405816920014657</v>
      </c>
      <c r="R84" s="274">
        <f>'Adjusted Emissions'!Q49</f>
        <v>0.81629129344467433</v>
      </c>
      <c r="S84" s="274">
        <f>'Adjusted Emissions'!R49</f>
        <v>0.7422933253264492</v>
      </c>
      <c r="T84" s="274">
        <f>'Adjusted Emissions'!S49</f>
        <v>0.66835204573295548</v>
      </c>
      <c r="U84" s="274">
        <f>'Adjusted Emissions'!T49</f>
        <v>0.59231225620178829</v>
      </c>
      <c r="V84" s="274">
        <f>'Adjusted Emissions'!U49</f>
        <v>0.51416517668849449</v>
      </c>
      <c r="W84" s="274">
        <f>'Adjusted Emissions'!V49</f>
        <v>0.43396022818592089</v>
      </c>
      <c r="X84" s="274">
        <f>'Adjusted Emissions'!W49</f>
        <v>0.35157319952419369</v>
      </c>
      <c r="Y84" s="274">
        <f>'Adjusted Emissions'!X49</f>
        <v>0.26698545650117017</v>
      </c>
      <c r="Z84" s="274">
        <f>'Adjusted Emissions'!Y49</f>
        <v>0.18019683596926878</v>
      </c>
      <c r="AA84" s="274">
        <f>'Adjusted Emissions'!Z49</f>
        <v>9.1203552508150237E-2</v>
      </c>
      <c r="AB84" s="274">
        <f>'Adjusted Emissions'!AA49</f>
        <v>0</v>
      </c>
      <c r="AC84" s="274">
        <f>'Adjusted Emissions'!AB49</f>
        <v>0</v>
      </c>
      <c r="AD84" s="274">
        <f>'Adjusted Emissions'!AC49</f>
        <v>0</v>
      </c>
      <c r="AE84" s="274">
        <f>'Adjusted Emissions'!AD49</f>
        <v>0</v>
      </c>
      <c r="AF84" s="274">
        <f>'Adjusted Emissions'!AE49</f>
        <v>0</v>
      </c>
      <c r="AG84" s="274">
        <f>'Adjusted Emissions'!AF49</f>
        <v>0</v>
      </c>
    </row>
    <row r="85" spans="1:33">
      <c r="A85" s="214" t="s">
        <v>1177</v>
      </c>
      <c r="C85" s="287">
        <f>'Adjusted Emissions'!B69</f>
        <v>2.7661968672006916</v>
      </c>
      <c r="D85" s="287">
        <f>'Adjusted Emissions'!C69</f>
        <v>3.3006962004711169</v>
      </c>
      <c r="E85" s="287">
        <f>'Adjusted Emissions'!D69</f>
        <v>4.3950708227296689</v>
      </c>
      <c r="F85" s="287">
        <f>'Adjusted Emissions'!E69</f>
        <v>4.6014009001125835</v>
      </c>
      <c r="G85" s="287">
        <f>'Adjusted Emissions'!F69</f>
        <v>4.7057854419747809</v>
      </c>
      <c r="H85" s="287">
        <f>'Adjusted Emissions'!G69</f>
        <v>4.7990927272075297</v>
      </c>
      <c r="I85" s="287">
        <f>'Adjusted Emissions'!H69</f>
        <v>4.7130747861455795</v>
      </c>
      <c r="J85" s="287">
        <f>'Adjusted Emissions'!I69</f>
        <v>4.640984245533005</v>
      </c>
      <c r="K85" s="287">
        <f>'Adjusted Emissions'!J69</f>
        <v>4.5978830210741481</v>
      </c>
      <c r="L85" s="287">
        <f>'Adjusted Emissions'!K69</f>
        <v>4.6233736852603515</v>
      </c>
      <c r="M85" s="287">
        <f>'Adjusted Emissions'!L69</f>
        <v>4.4690186797792366</v>
      </c>
      <c r="N85" s="287">
        <f>'Adjusted Emissions'!M69</f>
        <v>4.4458044291625844</v>
      </c>
      <c r="O85" s="287">
        <f>'Adjusted Emissions'!N69</f>
        <v>4.4312425942923577</v>
      </c>
      <c r="P85" s="287">
        <f>'Adjusted Emissions'!O69</f>
        <v>4.4189823945260027</v>
      </c>
      <c r="Q85" s="287">
        <f>'Adjusted Emissions'!P69</f>
        <v>4.3900630606843363</v>
      </c>
      <c r="R85" s="287">
        <f>'Adjusted Emissions'!Q69</f>
        <v>4.1074125049803385</v>
      </c>
      <c r="S85" s="287">
        <f>'Adjusted Emissions'!R69</f>
        <v>4.0867866501031864</v>
      </c>
      <c r="T85" s="287">
        <f>'Adjusted Emissions'!S69</f>
        <v>4.017867106306249</v>
      </c>
      <c r="U85" s="287">
        <f>'Adjusted Emissions'!T69</f>
        <v>3.9957110759357066</v>
      </c>
      <c r="V85" s="287">
        <f>'Adjusted Emissions'!U69</f>
        <v>3.9761306462429582</v>
      </c>
      <c r="W85" s="287">
        <f>'Adjusted Emissions'!V69</f>
        <v>3.961178706920363</v>
      </c>
      <c r="X85" s="287">
        <f>'Adjusted Emissions'!W69</f>
        <v>3.9399102523474641</v>
      </c>
      <c r="Y85" s="287">
        <f>'Adjusted Emissions'!X69</f>
        <v>3.897340722881212</v>
      </c>
      <c r="Z85" s="287">
        <f>'Adjusted Emissions'!Y69</f>
        <v>4.0133317941060875</v>
      </c>
      <c r="AA85" s="287">
        <f>'Adjusted Emissions'!Z69</f>
        <v>3.8757745879371663</v>
      </c>
      <c r="AB85" s="287">
        <f>'Adjusted Emissions'!AA69</f>
        <v>3.8672203122277442</v>
      </c>
      <c r="AC85" s="287">
        <f>'Adjusted Emissions'!AB69</f>
        <v>3.7928437864566358</v>
      </c>
      <c r="AD85" s="287">
        <f>'Adjusted Emissions'!AC69</f>
        <v>3.7785353167562263</v>
      </c>
      <c r="AE85" s="287">
        <f>'Adjusted Emissions'!AD69</f>
        <v>3.7701446864823955</v>
      </c>
      <c r="AF85" s="287">
        <f>'Adjusted Emissions'!AE69</f>
        <v>3.7741274973535432</v>
      </c>
      <c r="AG85" s="287">
        <f>'Adjusted Emissions'!AF69</f>
        <v>3.7582311302487548</v>
      </c>
    </row>
    <row r="86" spans="1:33">
      <c r="A86" s="214" t="s">
        <v>334</v>
      </c>
      <c r="C86" s="274">
        <f>'Adjusted Emissions'!B66</f>
        <v>21.505554842191813</v>
      </c>
      <c r="D86" s="274">
        <f>'Adjusted Emissions'!C66</f>
        <v>21.101589845074319</v>
      </c>
      <c r="E86" s="274">
        <f>'Adjusted Emissions'!D66</f>
        <v>20.642766363300044</v>
      </c>
      <c r="F86" s="274">
        <f>'Adjusted Emissions'!E66</f>
        <v>20.181594255111584</v>
      </c>
      <c r="G86" s="274">
        <f>'Adjusted Emissions'!F66</f>
        <v>19.789279732745172</v>
      </c>
      <c r="H86" s="274">
        <f>'Adjusted Emissions'!G66</f>
        <v>19.23628944250833</v>
      </c>
      <c r="I86" s="274">
        <f>'Adjusted Emissions'!H66</f>
        <v>18.737624063870065</v>
      </c>
      <c r="J86" s="274">
        <f>'Adjusted Emissions'!I66</f>
        <v>18.243779526073308</v>
      </c>
      <c r="K86" s="274">
        <f>'Adjusted Emissions'!J66</f>
        <v>17.762255857162735</v>
      </c>
      <c r="L86" s="274">
        <f>'Adjusted Emissions'!K66</f>
        <v>17.279355361192508</v>
      </c>
      <c r="M86" s="274">
        <f>'Adjusted Emissions'!L66</f>
        <v>16.90558141821834</v>
      </c>
      <c r="N86" s="274">
        <f>'Adjusted Emissions'!M66</f>
        <v>16.553574721994174</v>
      </c>
      <c r="O86" s="274">
        <f>'Adjusted Emissions'!N66</f>
        <v>16.243300180949294</v>
      </c>
      <c r="P86" s="274">
        <f>'Adjusted Emissions'!O66</f>
        <v>15.941027900729138</v>
      </c>
      <c r="Q86" s="274">
        <f>'Adjusted Emissions'!P66</f>
        <v>15.702881575252764</v>
      </c>
      <c r="R86" s="274">
        <f>'Adjusted Emissions'!Q66</f>
        <v>15.52034263777554</v>
      </c>
      <c r="S86" s="274">
        <f>'Adjusted Emissions'!R66</f>
        <v>15.35950315170186</v>
      </c>
      <c r="T86" s="274">
        <f>'Adjusted Emissions'!S66</f>
        <v>15.248810683295117</v>
      </c>
      <c r="U86" s="274">
        <f>'Adjusted Emissions'!T66</f>
        <v>15.154658730287682</v>
      </c>
      <c r="V86" s="274">
        <f>'Adjusted Emissions'!U66</f>
        <v>15.094857350306718</v>
      </c>
      <c r="W86" s="274">
        <f>'Adjusted Emissions'!V66</f>
        <v>15.049890856783405</v>
      </c>
      <c r="X86" s="274">
        <f>'Adjusted Emissions'!W66</f>
        <v>15.028589781967</v>
      </c>
      <c r="Y86" s="274">
        <f>'Adjusted Emissions'!X66</f>
        <v>15.008654291393023</v>
      </c>
      <c r="Z86" s="274">
        <f>'Adjusted Emissions'!Y66</f>
        <v>15.002608254909733</v>
      </c>
      <c r="AA86" s="274">
        <f>'Adjusted Emissions'!Z66</f>
        <v>15.003693276241691</v>
      </c>
      <c r="AB86" s="274">
        <f>'Adjusted Emissions'!AA66</f>
        <v>15.004179923299814</v>
      </c>
      <c r="AC86" s="274">
        <f>'Adjusted Emissions'!AB66</f>
        <v>15.021258297641992</v>
      </c>
      <c r="AD86" s="274">
        <f>'Adjusted Emissions'!AC66</f>
        <v>15.060497427020296</v>
      </c>
      <c r="AE86" s="274">
        <f>'Adjusted Emissions'!AD66</f>
        <v>15.08328697695452</v>
      </c>
      <c r="AF86" s="274">
        <f>'Adjusted Emissions'!AE66</f>
        <v>15.076626807565173</v>
      </c>
      <c r="AG86" s="274">
        <f>'Adjusted Emissions'!AF66</f>
        <v>15.067396447161444</v>
      </c>
    </row>
    <row r="87" spans="1:33">
      <c r="A87" s="214" t="s">
        <v>335</v>
      </c>
      <c r="C87" s="274">
        <f>'Adjusted Emissions'!B68</f>
        <v>10.409963832624301</v>
      </c>
      <c r="D87" s="274">
        <f>'Adjusted Emissions'!C68</f>
        <v>10.343294752751929</v>
      </c>
      <c r="E87" s="274">
        <f>'Adjusted Emissions'!D68</f>
        <v>10.035112076184561</v>
      </c>
      <c r="F87" s="274">
        <f>'Adjusted Emissions'!E68</f>
        <v>9.9251698655836424</v>
      </c>
      <c r="G87" s="274">
        <f>'Adjusted Emissions'!F68</f>
        <v>9.8571779663438175</v>
      </c>
      <c r="H87" s="274">
        <f>'Adjusted Emissions'!G68</f>
        <v>9.802883435203638</v>
      </c>
      <c r="I87" s="274">
        <f>'Adjusted Emissions'!H68</f>
        <v>9.7592782185507811</v>
      </c>
      <c r="J87" s="274">
        <f>'Adjusted Emissions'!I68</f>
        <v>9.6732806397930879</v>
      </c>
      <c r="K87" s="274">
        <f>'Adjusted Emissions'!J68</f>
        <v>9.5941175626996387</v>
      </c>
      <c r="L87" s="274">
        <f>'Adjusted Emissions'!K68</f>
        <v>9.4913448228753943</v>
      </c>
      <c r="M87" s="274">
        <f>'Adjusted Emissions'!L68</f>
        <v>9.4521522184010482</v>
      </c>
      <c r="N87" s="274">
        <f>'Adjusted Emissions'!M68</f>
        <v>9.3915168719451199</v>
      </c>
      <c r="O87" s="274">
        <f>'Adjusted Emissions'!N68</f>
        <v>9.3240290148659195</v>
      </c>
      <c r="P87" s="274">
        <f>'Adjusted Emissions'!O68</f>
        <v>9.2555400483832724</v>
      </c>
      <c r="Q87" s="274">
        <f>'Adjusted Emissions'!P68</f>
        <v>9.235395393217674</v>
      </c>
      <c r="R87" s="274">
        <f>'Adjusted Emissions'!Q68</f>
        <v>9.3002261017648298</v>
      </c>
      <c r="S87" s="274">
        <f>'Adjusted Emissions'!R68</f>
        <v>9.3149012504652564</v>
      </c>
      <c r="T87" s="274">
        <f>'Adjusted Emissions'!S68</f>
        <v>9.3531497875149228</v>
      </c>
      <c r="U87" s="274">
        <f>'Adjusted Emissions'!T68</f>
        <v>9.3881509664698619</v>
      </c>
      <c r="V87" s="274">
        <f>'Adjusted Emissions'!U68</f>
        <v>9.4216506721629685</v>
      </c>
      <c r="W87" s="274">
        <f>'Adjusted Emissions'!V68</f>
        <v>9.4490033400368141</v>
      </c>
      <c r="X87" s="274">
        <f>'Adjusted Emissions'!W68</f>
        <v>9.4859934667657537</v>
      </c>
      <c r="Y87" s="274">
        <f>'Adjusted Emissions'!X68</f>
        <v>9.5051505062379142</v>
      </c>
      <c r="Z87" s="274">
        <f>'Adjusted Emissions'!Y68</f>
        <v>9.5228173636315692</v>
      </c>
      <c r="AA87" s="274">
        <f>'Adjusted Emissions'!Z68</f>
        <v>9.5892511011686778</v>
      </c>
      <c r="AB87" s="274">
        <f>'Adjusted Emissions'!AA68</f>
        <v>9.6324657558684219</v>
      </c>
      <c r="AC87" s="274">
        <f>'Adjusted Emissions'!AB68</f>
        <v>9.6850677880197242</v>
      </c>
      <c r="AD87" s="274">
        <f>'Adjusted Emissions'!AC68</f>
        <v>9.7326134056505857</v>
      </c>
      <c r="AE87" s="274">
        <f>'Adjusted Emissions'!AD68</f>
        <v>9.7806236891949467</v>
      </c>
      <c r="AF87" s="274">
        <f>'Adjusted Emissions'!AE68</f>
        <v>9.8138679920612422</v>
      </c>
      <c r="AG87" s="274">
        <f>'Adjusted Emissions'!AF68</f>
        <v>9.8551487336470451</v>
      </c>
    </row>
    <row r="88" spans="1:33">
      <c r="A88" s="214" t="s">
        <v>457</v>
      </c>
      <c r="C88" s="274">
        <f>'Adjusted Emissions'!B67</f>
        <v>7.4292683431161084</v>
      </c>
      <c r="D88" s="274">
        <f>'Adjusted Emissions'!C67</f>
        <v>7.4938172819490623</v>
      </c>
      <c r="E88" s="274">
        <f>'Adjusted Emissions'!D67</f>
        <v>7.5529230597927883</v>
      </c>
      <c r="F88" s="274">
        <f>'Adjusted Emissions'!E67</f>
        <v>7.5995794633598814</v>
      </c>
      <c r="G88" s="274">
        <f>'Adjusted Emissions'!F67</f>
        <v>7.6621972132246388</v>
      </c>
      <c r="H88" s="274">
        <f>'Adjusted Emissions'!G67</f>
        <v>7.7477502690531104</v>
      </c>
      <c r="I88" s="274">
        <f>'Adjusted Emissions'!H67</f>
        <v>7.8335996249555304</v>
      </c>
      <c r="J88" s="274">
        <f>'Adjusted Emissions'!I67</f>
        <v>7.9153048799062278</v>
      </c>
      <c r="K88" s="274">
        <f>'Adjusted Emissions'!J67</f>
        <v>8.0244883601079362</v>
      </c>
      <c r="L88" s="274">
        <f>'Adjusted Emissions'!K67</f>
        <v>8.1111531300988897</v>
      </c>
      <c r="M88" s="274">
        <f>'Adjusted Emissions'!L67</f>
        <v>8.2013141002291512</v>
      </c>
      <c r="N88" s="274">
        <f>'Adjusted Emissions'!M67</f>
        <v>8.2944507233621216</v>
      </c>
      <c r="O88" s="274">
        <f>'Adjusted Emissions'!N67</f>
        <v>8.3826153824381731</v>
      </c>
      <c r="P88" s="274">
        <f>'Adjusted Emissions'!O67</f>
        <v>8.4689490464340071</v>
      </c>
      <c r="Q88" s="274">
        <f>'Adjusted Emissions'!P67</f>
        <v>8.5603156359005297</v>
      </c>
      <c r="R88" s="274">
        <f>'Adjusted Emissions'!Q67</f>
        <v>8.6503137159076786</v>
      </c>
      <c r="S88" s="274">
        <f>'Adjusted Emissions'!R67</f>
        <v>8.7403761839512608</v>
      </c>
      <c r="T88" s="274">
        <f>'Adjusted Emissions'!S67</f>
        <v>8.8311466012087685</v>
      </c>
      <c r="U88" s="274">
        <f>'Adjusted Emissions'!T67</f>
        <v>8.9233578955846546</v>
      </c>
      <c r="V88" s="274">
        <f>'Adjusted Emissions'!U67</f>
        <v>9.0147587132127107</v>
      </c>
      <c r="W88" s="274">
        <f>'Adjusted Emissions'!V67</f>
        <v>9.1098135351018747</v>
      </c>
      <c r="X88" s="274">
        <f>'Adjusted Emissions'!W67</f>
        <v>9.2048609102849674</v>
      </c>
      <c r="Y88" s="274">
        <f>'Adjusted Emissions'!X67</f>
        <v>9.2925700623748604</v>
      </c>
      <c r="Z88" s="274">
        <f>'Adjusted Emissions'!Y67</f>
        <v>9.3830408620844903</v>
      </c>
      <c r="AA88" s="274">
        <f>'Adjusted Emissions'!Z67</f>
        <v>9.4709705141626159</v>
      </c>
      <c r="AB88" s="274">
        <f>'Adjusted Emissions'!AA67</f>
        <v>9.5635832026227234</v>
      </c>
      <c r="AC88" s="274">
        <f>'Adjusted Emissions'!AB67</f>
        <v>9.6541185883484761</v>
      </c>
      <c r="AD88" s="274">
        <f>'Adjusted Emissions'!AC67</f>
        <v>9.7444568380306702</v>
      </c>
      <c r="AE88" s="274">
        <f>'Adjusted Emissions'!AD67</f>
        <v>9.8297624269833701</v>
      </c>
      <c r="AF88" s="274">
        <f>'Adjusted Emissions'!AE67</f>
        <v>9.9109284336205139</v>
      </c>
      <c r="AG88" s="274">
        <f>'Adjusted Emissions'!AF67</f>
        <v>9.9875659309416278</v>
      </c>
    </row>
    <row r="89" spans="1:33">
      <c r="C89" s="216"/>
      <c r="D89" s="216"/>
      <c r="E89" s="216"/>
      <c r="F89" s="216"/>
      <c r="G89" s="216"/>
      <c r="H89" s="216"/>
      <c r="I89" s="216"/>
      <c r="J89" s="216"/>
      <c r="K89" s="216"/>
      <c r="L89" s="216"/>
      <c r="M89" s="216"/>
      <c r="N89" s="216"/>
      <c r="O89" s="216"/>
      <c r="P89" s="216"/>
      <c r="Q89" s="216"/>
      <c r="R89" s="216"/>
      <c r="S89" s="216"/>
      <c r="T89" s="216"/>
      <c r="U89" s="216"/>
      <c r="V89" s="216"/>
      <c r="W89" s="216"/>
    </row>
    <row r="90" spans="1:33" s="252" customFormat="1" ht="13">
      <c r="A90" s="250" t="s">
        <v>1182</v>
      </c>
      <c r="B90" s="240"/>
      <c r="C90" s="240"/>
      <c r="D90" s="240"/>
      <c r="E90" s="240"/>
      <c r="F90" s="240"/>
      <c r="G90" s="240"/>
      <c r="H90" s="240"/>
      <c r="I90" s="240"/>
      <c r="J90" s="240"/>
      <c r="K90" s="240"/>
      <c r="L90" s="240"/>
      <c r="M90" s="240"/>
      <c r="N90" s="240"/>
      <c r="O90" s="240"/>
      <c r="P90" s="240"/>
      <c r="Q90" s="240"/>
      <c r="R90" s="240"/>
      <c r="S90" s="240"/>
      <c r="T90" s="240"/>
      <c r="U90" s="240"/>
      <c r="V90" s="240"/>
      <c r="W90" s="241"/>
      <c r="X90" s="240"/>
      <c r="Y90" s="240"/>
      <c r="Z90" s="240"/>
      <c r="AA90" s="240"/>
      <c r="AB90" s="240"/>
      <c r="AC90" s="240"/>
      <c r="AD90" s="240"/>
      <c r="AE90" s="240"/>
      <c r="AF90" s="240"/>
      <c r="AG90" s="240"/>
    </row>
    <row r="91" spans="1:33" s="252" customFormat="1">
      <c r="A91" s="554" t="str">
        <f>A57</f>
        <v>Sector and Fuel Category</v>
      </c>
      <c r="B91" s="554"/>
      <c r="C91" s="242">
        <v>2020</v>
      </c>
      <c r="D91" s="242">
        <v>2021</v>
      </c>
      <c r="E91" s="242">
        <v>2022</v>
      </c>
      <c r="F91" s="242">
        <v>2023</v>
      </c>
      <c r="G91" s="242">
        <v>2024</v>
      </c>
      <c r="H91" s="242">
        <v>2025</v>
      </c>
      <c r="I91" s="242">
        <v>2026</v>
      </c>
      <c r="J91" s="242">
        <v>2027</v>
      </c>
      <c r="K91" s="242">
        <v>2028</v>
      </c>
      <c r="L91" s="242">
        <v>2029</v>
      </c>
      <c r="M91" s="242">
        <v>2030</v>
      </c>
      <c r="N91" s="242">
        <v>2031</v>
      </c>
      <c r="O91" s="242">
        <v>2032</v>
      </c>
      <c r="P91" s="242">
        <v>2033</v>
      </c>
      <c r="Q91" s="242">
        <v>2034</v>
      </c>
      <c r="R91" s="242">
        <v>2035</v>
      </c>
      <c r="S91" s="242">
        <v>2036</v>
      </c>
      <c r="T91" s="242">
        <v>2037</v>
      </c>
      <c r="U91" s="242">
        <v>2038</v>
      </c>
      <c r="V91" s="242">
        <v>2039</v>
      </c>
      <c r="W91" s="242">
        <v>2040</v>
      </c>
      <c r="X91" s="375">
        <v>2041</v>
      </c>
      <c r="Y91" s="375">
        <v>2042</v>
      </c>
      <c r="Z91" s="375">
        <v>2043</v>
      </c>
      <c r="AA91" s="375">
        <v>2044</v>
      </c>
      <c r="AB91" s="375">
        <v>2045</v>
      </c>
      <c r="AC91" s="375">
        <v>2046</v>
      </c>
      <c r="AD91" s="375">
        <v>2047</v>
      </c>
      <c r="AE91" s="375">
        <v>2048</v>
      </c>
      <c r="AF91" s="375">
        <v>2049</v>
      </c>
      <c r="AG91" s="375">
        <v>2050</v>
      </c>
    </row>
    <row r="92" spans="1:33">
      <c r="A92" s="214" t="s">
        <v>1162</v>
      </c>
      <c r="C92" s="274">
        <f t="shared" ref="C92:W92" si="29">C58-C75</f>
        <v>1.6597413054958432E-4</v>
      </c>
      <c r="D92" s="274">
        <f t="shared" si="29"/>
        <v>4.0097653504245212E-4</v>
      </c>
      <c r="E92" s="274">
        <f t="shared" si="29"/>
        <v>6.9260736829218628E-4</v>
      </c>
      <c r="F92" s="274">
        <f t="shared" si="29"/>
        <v>1.0382503545803834E-3</v>
      </c>
      <c r="G92" s="274">
        <f t="shared" si="29"/>
        <v>1.4255404570701624E-3</v>
      </c>
      <c r="H92" s="274">
        <f t="shared" si="29"/>
        <v>1.8486702808010458E-3</v>
      </c>
      <c r="I92" s="274">
        <f t="shared" si="29"/>
        <v>2.3093519834853637E-3</v>
      </c>
      <c r="J92" s="274">
        <f t="shared" si="29"/>
        <v>2.814966197190516E-3</v>
      </c>
      <c r="K92" s="274">
        <f t="shared" si="29"/>
        <v>3.3717223813208852E-3</v>
      </c>
      <c r="L92" s="274">
        <f t="shared" si="29"/>
        <v>3.7281608804644595E-3</v>
      </c>
      <c r="M92" s="274">
        <f t="shared" si="29"/>
        <v>4.3502231394158541E-3</v>
      </c>
      <c r="N92" s="274">
        <f t="shared" si="29"/>
        <v>4.9863523660724218E-3</v>
      </c>
      <c r="O92" s="274">
        <f t="shared" si="29"/>
        <v>5.6938958807536411E-3</v>
      </c>
      <c r="P92" s="274">
        <f t="shared" si="29"/>
        <v>6.4322893123511804E-3</v>
      </c>
      <c r="Q92" s="274">
        <f t="shared" si="29"/>
        <v>6.9312638596361609E-3</v>
      </c>
      <c r="R92" s="274">
        <f t="shared" si="29"/>
        <v>7.296817512005227E-3</v>
      </c>
      <c r="S92" s="274">
        <f t="shared" si="29"/>
        <v>7.6564350610337506E-3</v>
      </c>
      <c r="T92" s="274">
        <f t="shared" si="29"/>
        <v>8.0216627981103406E-3</v>
      </c>
      <c r="U92" s="274">
        <f t="shared" si="29"/>
        <v>8.396378457721787E-3</v>
      </c>
      <c r="V92" s="274">
        <f t="shared" si="29"/>
        <v>8.7743883600768235E-3</v>
      </c>
      <c r="W92" s="274">
        <f t="shared" si="29"/>
        <v>8.7214460928902726E-3</v>
      </c>
      <c r="X92" s="274">
        <f t="shared" ref="X92:AG92" si="30">X58-X75</f>
        <v>8.6858841280152976E-3</v>
      </c>
      <c r="Y92" s="274">
        <f t="shared" si="30"/>
        <v>8.6475037462831472E-3</v>
      </c>
      <c r="Z92" s="274">
        <f t="shared" si="30"/>
        <v>8.6101499545709892E-3</v>
      </c>
      <c r="AA92" s="274">
        <f t="shared" si="30"/>
        <v>8.5747697928244548E-3</v>
      </c>
      <c r="AB92" s="274">
        <f t="shared" si="30"/>
        <v>8.5530324598552254E-3</v>
      </c>
      <c r="AC92" s="274">
        <f t="shared" si="30"/>
        <v>8.5443385244236558E-3</v>
      </c>
      <c r="AD92" s="274">
        <f t="shared" si="30"/>
        <v>8.5451411190289872E-3</v>
      </c>
      <c r="AE92" s="274">
        <f t="shared" si="30"/>
        <v>8.551802634129746E-3</v>
      </c>
      <c r="AF92" s="274">
        <f t="shared" si="30"/>
        <v>8.5737307929977802E-3</v>
      </c>
      <c r="AG92" s="274">
        <f t="shared" si="30"/>
        <v>8.6132960707496764E-3</v>
      </c>
    </row>
    <row r="93" spans="1:33">
      <c r="A93" s="214" t="s">
        <v>1170</v>
      </c>
      <c r="C93" s="274">
        <f t="shared" ref="C93:W93" si="31">C59-C76</f>
        <v>7.6208102271770883E-3</v>
      </c>
      <c r="D93" s="274">
        <f t="shared" si="31"/>
        <v>4.3546416649469677E-2</v>
      </c>
      <c r="E93" s="274">
        <f t="shared" si="31"/>
        <v>8.763626291781268E-2</v>
      </c>
      <c r="F93" s="274">
        <f t="shared" si="31"/>
        <v>0.13566783966459361</v>
      </c>
      <c r="G93" s="274">
        <f t="shared" si="31"/>
        <v>0.19475200642718704</v>
      </c>
      <c r="H93" s="274">
        <f t="shared" si="31"/>
        <v>0.25981056801766123</v>
      </c>
      <c r="I93" s="274">
        <f t="shared" si="31"/>
        <v>0.32571883092567067</v>
      </c>
      <c r="J93" s="274">
        <f t="shared" si="31"/>
        <v>0.39194341744591998</v>
      </c>
      <c r="K93" s="274">
        <f t="shared" si="31"/>
        <v>0.46046486994819436</v>
      </c>
      <c r="L93" s="274">
        <f t="shared" si="31"/>
        <v>0.47647295714939286</v>
      </c>
      <c r="M93" s="274">
        <f t="shared" si="31"/>
        <v>0.52843405576144509</v>
      </c>
      <c r="N93" s="274">
        <f t="shared" si="31"/>
        <v>0.57637586414244346</v>
      </c>
      <c r="O93" s="274">
        <f t="shared" si="31"/>
        <v>0.63123616825674889</v>
      </c>
      <c r="P93" s="274">
        <f t="shared" si="31"/>
        <v>0.68832902828528253</v>
      </c>
      <c r="Q93" s="274">
        <f t="shared" si="31"/>
        <v>0.73263144333366315</v>
      </c>
      <c r="R93" s="274">
        <f t="shared" si="31"/>
        <v>0.76962445839762283</v>
      </c>
      <c r="S93" s="274">
        <f t="shared" si="31"/>
        <v>0.80602533341778271</v>
      </c>
      <c r="T93" s="274">
        <f t="shared" si="31"/>
        <v>0.84260592645065202</v>
      </c>
      <c r="U93" s="274">
        <f t="shared" si="31"/>
        <v>0.87978007234567857</v>
      </c>
      <c r="V93" s="274">
        <f t="shared" si="31"/>
        <v>0.91653318621420787</v>
      </c>
      <c r="W93" s="274">
        <f t="shared" si="31"/>
        <v>0.93759735680245182</v>
      </c>
      <c r="X93" s="274">
        <f t="shared" ref="X93:AG93" si="32">X59-X76</f>
        <v>0.96023667290457437</v>
      </c>
      <c r="Y93" s="274">
        <f t="shared" si="32"/>
        <v>0.98175664533971219</v>
      </c>
      <c r="Z93" s="274">
        <f t="shared" si="32"/>
        <v>1.0023665470127829</v>
      </c>
      <c r="AA93" s="274">
        <f t="shared" si="32"/>
        <v>1.0222892065868456</v>
      </c>
      <c r="AB93" s="274">
        <f t="shared" si="32"/>
        <v>1.0419346106083567</v>
      </c>
      <c r="AC93" s="274">
        <f t="shared" si="32"/>
        <v>1.0615984091283575</v>
      </c>
      <c r="AD93" s="274">
        <f t="shared" si="32"/>
        <v>1.0805644144958557</v>
      </c>
      <c r="AE93" s="274">
        <f t="shared" si="32"/>
        <v>1.0984757722876406</v>
      </c>
      <c r="AF93" s="274">
        <f t="shared" si="32"/>
        <v>1.1164470854754778</v>
      </c>
      <c r="AG93" s="274">
        <f t="shared" si="32"/>
        <v>1.1350466100476773</v>
      </c>
    </row>
    <row r="94" spans="1:33" s="217" customFormat="1">
      <c r="A94" s="217" t="s">
        <v>1171</v>
      </c>
      <c r="C94" s="274">
        <f t="shared" ref="C94:W94" si="33">C60-C77</f>
        <v>0.12284376709731504</v>
      </c>
      <c r="D94" s="274">
        <f t="shared" si="33"/>
        <v>0.32040415797142607</v>
      </c>
      <c r="E94" s="274">
        <f t="shared" si="33"/>
        <v>0.85384133131892836</v>
      </c>
      <c r="F94" s="274">
        <f t="shared" si="33"/>
        <v>0.81122321447158363</v>
      </c>
      <c r="G94" s="274">
        <f t="shared" si="33"/>
        <v>1.1397615395115572</v>
      </c>
      <c r="H94" s="274">
        <f t="shared" si="33"/>
        <v>1.7166328190829223</v>
      </c>
      <c r="I94" s="274">
        <f t="shared" si="33"/>
        <v>1.7950964607322732</v>
      </c>
      <c r="J94" s="274">
        <f t="shared" si="33"/>
        <v>1.7832071963685554</v>
      </c>
      <c r="K94" s="274">
        <f t="shared" si="33"/>
        <v>1.769332568618601</v>
      </c>
      <c r="L94" s="274">
        <f t="shared" si="33"/>
        <v>1.4917861029903157</v>
      </c>
      <c r="M94" s="274">
        <f t="shared" si="33"/>
        <v>1.507883526660192</v>
      </c>
      <c r="N94" s="274">
        <f t="shared" si="33"/>
        <v>1.5297864726305388</v>
      </c>
      <c r="O94" s="274">
        <f t="shared" si="33"/>
        <v>1.5821560045194258</v>
      </c>
      <c r="P94" s="274">
        <f t="shared" si="33"/>
        <v>1.6805966391386296</v>
      </c>
      <c r="Q94" s="274">
        <f t="shared" si="33"/>
        <v>1.7813816525065072</v>
      </c>
      <c r="R94" s="274">
        <f t="shared" si="33"/>
        <v>1.8830124904086643</v>
      </c>
      <c r="S94" s="274">
        <f t="shared" si="33"/>
        <v>1.9787851029203103</v>
      </c>
      <c r="T94" s="274">
        <f t="shared" si="33"/>
        <v>2.0776090202953261</v>
      </c>
      <c r="U94" s="274">
        <f t="shared" si="33"/>
        <v>2.1765651567568605</v>
      </c>
      <c r="V94" s="274">
        <f t="shared" si="33"/>
        <v>2.2756531283923387</v>
      </c>
      <c r="W94" s="274">
        <f t="shared" si="33"/>
        <v>2.3748728104010164</v>
      </c>
      <c r="X94" s="274">
        <f t="shared" ref="X94:AG94" si="34">X60-X77</f>
        <v>2.4741958077538211</v>
      </c>
      <c r="Y94" s="274">
        <f t="shared" si="34"/>
        <v>2.5736375209007774</v>
      </c>
      <c r="Z94" s="274">
        <f t="shared" si="34"/>
        <v>2.6731888959926962</v>
      </c>
      <c r="AA94" s="274">
        <f t="shared" si="34"/>
        <v>2.7728393730022134</v>
      </c>
      <c r="AB94" s="274">
        <f t="shared" si="34"/>
        <v>2.8725821533460336</v>
      </c>
      <c r="AC94" s="274">
        <f t="shared" si="34"/>
        <v>2.8809911766138012</v>
      </c>
      <c r="AD94" s="274">
        <f t="shared" si="34"/>
        <v>2.8894001998815702</v>
      </c>
      <c r="AE94" s="274">
        <f t="shared" si="34"/>
        <v>2.8978092231493386</v>
      </c>
      <c r="AF94" s="274">
        <f t="shared" si="34"/>
        <v>2.9062182464171076</v>
      </c>
      <c r="AG94" s="274">
        <f t="shared" si="34"/>
        <v>2.9146272696848752</v>
      </c>
    </row>
    <row r="95" spans="1:33">
      <c r="A95" s="214" t="s">
        <v>1163</v>
      </c>
      <c r="C95" s="287">
        <f t="shared" ref="C95:W95" si="35">C61-C78</f>
        <v>1.1723719102985086E-4</v>
      </c>
      <c r="D95" s="287">
        <f t="shared" si="35"/>
        <v>3.0280953131750499E-4</v>
      </c>
      <c r="E95" s="287">
        <f t="shared" si="35"/>
        <v>5.4767802354843687E-4</v>
      </c>
      <c r="F95" s="287">
        <f t="shared" si="35"/>
        <v>8.5790080170464189E-4</v>
      </c>
      <c r="G95" s="287">
        <f t="shared" si="35"/>
        <v>1.2191337025131699E-3</v>
      </c>
      <c r="H95" s="287">
        <f t="shared" si="35"/>
        <v>1.6303260517491758E-3</v>
      </c>
      <c r="I95" s="287">
        <f t="shared" si="35"/>
        <v>2.1048964773816015E-3</v>
      </c>
      <c r="J95" s="287">
        <f t="shared" si="35"/>
        <v>2.6518097762595338E-3</v>
      </c>
      <c r="K95" s="287">
        <f t="shared" si="35"/>
        <v>3.2737213200533244E-3</v>
      </c>
      <c r="L95" s="287">
        <f t="shared" si="35"/>
        <v>3.6138981295219808E-3</v>
      </c>
      <c r="M95" s="287">
        <f t="shared" si="35"/>
        <v>4.3367061095034021E-3</v>
      </c>
      <c r="N95" s="287">
        <f t="shared" si="35"/>
        <v>5.0671208866967798E-3</v>
      </c>
      <c r="O95" s="287">
        <f t="shared" si="35"/>
        <v>5.8915429794773044E-3</v>
      </c>
      <c r="P95" s="287">
        <f t="shared" si="35"/>
        <v>6.7664646775154047E-3</v>
      </c>
      <c r="Q95" s="287">
        <f t="shared" si="35"/>
        <v>7.4118656344130951E-3</v>
      </c>
      <c r="R95" s="287">
        <f t="shared" si="35"/>
        <v>7.9312213045445445E-3</v>
      </c>
      <c r="S95" s="287">
        <f t="shared" si="35"/>
        <v>8.4486597633520732E-3</v>
      </c>
      <c r="T95" s="287">
        <f t="shared" si="35"/>
        <v>8.992150937769311E-3</v>
      </c>
      <c r="U95" s="287">
        <f t="shared" si="35"/>
        <v>9.5540999751989042E-3</v>
      </c>
      <c r="V95" s="287">
        <f t="shared" si="35"/>
        <v>1.0120526344578273E-2</v>
      </c>
      <c r="W95" s="287">
        <f t="shared" si="35"/>
        <v>1.0186978687879655E-2</v>
      </c>
      <c r="X95" s="287">
        <f t="shared" ref="X95:AG95" si="36">X61-X78</f>
        <v>1.0273639608158802E-2</v>
      </c>
      <c r="Y95" s="287">
        <f t="shared" si="36"/>
        <v>1.0338221907761069E-2</v>
      </c>
      <c r="Z95" s="287">
        <f t="shared" si="36"/>
        <v>1.0394474779350071E-2</v>
      </c>
      <c r="AA95" s="287">
        <f t="shared" si="36"/>
        <v>1.045000086626563E-2</v>
      </c>
      <c r="AB95" s="287">
        <f t="shared" si="36"/>
        <v>1.0518182340152282E-2</v>
      </c>
      <c r="AC95" s="287">
        <f t="shared" si="36"/>
        <v>1.0596927453848604E-2</v>
      </c>
      <c r="AD95" s="287">
        <f t="shared" si="36"/>
        <v>1.0677311069921758E-2</v>
      </c>
      <c r="AE95" s="287">
        <f t="shared" si="36"/>
        <v>1.0757680930815694E-2</v>
      </c>
      <c r="AF95" s="287">
        <f t="shared" si="36"/>
        <v>1.0855436517196504E-2</v>
      </c>
      <c r="AG95" s="287">
        <f t="shared" si="36"/>
        <v>1.0972541299671124E-2</v>
      </c>
    </row>
    <row r="96" spans="1:33">
      <c r="A96" s="214" t="s">
        <v>1181</v>
      </c>
      <c r="C96" s="274">
        <f t="shared" ref="C96:W96" si="37">C62-C79</f>
        <v>2.8852120358691113E-4</v>
      </c>
      <c r="D96" s="274">
        <f t="shared" si="37"/>
        <v>7.7525130584821245E-4</v>
      </c>
      <c r="E96" s="274">
        <f t="shared" si="37"/>
        <v>1.4935829013891233E-3</v>
      </c>
      <c r="F96" s="274">
        <f t="shared" si="37"/>
        <v>2.4240646839868152E-3</v>
      </c>
      <c r="G96" s="274">
        <f t="shared" si="37"/>
        <v>3.5715925925453584E-3</v>
      </c>
      <c r="H96" s="274">
        <f t="shared" si="37"/>
        <v>4.8007520806069293E-3</v>
      </c>
      <c r="I96" s="274">
        <f t="shared" si="37"/>
        <v>6.1564409672485443E-3</v>
      </c>
      <c r="J96" s="274">
        <f t="shared" si="37"/>
        <v>7.5379130278264705E-3</v>
      </c>
      <c r="K96" s="274">
        <f t="shared" si="37"/>
        <v>9.1666789919765401E-3</v>
      </c>
      <c r="L96" s="274">
        <f t="shared" si="37"/>
        <v>9.8133637644679528E-3</v>
      </c>
      <c r="M96" s="274">
        <f t="shared" si="37"/>
        <v>1.1509947619675165E-2</v>
      </c>
      <c r="N96" s="274">
        <f t="shared" si="37"/>
        <v>1.3168278863049054E-2</v>
      </c>
      <c r="O96" s="274">
        <f t="shared" si="37"/>
        <v>1.5051376160482244E-2</v>
      </c>
      <c r="P96" s="274">
        <f t="shared" si="37"/>
        <v>1.7083496757310246E-2</v>
      </c>
      <c r="Q96" s="274">
        <f t="shared" si="37"/>
        <v>1.860937537804519E-2</v>
      </c>
      <c r="R96" s="274">
        <f t="shared" si="37"/>
        <v>1.9661635196300598E-2</v>
      </c>
      <c r="S96" s="274">
        <f t="shared" si="37"/>
        <v>2.0626173539752823E-2</v>
      </c>
      <c r="T96" s="274">
        <f t="shared" si="37"/>
        <v>2.1865524517935886E-2</v>
      </c>
      <c r="U96" s="274">
        <f t="shared" si="37"/>
        <v>2.292840236557836E-2</v>
      </c>
      <c r="V96" s="274">
        <f t="shared" si="37"/>
        <v>2.3997596553098632E-2</v>
      </c>
      <c r="W96" s="274">
        <f t="shared" si="37"/>
        <v>2.3924666765290148E-2</v>
      </c>
      <c r="X96" s="274">
        <f t="shared" ref="X96:AG96" si="38">X62-X79</f>
        <v>2.3905471863594818E-2</v>
      </c>
      <c r="Y96" s="274">
        <f t="shared" si="38"/>
        <v>2.3712232576782122E-2</v>
      </c>
      <c r="Z96" s="274">
        <f t="shared" si="38"/>
        <v>2.3696982886228235E-2</v>
      </c>
      <c r="AA96" s="274">
        <f t="shared" si="38"/>
        <v>2.3794106090209488E-2</v>
      </c>
      <c r="AB96" s="274">
        <f t="shared" si="38"/>
        <v>2.3769561958223551E-2</v>
      </c>
      <c r="AC96" s="274">
        <f t="shared" si="38"/>
        <v>2.3818524974037025E-2</v>
      </c>
      <c r="AD96" s="274">
        <f t="shared" si="38"/>
        <v>2.390185925410715E-2</v>
      </c>
      <c r="AE96" s="274">
        <f t="shared" si="38"/>
        <v>2.3851318862359916E-2</v>
      </c>
      <c r="AF96" s="274">
        <f t="shared" si="38"/>
        <v>2.3877157265832505E-2</v>
      </c>
      <c r="AG96" s="274">
        <f t="shared" si="38"/>
        <v>2.3868769363612374E-2</v>
      </c>
    </row>
    <row r="97" spans="1:33">
      <c r="A97" s="214" t="s">
        <v>1172</v>
      </c>
      <c r="C97" s="274">
        <f t="shared" ref="C97:W97" si="39">C63-C80</f>
        <v>7.8549371471949847E-3</v>
      </c>
      <c r="D97" s="274">
        <f t="shared" si="39"/>
        <v>3.7209692777928627E-2</v>
      </c>
      <c r="E97" s="274">
        <f t="shared" si="39"/>
        <v>7.3989190191607879E-2</v>
      </c>
      <c r="F97" s="274">
        <f t="shared" si="39"/>
        <v>0.11282975170786136</v>
      </c>
      <c r="G97" s="274">
        <f t="shared" si="39"/>
        <v>0.16171375465218407</v>
      </c>
      <c r="H97" s="274">
        <f t="shared" si="39"/>
        <v>0.21923865581633395</v>
      </c>
      <c r="I97" s="274">
        <f t="shared" si="39"/>
        <v>0.27818611216019207</v>
      </c>
      <c r="J97" s="274">
        <f t="shared" si="39"/>
        <v>0.33897363515955536</v>
      </c>
      <c r="K97" s="274">
        <f t="shared" si="39"/>
        <v>0.40382948094070237</v>
      </c>
      <c r="L97" s="274">
        <f t="shared" si="39"/>
        <v>0.41285370427852008</v>
      </c>
      <c r="M97" s="274">
        <f t="shared" si="39"/>
        <v>0.45924284065544807</v>
      </c>
      <c r="N97" s="274">
        <f t="shared" si="39"/>
        <v>0.50175591364065042</v>
      </c>
      <c r="O97" s="274">
        <f t="shared" si="39"/>
        <v>0.55216058091512377</v>
      </c>
      <c r="P97" s="274">
        <f t="shared" si="39"/>
        <v>0.60531755918635932</v>
      </c>
      <c r="Q97" s="274">
        <f t="shared" si="39"/>
        <v>0.64714038154546394</v>
      </c>
      <c r="R97" s="274">
        <f t="shared" si="39"/>
        <v>0.68320024284997061</v>
      </c>
      <c r="S97" s="274">
        <f t="shared" si="39"/>
        <v>0.71993820569721212</v>
      </c>
      <c r="T97" s="274">
        <f t="shared" si="39"/>
        <v>0.75809742214244968</v>
      </c>
      <c r="U97" s="274">
        <f t="shared" si="39"/>
        <v>0.79768420697974607</v>
      </c>
      <c r="V97" s="274">
        <f t="shared" si="39"/>
        <v>0.83764468847977636</v>
      </c>
      <c r="W97" s="274">
        <f t="shared" si="39"/>
        <v>0.86477167289732071</v>
      </c>
      <c r="X97" s="274">
        <f t="shared" ref="X97:AG97" si="40">X63-X80</f>
        <v>0.89588845498150826</v>
      </c>
      <c r="Y97" s="274">
        <f t="shared" si="40"/>
        <v>0.92655087879815712</v>
      </c>
      <c r="Z97" s="274">
        <f t="shared" si="40"/>
        <v>0.95671843191665884</v>
      </c>
      <c r="AA97" s="274">
        <f t="shared" si="40"/>
        <v>0.98675641576908868</v>
      </c>
      <c r="AB97" s="274">
        <f t="shared" si="40"/>
        <v>1.0169644382812324</v>
      </c>
      <c r="AC97" s="274">
        <f t="shared" si="40"/>
        <v>1.0479831339795096</v>
      </c>
      <c r="AD97" s="274">
        <f t="shared" si="40"/>
        <v>1.0781561312030248</v>
      </c>
      <c r="AE97" s="274">
        <f t="shared" si="40"/>
        <v>1.1072310233178961</v>
      </c>
      <c r="AF97" s="274">
        <f t="shared" si="40"/>
        <v>1.1360273936808234</v>
      </c>
      <c r="AG97" s="274">
        <f t="shared" si="40"/>
        <v>1.1653522993081049</v>
      </c>
    </row>
    <row r="98" spans="1:33" s="217" customFormat="1">
      <c r="A98" s="217" t="s">
        <v>1173</v>
      </c>
      <c r="C98" s="274">
        <f t="shared" ref="C98:W98" si="41">C64-C81</f>
        <v>0.10952758066950352</v>
      </c>
      <c r="D98" s="274">
        <f t="shared" si="41"/>
        <v>0.28538532080154511</v>
      </c>
      <c r="E98" s="274">
        <f t="shared" si="41"/>
        <v>0.7595190092503179</v>
      </c>
      <c r="F98" s="274">
        <f t="shared" si="41"/>
        <v>0.72057994274778148</v>
      </c>
      <c r="G98" s="274">
        <f t="shared" si="41"/>
        <v>1.0120820803151678</v>
      </c>
      <c r="H98" s="274">
        <f t="shared" si="41"/>
        <v>1.5261699338376471</v>
      </c>
      <c r="I98" s="274">
        <f t="shared" si="41"/>
        <v>1.5981137976943571</v>
      </c>
      <c r="J98" s="274">
        <f t="shared" si="41"/>
        <v>1.600157975353425</v>
      </c>
      <c r="K98" s="274">
        <f t="shared" si="41"/>
        <v>1.6095756786460576</v>
      </c>
      <c r="L98" s="274">
        <f t="shared" si="41"/>
        <v>1.3750417624294475</v>
      </c>
      <c r="M98" s="274">
        <f t="shared" si="41"/>
        <v>1.4068777555548806</v>
      </c>
      <c r="N98" s="274">
        <f t="shared" si="41"/>
        <v>1.4442029611638298</v>
      </c>
      <c r="O98" s="274">
        <f t="shared" si="41"/>
        <v>1.5105305498419446</v>
      </c>
      <c r="P98" s="274">
        <f t="shared" si="41"/>
        <v>1.6215204480236121</v>
      </c>
      <c r="Q98" s="274">
        <f t="shared" si="41"/>
        <v>1.7345408432833263</v>
      </c>
      <c r="R98" s="274">
        <f t="shared" si="41"/>
        <v>1.851892151149015</v>
      </c>
      <c r="S98" s="274">
        <f t="shared" si="41"/>
        <v>1.9665481262704412</v>
      </c>
      <c r="T98" s="274">
        <f t="shared" si="41"/>
        <v>2.0850756988749612</v>
      </c>
      <c r="U98" s="274">
        <f t="shared" si="41"/>
        <v>2.2055392522620467</v>
      </c>
      <c r="V98" s="274">
        <f t="shared" si="41"/>
        <v>2.3279295077590358</v>
      </c>
      <c r="W98" s="274">
        <f t="shared" si="41"/>
        <v>2.4522374131294509</v>
      </c>
      <c r="X98" s="274">
        <f t="shared" ref="X98:AG98" si="42">X64-X81</f>
        <v>2.5784129499574444</v>
      </c>
      <c r="Y98" s="274">
        <f t="shared" si="42"/>
        <v>2.7064709402881655</v>
      </c>
      <c r="Z98" s="274">
        <f t="shared" si="42"/>
        <v>2.8363888990072148</v>
      </c>
      <c r="AA98" s="274">
        <f t="shared" si="42"/>
        <v>2.9681430666720323</v>
      </c>
      <c r="AB98" s="274">
        <f t="shared" si="42"/>
        <v>3.1017152821867966</v>
      </c>
      <c r="AC98" s="274">
        <f t="shared" si="42"/>
        <v>3.1373765339443991</v>
      </c>
      <c r="AD98" s="274">
        <f t="shared" si="42"/>
        <v>3.1730377857019918</v>
      </c>
      <c r="AE98" s="274">
        <f t="shared" si="42"/>
        <v>3.2086990374595956</v>
      </c>
      <c r="AF98" s="274">
        <f t="shared" si="42"/>
        <v>3.244360289217199</v>
      </c>
      <c r="AG98" s="274">
        <f t="shared" si="42"/>
        <v>3.2800215409747904</v>
      </c>
    </row>
    <row r="99" spans="1:33">
      <c r="A99" s="214" t="s">
        <v>1174</v>
      </c>
      <c r="C99" s="287">
        <f t="shared" ref="C99:W99" si="43">C65-C82</f>
        <v>1.1560354019930497E-3</v>
      </c>
      <c r="D99" s="287">
        <f t="shared" si="43"/>
        <v>3.1179507630254566E-3</v>
      </c>
      <c r="E99" s="287">
        <f t="shared" si="43"/>
        <v>6.0299695493091221E-3</v>
      </c>
      <c r="F99" s="287">
        <f t="shared" si="43"/>
        <v>9.781193339689187E-3</v>
      </c>
      <c r="G99" s="287">
        <f t="shared" si="43"/>
        <v>1.4219815913912859E-2</v>
      </c>
      <c r="H99" s="287">
        <f t="shared" si="43"/>
        <v>1.906647891842006E-2</v>
      </c>
      <c r="I99" s="287">
        <f t="shared" si="43"/>
        <v>2.4617801090504488E-2</v>
      </c>
      <c r="J99" s="287">
        <f t="shared" si="43"/>
        <v>3.0525124299705109E-2</v>
      </c>
      <c r="K99" s="287">
        <f t="shared" si="43"/>
        <v>3.7573932327906956E-2</v>
      </c>
      <c r="L99" s="287">
        <f t="shared" si="43"/>
        <v>4.4844928541773577E-2</v>
      </c>
      <c r="M99" s="287">
        <f t="shared" si="43"/>
        <v>5.3344127692904975E-2</v>
      </c>
      <c r="N99" s="287">
        <f t="shared" si="43"/>
        <v>6.2641834263035934E-2</v>
      </c>
      <c r="O99" s="287">
        <f t="shared" si="43"/>
        <v>7.2393976802126003E-2</v>
      </c>
      <c r="P99" s="287">
        <f t="shared" si="43"/>
        <v>8.3120873664175532E-2</v>
      </c>
      <c r="Q99" s="287">
        <f t="shared" si="43"/>
        <v>9.1387800934874086E-2</v>
      </c>
      <c r="R99" s="287">
        <f t="shared" si="43"/>
        <v>9.7707000463259641E-2</v>
      </c>
      <c r="S99" s="287">
        <f t="shared" si="43"/>
        <v>0.10381719378507959</v>
      </c>
      <c r="T99" s="287">
        <f t="shared" si="43"/>
        <v>0.11119628129376657</v>
      </c>
      <c r="U99" s="287">
        <f t="shared" si="43"/>
        <v>0.11821342475719576</v>
      </c>
      <c r="V99" s="287">
        <f t="shared" si="43"/>
        <v>0.12515204262509294</v>
      </c>
      <c r="W99" s="287">
        <f t="shared" si="43"/>
        <v>0.12627590058346927</v>
      </c>
      <c r="X99" s="287">
        <f t="shared" ref="X99:AG99" si="44">X65-X82</f>
        <v>0.12796496815466929</v>
      </c>
      <c r="Y99" s="287">
        <f t="shared" si="44"/>
        <v>0.12858652936976966</v>
      </c>
      <c r="Z99" s="287">
        <f t="shared" si="44"/>
        <v>0.1298241720424973</v>
      </c>
      <c r="AA99" s="287">
        <f t="shared" si="44"/>
        <v>0.13212955255069869</v>
      </c>
      <c r="AB99" s="287">
        <f t="shared" si="44"/>
        <v>0.13354972225998263</v>
      </c>
      <c r="AC99" s="287">
        <f t="shared" si="44"/>
        <v>0.13562531603065642</v>
      </c>
      <c r="AD99" s="287">
        <f t="shared" si="44"/>
        <v>0.1379146458071645</v>
      </c>
      <c r="AE99" s="287">
        <f t="shared" si="44"/>
        <v>0.13961344206565762</v>
      </c>
      <c r="AF99" s="287">
        <f t="shared" si="44"/>
        <v>0.14118858033977011</v>
      </c>
      <c r="AG99" s="287">
        <f t="shared" si="44"/>
        <v>0.14284437500266378</v>
      </c>
    </row>
    <row r="100" spans="1:33">
      <c r="A100" s="214" t="s">
        <v>1175</v>
      </c>
      <c r="C100" s="274">
        <f t="shared" ref="C100:W100" si="45">C66-C83</f>
        <v>3.2533167441086697E-2</v>
      </c>
      <c r="D100" s="274">
        <f t="shared" si="45"/>
        <v>8.6833090238889632E-2</v>
      </c>
      <c r="E100" s="274">
        <f t="shared" si="45"/>
        <v>0.16307498356624617</v>
      </c>
      <c r="F100" s="274">
        <f t="shared" si="45"/>
        <v>0.25514812668863307</v>
      </c>
      <c r="G100" s="274">
        <f t="shared" si="45"/>
        <v>0.39403735748083246</v>
      </c>
      <c r="H100" s="274">
        <f t="shared" si="45"/>
        <v>0.51676964572988915</v>
      </c>
      <c r="I100" s="274">
        <f t="shared" si="45"/>
        <v>0.68866301264376961</v>
      </c>
      <c r="J100" s="274">
        <f t="shared" si="45"/>
        <v>0.86154595450231408</v>
      </c>
      <c r="K100" s="274">
        <f t="shared" si="45"/>
        <v>1.0630858274652977</v>
      </c>
      <c r="L100" s="274">
        <f t="shared" si="45"/>
        <v>1.2351501805355003</v>
      </c>
      <c r="M100" s="274">
        <f t="shared" si="45"/>
        <v>1.3469062417166437</v>
      </c>
      <c r="N100" s="274">
        <f t="shared" si="45"/>
        <v>1.4434063815380087</v>
      </c>
      <c r="O100" s="274">
        <f t="shared" si="45"/>
        <v>1.5002934029125754</v>
      </c>
      <c r="P100" s="274">
        <f t="shared" si="45"/>
        <v>1.5753003421864813</v>
      </c>
      <c r="Q100" s="274">
        <f t="shared" si="45"/>
        <v>1.6023142119409517</v>
      </c>
      <c r="R100" s="274">
        <f t="shared" si="45"/>
        <v>1.5840560551929093</v>
      </c>
      <c r="S100" s="274">
        <f t="shared" si="45"/>
        <v>1.5811122959685782</v>
      </c>
      <c r="T100" s="274">
        <f t="shared" si="45"/>
        <v>1.5748524042455023</v>
      </c>
      <c r="U100" s="274">
        <f t="shared" si="45"/>
        <v>1.5871296949180285</v>
      </c>
      <c r="V100" s="274">
        <f t="shared" si="45"/>
        <v>1.5902736902565273</v>
      </c>
      <c r="W100" s="274">
        <f t="shared" si="45"/>
        <v>1.5814166125336886</v>
      </c>
      <c r="X100" s="274">
        <f t="shared" ref="X100:AG100" si="46">X66-X83</f>
        <v>1.5996445825533083</v>
      </c>
      <c r="Y100" s="274">
        <f t="shared" si="46"/>
        <v>1.5936464804591179</v>
      </c>
      <c r="Z100" s="274">
        <f t="shared" si="46"/>
        <v>1.5913015515028972</v>
      </c>
      <c r="AA100" s="274">
        <f t="shared" si="46"/>
        <v>1.5914658540702806</v>
      </c>
      <c r="AB100" s="274">
        <f t="shared" si="46"/>
        <v>1.608098960500584</v>
      </c>
      <c r="AC100" s="274">
        <f t="shared" si="46"/>
        <v>1.5956946330468083</v>
      </c>
      <c r="AD100" s="274">
        <f t="shared" si="46"/>
        <v>1.5869953896637665</v>
      </c>
      <c r="AE100" s="274">
        <f t="shared" si="46"/>
        <v>1.5709126358028778</v>
      </c>
      <c r="AF100" s="274">
        <f t="shared" si="46"/>
        <v>1.5579511941143487</v>
      </c>
      <c r="AG100" s="274">
        <f t="shared" si="46"/>
        <v>1.5475163172463766</v>
      </c>
    </row>
    <row r="101" spans="1:33" s="217" customFormat="1">
      <c r="A101" s="217" t="s">
        <v>1176</v>
      </c>
      <c r="C101" s="274">
        <f t="shared" ref="C101:W101" si="47">C67-C84</f>
        <v>8.2828871197059506E-2</v>
      </c>
      <c r="D101" s="274">
        <f t="shared" si="47"/>
        <v>0.21254212186155108</v>
      </c>
      <c r="E101" s="274">
        <f t="shared" si="47"/>
        <v>0.57988639264507569</v>
      </c>
      <c r="F101" s="274">
        <f t="shared" si="47"/>
        <v>0.56107564580829683</v>
      </c>
      <c r="G101" s="274">
        <f t="shared" si="47"/>
        <v>0.81071380703483675</v>
      </c>
      <c r="H101" s="274">
        <f t="shared" si="47"/>
        <v>1.2577520074183677</v>
      </c>
      <c r="I101" s="274">
        <f t="shared" si="47"/>
        <v>1.3504759962743245</v>
      </c>
      <c r="J101" s="274">
        <f t="shared" si="47"/>
        <v>1.3777431312177399</v>
      </c>
      <c r="K101" s="274">
        <f t="shared" si="47"/>
        <v>1.4030992632092107</v>
      </c>
      <c r="L101" s="274">
        <f t="shared" si="47"/>
        <v>1.2061071531176619</v>
      </c>
      <c r="M101" s="274">
        <f t="shared" si="47"/>
        <v>1.2383349869655282</v>
      </c>
      <c r="N101" s="274">
        <f t="shared" si="47"/>
        <v>1.2576201778867433</v>
      </c>
      <c r="O101" s="274">
        <f t="shared" si="47"/>
        <v>1.3173234377104643</v>
      </c>
      <c r="P101" s="274">
        <f t="shared" si="47"/>
        <v>1.4169199367525265</v>
      </c>
      <c r="Q101" s="274">
        <f t="shared" si="47"/>
        <v>1.5183771250663465</v>
      </c>
      <c r="R101" s="274">
        <f t="shared" si="47"/>
        <v>1.6233346284372732</v>
      </c>
      <c r="S101" s="274">
        <f t="shared" si="47"/>
        <v>1.7218833809056122</v>
      </c>
      <c r="T101" s="274">
        <f t="shared" si="47"/>
        <v>1.8269068347729307</v>
      </c>
      <c r="U101" s="274">
        <f t="shared" si="47"/>
        <v>1.9340287985779354</v>
      </c>
      <c r="V101" s="274">
        <f t="shared" si="47"/>
        <v>2.0432580523650543</v>
      </c>
      <c r="W101" s="274">
        <f t="shared" si="47"/>
        <v>2.1545451751414539</v>
      </c>
      <c r="X101" s="274">
        <f t="shared" ref="X101:AG101" si="48">X67-X84</f>
        <v>2.2680143780770066</v>
      </c>
      <c r="Y101" s="274">
        <f t="shared" si="48"/>
        <v>2.3836842953738553</v>
      </c>
      <c r="Z101" s="274">
        <f t="shared" si="48"/>
        <v>2.5015550901795822</v>
      </c>
      <c r="AA101" s="274">
        <f t="shared" si="48"/>
        <v>2.6216305479145268</v>
      </c>
      <c r="AB101" s="274">
        <f t="shared" si="48"/>
        <v>2.7439162746965136</v>
      </c>
      <c r="AC101" s="274">
        <f t="shared" si="48"/>
        <v>2.7749984489703388</v>
      </c>
      <c r="AD101" s="274">
        <f t="shared" si="48"/>
        <v>2.8060806232441649</v>
      </c>
      <c r="AE101" s="274">
        <f t="shared" si="48"/>
        <v>2.8371627975179905</v>
      </c>
      <c r="AF101" s="274">
        <f t="shared" si="48"/>
        <v>2.868244971791817</v>
      </c>
      <c r="AG101" s="274">
        <f t="shared" si="48"/>
        <v>2.8993271460656418</v>
      </c>
    </row>
    <row r="102" spans="1:33">
      <c r="A102" s="214" t="s">
        <v>1177</v>
      </c>
      <c r="C102" s="287">
        <f t="shared" ref="C102:W102" si="49">C68-C85</f>
        <v>0</v>
      </c>
      <c r="D102" s="287">
        <f t="shared" si="49"/>
        <v>0</v>
      </c>
      <c r="E102" s="287">
        <f t="shared" si="49"/>
        <v>0</v>
      </c>
      <c r="F102" s="287">
        <f t="shared" si="49"/>
        <v>0</v>
      </c>
      <c r="G102" s="287">
        <f t="shared" si="49"/>
        <v>0</v>
      </c>
      <c r="H102" s="287">
        <f t="shared" si="49"/>
        <v>0</v>
      </c>
      <c r="I102" s="287">
        <f t="shared" si="49"/>
        <v>0</v>
      </c>
      <c r="J102" s="287">
        <f t="shared" si="49"/>
        <v>0</v>
      </c>
      <c r="K102" s="287">
        <f t="shared" si="49"/>
        <v>0</v>
      </c>
      <c r="L102" s="287">
        <f t="shared" si="49"/>
        <v>0</v>
      </c>
      <c r="M102" s="287">
        <f t="shared" si="49"/>
        <v>0</v>
      </c>
      <c r="N102" s="287">
        <f t="shared" si="49"/>
        <v>0</v>
      </c>
      <c r="O102" s="287">
        <f t="shared" si="49"/>
        <v>0</v>
      </c>
      <c r="P102" s="287">
        <f t="shared" si="49"/>
        <v>0</v>
      </c>
      <c r="Q102" s="287">
        <f t="shared" si="49"/>
        <v>0</v>
      </c>
      <c r="R102" s="287">
        <f t="shared" si="49"/>
        <v>0</v>
      </c>
      <c r="S102" s="287">
        <f t="shared" si="49"/>
        <v>0</v>
      </c>
      <c r="T102" s="287">
        <f t="shared" si="49"/>
        <v>0</v>
      </c>
      <c r="U102" s="287">
        <f t="shared" si="49"/>
        <v>0</v>
      </c>
      <c r="V102" s="287">
        <f t="shared" si="49"/>
        <v>0</v>
      </c>
      <c r="W102" s="287">
        <f t="shared" si="49"/>
        <v>0</v>
      </c>
      <c r="X102" s="287">
        <f t="shared" ref="X102:AG102" si="50">X68-X85</f>
        <v>0</v>
      </c>
      <c r="Y102" s="287">
        <f t="shared" si="50"/>
        <v>0</v>
      </c>
      <c r="Z102" s="287">
        <f t="shared" si="50"/>
        <v>0</v>
      </c>
      <c r="AA102" s="287">
        <f t="shared" si="50"/>
        <v>0</v>
      </c>
      <c r="AB102" s="287">
        <f t="shared" si="50"/>
        <v>0</v>
      </c>
      <c r="AC102" s="287">
        <f t="shared" si="50"/>
        <v>0</v>
      </c>
      <c r="AD102" s="287">
        <f t="shared" si="50"/>
        <v>0</v>
      </c>
      <c r="AE102" s="287">
        <f t="shared" si="50"/>
        <v>0</v>
      </c>
      <c r="AF102" s="287">
        <f t="shared" si="50"/>
        <v>0</v>
      </c>
      <c r="AG102" s="287">
        <f t="shared" si="50"/>
        <v>0</v>
      </c>
    </row>
    <row r="103" spans="1:33">
      <c r="A103" s="214" t="s">
        <v>334</v>
      </c>
      <c r="C103" s="274">
        <f t="shared" ref="C103:W103" si="51">C69-C86</f>
        <v>6.1800477728287007E-2</v>
      </c>
      <c r="D103" s="274">
        <f t="shared" si="51"/>
        <v>0.14209715397189981</v>
      </c>
      <c r="E103" s="274">
        <f t="shared" si="51"/>
        <v>0.23942617319569948</v>
      </c>
      <c r="F103" s="274">
        <f t="shared" si="51"/>
        <v>0.35317979791599541</v>
      </c>
      <c r="G103" s="274">
        <f t="shared" si="51"/>
        <v>0.44983335607064845</v>
      </c>
      <c r="H103" s="274">
        <f t="shared" si="51"/>
        <v>0.58128496603710644</v>
      </c>
      <c r="I103" s="274">
        <f t="shared" si="51"/>
        <v>0.7096348390967222</v>
      </c>
      <c r="J103" s="274">
        <f t="shared" si="51"/>
        <v>0.84745502500291181</v>
      </c>
      <c r="K103" s="274">
        <f t="shared" si="51"/>
        <v>0.99193855116589091</v>
      </c>
      <c r="L103" s="274">
        <f t="shared" si="51"/>
        <v>1.1329641985110044</v>
      </c>
      <c r="M103" s="274">
        <f t="shared" si="51"/>
        <v>1.1979546658662485</v>
      </c>
      <c r="N103" s="274">
        <f t="shared" si="51"/>
        <v>1.2507312443881311</v>
      </c>
      <c r="O103" s="274">
        <f t="shared" si="51"/>
        <v>1.3101297593547301</v>
      </c>
      <c r="P103" s="274">
        <f t="shared" si="51"/>
        <v>1.3687765687730273</v>
      </c>
      <c r="Q103" s="274">
        <f t="shared" si="51"/>
        <v>1.3774915569985247</v>
      </c>
      <c r="R103" s="274">
        <f t="shared" si="51"/>
        <v>1.3648539224412719</v>
      </c>
      <c r="S103" s="274">
        <f t="shared" si="51"/>
        <v>1.3636534174390835</v>
      </c>
      <c r="T103" s="274">
        <f t="shared" si="51"/>
        <v>1.3515809684806062</v>
      </c>
      <c r="U103" s="274">
        <f t="shared" si="51"/>
        <v>1.3512448050827182</v>
      </c>
      <c r="V103" s="274">
        <f t="shared" si="51"/>
        <v>1.3506005600083419</v>
      </c>
      <c r="W103" s="274">
        <f t="shared" si="51"/>
        <v>1.3504002221875648</v>
      </c>
      <c r="X103" s="274">
        <f t="shared" ref="X103:AG103" si="52">X69-X86</f>
        <v>1.3561433838744428</v>
      </c>
      <c r="Y103" s="274">
        <f t="shared" si="52"/>
        <v>1.3637023860503152</v>
      </c>
      <c r="Z103" s="274">
        <f t="shared" si="52"/>
        <v>1.3739956040787806</v>
      </c>
      <c r="AA103" s="274">
        <f t="shared" si="52"/>
        <v>1.3850631062502146</v>
      </c>
      <c r="AB103" s="274">
        <f t="shared" si="52"/>
        <v>1.3948252082679158</v>
      </c>
      <c r="AC103" s="274">
        <f t="shared" si="52"/>
        <v>1.4126768521271451</v>
      </c>
      <c r="AD103" s="274">
        <f t="shared" si="52"/>
        <v>1.4250839100331678</v>
      </c>
      <c r="AE103" s="274">
        <f t="shared" si="52"/>
        <v>1.4350151771442388</v>
      </c>
      <c r="AF103" s="274">
        <f t="shared" si="52"/>
        <v>1.4476337424094083</v>
      </c>
      <c r="AG103" s="274">
        <f t="shared" si="52"/>
        <v>1.4583818336726733</v>
      </c>
    </row>
    <row r="104" spans="1:33">
      <c r="A104" s="214" t="s">
        <v>335</v>
      </c>
      <c r="C104" s="274">
        <f t="shared" ref="C104:W104" si="53">C70-C87</f>
        <v>1.4385072219731398E-2</v>
      </c>
      <c r="D104" s="274">
        <f t="shared" si="53"/>
        <v>3.5505888265019436E-2</v>
      </c>
      <c r="E104" s="274">
        <f t="shared" si="53"/>
        <v>6.2782599715477616E-2</v>
      </c>
      <c r="F104" s="274">
        <f t="shared" si="53"/>
        <v>9.7046041668841454E-2</v>
      </c>
      <c r="G104" s="274">
        <f t="shared" si="53"/>
        <v>0.12532828229021575</v>
      </c>
      <c r="H104" s="274">
        <f t="shared" si="53"/>
        <v>0.16881738052306794</v>
      </c>
      <c r="I104" s="274">
        <f t="shared" si="53"/>
        <v>0.21965603755314689</v>
      </c>
      <c r="J104" s="274">
        <f t="shared" si="53"/>
        <v>0.27421850994543817</v>
      </c>
      <c r="K104" s="274">
        <f t="shared" si="53"/>
        <v>0.33401735898108775</v>
      </c>
      <c r="L104" s="274">
        <f t="shared" si="53"/>
        <v>0.39260464306876131</v>
      </c>
      <c r="M104" s="274">
        <f t="shared" si="53"/>
        <v>0.4210245922789575</v>
      </c>
      <c r="N104" s="274">
        <f t="shared" si="53"/>
        <v>0.44622577722281065</v>
      </c>
      <c r="O104" s="274">
        <f t="shared" si="53"/>
        <v>0.47367577418852314</v>
      </c>
      <c r="P104" s="274">
        <f t="shared" si="53"/>
        <v>0.49750665627673207</v>
      </c>
      <c r="Q104" s="274">
        <f t="shared" si="53"/>
        <v>0.50256637653449765</v>
      </c>
      <c r="R104" s="274">
        <f t="shared" si="53"/>
        <v>0.5038695507002906</v>
      </c>
      <c r="S104" s="274">
        <f t="shared" si="53"/>
        <v>0.50231521117326139</v>
      </c>
      <c r="T104" s="274">
        <f t="shared" si="53"/>
        <v>0.4976437349294347</v>
      </c>
      <c r="U104" s="274">
        <f t="shared" si="53"/>
        <v>0.4968112119794732</v>
      </c>
      <c r="V104" s="274">
        <f t="shared" si="53"/>
        <v>0.49612946908609956</v>
      </c>
      <c r="W104" s="274">
        <f t="shared" si="53"/>
        <v>0.49525149746454211</v>
      </c>
      <c r="X104" s="274">
        <f t="shared" ref="X104:AG104" si="54">X70-X87</f>
        <v>0.49460585096259813</v>
      </c>
      <c r="Y104" s="274">
        <f t="shared" si="54"/>
        <v>0.49519618782676211</v>
      </c>
      <c r="Z104" s="274">
        <f t="shared" si="54"/>
        <v>0.49484560469372418</v>
      </c>
      <c r="AA104" s="274">
        <f t="shared" si="54"/>
        <v>0.49740067554463252</v>
      </c>
      <c r="AB104" s="274">
        <f t="shared" si="54"/>
        <v>0.4983746674169538</v>
      </c>
      <c r="AC104" s="274">
        <f t="shared" si="54"/>
        <v>0.50183901513858586</v>
      </c>
      <c r="AD104" s="274">
        <f t="shared" si="54"/>
        <v>0.50306338482394608</v>
      </c>
      <c r="AE104" s="274">
        <f t="shared" si="54"/>
        <v>0.50467225514649172</v>
      </c>
      <c r="AF104" s="274">
        <f t="shared" si="54"/>
        <v>0.5089755275872907</v>
      </c>
      <c r="AG104" s="274">
        <f t="shared" si="54"/>
        <v>0.50990447559409446</v>
      </c>
    </row>
    <row r="105" spans="1:33">
      <c r="A105" s="214" t="s">
        <v>457</v>
      </c>
      <c r="C105" s="274">
        <f t="shared" ref="C105:M105" si="55">C71-C88</f>
        <v>0</v>
      </c>
      <c r="D105" s="274">
        <f t="shared" si="55"/>
        <v>0</v>
      </c>
      <c r="E105" s="274">
        <f t="shared" si="55"/>
        <v>0</v>
      </c>
      <c r="F105" s="274">
        <f t="shared" si="55"/>
        <v>0</v>
      </c>
      <c r="G105" s="274">
        <f t="shared" si="55"/>
        <v>0</v>
      </c>
      <c r="H105" s="274">
        <f t="shared" si="55"/>
        <v>0</v>
      </c>
      <c r="I105" s="274">
        <f t="shared" si="55"/>
        <v>0</v>
      </c>
      <c r="J105" s="274">
        <f t="shared" si="55"/>
        <v>0</v>
      </c>
      <c r="K105" s="274">
        <f t="shared" si="55"/>
        <v>0</v>
      </c>
      <c r="L105" s="274">
        <f t="shared" si="55"/>
        <v>0</v>
      </c>
      <c r="M105" s="274">
        <f t="shared" si="55"/>
        <v>0</v>
      </c>
      <c r="N105" s="274">
        <f t="shared" ref="N105:W105" si="56">N71-N88</f>
        <v>0</v>
      </c>
      <c r="O105" s="274">
        <f t="shared" si="56"/>
        <v>0</v>
      </c>
      <c r="P105" s="274">
        <f t="shared" si="56"/>
        <v>0</v>
      </c>
      <c r="Q105" s="274">
        <f t="shared" si="56"/>
        <v>0</v>
      </c>
      <c r="R105" s="274">
        <f t="shared" si="56"/>
        <v>0</v>
      </c>
      <c r="S105" s="274">
        <f t="shared" si="56"/>
        <v>0</v>
      </c>
      <c r="T105" s="274">
        <f t="shared" si="56"/>
        <v>0</v>
      </c>
      <c r="U105" s="274">
        <f t="shared" si="56"/>
        <v>0</v>
      </c>
      <c r="V105" s="274">
        <f t="shared" si="56"/>
        <v>0</v>
      </c>
      <c r="W105" s="274">
        <f t="shared" si="56"/>
        <v>0</v>
      </c>
      <c r="X105" s="274">
        <f t="shared" ref="X105:AG105" si="57">X71-X88</f>
        <v>0</v>
      </c>
      <c r="Y105" s="274">
        <f t="shared" si="57"/>
        <v>0</v>
      </c>
      <c r="Z105" s="274">
        <f t="shared" si="57"/>
        <v>0</v>
      </c>
      <c r="AA105" s="274">
        <f t="shared" si="57"/>
        <v>0</v>
      </c>
      <c r="AB105" s="274">
        <f t="shared" si="57"/>
        <v>0</v>
      </c>
      <c r="AC105" s="274">
        <f t="shared" si="57"/>
        <v>0</v>
      </c>
      <c r="AD105" s="274">
        <f t="shared" si="57"/>
        <v>0</v>
      </c>
      <c r="AE105" s="274">
        <f t="shared" si="57"/>
        <v>0</v>
      </c>
      <c r="AF105" s="274">
        <f t="shared" si="57"/>
        <v>0</v>
      </c>
      <c r="AG105" s="274">
        <f t="shared" si="57"/>
        <v>0</v>
      </c>
    </row>
    <row r="106" spans="1:33" s="215" customFormat="1">
      <c r="A106" s="32" t="s">
        <v>1185</v>
      </c>
      <c r="B106" s="32"/>
      <c r="C106" s="274">
        <f>-('Adjusted Emissions'!B88-'Baseline Emissions'!Q87)-SUM(C92:C105)</f>
        <v>3.4635510130236524E-2</v>
      </c>
      <c r="D106" s="274">
        <f>-('Adjusted Emissions'!C88-'Baseline Emissions'!R87)-SUM(D92:D105)</f>
        <v>9.3365529616731502E-2</v>
      </c>
      <c r="E106" s="274">
        <f>-('Adjusted Emissions'!D88-'Baseline Emissions'!S87)-SUM(E92:E105)</f>
        <v>0.17594963201480285</v>
      </c>
      <c r="F106" s="274">
        <f>-('Adjusted Emissions'!E88-'Baseline Emissions'!T87)-SUM(F92:F105)</f>
        <v>0.26290322852070735</v>
      </c>
      <c r="G106" s="274">
        <f>-('Adjusted Emissions'!F88-'Baseline Emissions'!U87)-SUM(G92:G105)</f>
        <v>0.37601175290761812</v>
      </c>
      <c r="H106" s="274">
        <f>-('Adjusted Emissions'!G88-'Baseline Emissions'!V87)-SUM(H92:H105)</f>
        <v>0.5145720423838398</v>
      </c>
      <c r="I106" s="274">
        <f>-('Adjusted Emissions'!H88-'Baseline Emissions'!W87)-SUM(I92:I105)</f>
        <v>0.64650517593375589</v>
      </c>
      <c r="J106" s="274">
        <f>-('Adjusted Emissions'!I88-'Baseline Emissions'!X87)-SUM(J92:J105)</f>
        <v>0.79194009357033224</v>
      </c>
      <c r="K106" s="274">
        <f>-('Adjusted Emissions'!J88-'Baseline Emissions'!Y87)-SUM(K92:K105)</f>
        <v>0.96844852339756571</v>
      </c>
      <c r="L106" s="274">
        <f>-('Adjusted Emissions'!K88-'Baseline Emissions'!Z87)-SUM(L92:L105)</f>
        <v>1.1519239481127759</v>
      </c>
      <c r="M106" s="274">
        <f>-('Adjusted Emissions'!L88-'Baseline Emissions'!AA87)-SUM(M92:M105)</f>
        <v>1.2486969655033668</v>
      </c>
      <c r="N106" s="274">
        <f>-('Adjusted Emissions'!M88-'Baseline Emissions'!AB87)-SUM(N92:N105)</f>
        <v>1.3553416058013212</v>
      </c>
      <c r="O106" s="274">
        <f>-('Adjusted Emissions'!N88-'Baseline Emissions'!AC87)-SUM(O92:O105)</f>
        <v>1.4465312714770384</v>
      </c>
      <c r="P106" s="274">
        <f>-('Adjusted Emissions'!O88-'Baseline Emissions'!AD87)-SUM(P92:P105)</f>
        <v>1.5676299280088948</v>
      </c>
      <c r="Q106" s="274">
        <f>-('Adjusted Emissions'!P88-'Baseline Emissions'!AE87)-SUM(Q92:Q105)</f>
        <v>1.6430893739228214</v>
      </c>
      <c r="R106" s="274">
        <f>-('Adjusted Emissions'!Q88-'Baseline Emissions'!AF87)-SUM(R92:R105)</f>
        <v>1.6565770829289175</v>
      </c>
      <c r="S106" s="274">
        <f>-('Adjusted Emissions'!R88-'Baseline Emissions'!AG87)-SUM(S92:S105)</f>
        <v>1.6454794868598412</v>
      </c>
      <c r="T106" s="274">
        <f>-('Adjusted Emissions'!S88-'Baseline Emissions'!AH87)-SUM(T92:T105)</f>
        <v>1.6565589877790892</v>
      </c>
      <c r="U106" s="274">
        <f>-('Adjusted Emissions'!T88-'Baseline Emissions'!AI87)-SUM(U92:U105)</f>
        <v>1.6794430525318802</v>
      </c>
      <c r="V106" s="274">
        <f>-('Adjusted Emissions'!U88-'Baseline Emissions'!AJ87)-SUM(V92:V105)</f>
        <v>1.7381494573975385</v>
      </c>
      <c r="W106" s="274">
        <f>-('Adjusted Emissions'!V88-'Baseline Emissions'!AK87)-SUM(W92:W105)</f>
        <v>1.734239088589991</v>
      </c>
      <c r="X106" s="274">
        <f>-('Adjusted Emissions'!W88-'Baseline Emissions'!AL87)-SUM(X92:X105)</f>
        <v>1.7666765124637074</v>
      </c>
      <c r="Y106" s="274">
        <f>-('Adjusted Emissions'!X88-'Baseline Emissions'!AM87)-SUM(Y92:Y105)</f>
        <v>1.7848881045222686</v>
      </c>
      <c r="Z106" s="274">
        <f>-('Adjusted Emissions'!Y88-'Baseline Emissions'!AN87)-SUM(Z92:Z105)</f>
        <v>1.8059983226376914</v>
      </c>
      <c r="AA106" s="274">
        <f>-('Adjusted Emissions'!Z88-'Baseline Emissions'!AO87)-SUM(AA92:AA105)</f>
        <v>1.7987985381195308</v>
      </c>
      <c r="AB106" s="274">
        <f>-('Adjusted Emissions'!AA88-'Baseline Emissions'!AP87)-SUM(AB92:AB105)</f>
        <v>1.8308010016484637</v>
      </c>
      <c r="AC106" s="274">
        <f>-('Adjusted Emissions'!AB88-'Baseline Emissions'!AQ87)-SUM(AC92:AC105)</f>
        <v>1.8343077850364615</v>
      </c>
      <c r="AD106" s="274">
        <f>-('Adjusted Emissions'!AC88-'Baseline Emissions'!AR87)-SUM(AD92:AD105)</f>
        <v>1.8294309091728067</v>
      </c>
      <c r="AE106" s="274">
        <f>-('Adjusted Emissions'!AD88-'Baseline Emissions'!AS87)-SUM(AE92:AE105)</f>
        <v>1.8177387942240824</v>
      </c>
      <c r="AF106" s="274">
        <f>-('Adjusted Emissions'!AE88-'Baseline Emissions'!AT87)-SUM(AF92:AF105)</f>
        <v>1.8142650833597074</v>
      </c>
      <c r="AG106" s="274">
        <f>-('Adjusted Emissions'!AF88-'Baseline Emissions'!AU87)-SUM(AG92:AG105)</f>
        <v>1.8344462105207047</v>
      </c>
    </row>
    <row r="107" spans="1:33" s="215" customFormat="1">
      <c r="A107" s="1" t="s">
        <v>1186</v>
      </c>
      <c r="C107" s="289">
        <f t="shared" ref="C107:W107" si="58">C106+SUM(C92:C105)</f>
        <v>0.47575796178475116</v>
      </c>
      <c r="D107" s="289">
        <f t="shared" si="58"/>
        <v>1.2614863602896946</v>
      </c>
      <c r="E107" s="289">
        <f t="shared" si="58"/>
        <v>3.0048694126585076</v>
      </c>
      <c r="F107" s="289">
        <f t="shared" si="58"/>
        <v>3.3237549983742554</v>
      </c>
      <c r="G107" s="289">
        <f t="shared" si="58"/>
        <v>4.6846700193562896</v>
      </c>
      <c r="H107" s="289">
        <f t="shared" si="58"/>
        <v>6.788394246178413</v>
      </c>
      <c r="I107" s="289">
        <f t="shared" si="58"/>
        <v>7.6472387535328323</v>
      </c>
      <c r="J107" s="289">
        <f t="shared" si="58"/>
        <v>8.3107147518671738</v>
      </c>
      <c r="K107" s="289">
        <f t="shared" si="58"/>
        <v>9.0571781773938653</v>
      </c>
      <c r="L107" s="289">
        <f t="shared" si="58"/>
        <v>8.9369050015096079</v>
      </c>
      <c r="M107" s="289">
        <f t="shared" si="58"/>
        <v>9.428896635524211</v>
      </c>
      <c r="N107" s="289">
        <f t="shared" si="58"/>
        <v>9.891309984793331</v>
      </c>
      <c r="O107" s="289">
        <f t="shared" si="58"/>
        <v>10.423067740999414</v>
      </c>
      <c r="P107" s="289">
        <f t="shared" si="58"/>
        <v>11.135300231042898</v>
      </c>
      <c r="Q107" s="289">
        <f t="shared" si="58"/>
        <v>11.663873270939071</v>
      </c>
      <c r="R107" s="289">
        <f t="shared" si="58"/>
        <v>12.053017256982045</v>
      </c>
      <c r="S107" s="289">
        <f t="shared" si="58"/>
        <v>12.426289022801342</v>
      </c>
      <c r="T107" s="289">
        <f t="shared" si="58"/>
        <v>12.821006617518535</v>
      </c>
      <c r="U107" s="289">
        <f t="shared" si="58"/>
        <v>13.267318556990062</v>
      </c>
      <c r="V107" s="289">
        <f t="shared" si="58"/>
        <v>13.744216293841767</v>
      </c>
      <c r="W107" s="289">
        <f t="shared" si="58"/>
        <v>14.114440841277009</v>
      </c>
      <c r="X107" s="289">
        <f t="shared" ref="X107:AG107" si="59">X106+SUM(X92:X105)</f>
        <v>14.564648557282851</v>
      </c>
      <c r="Y107" s="289">
        <f t="shared" si="59"/>
        <v>14.980817927159727</v>
      </c>
      <c r="Z107" s="289">
        <f t="shared" si="59"/>
        <v>15.408884726684676</v>
      </c>
      <c r="AA107" s="289">
        <f t="shared" si="59"/>
        <v>15.819335213229365</v>
      </c>
      <c r="AB107" s="289">
        <f t="shared" si="59"/>
        <v>16.285603095971062</v>
      </c>
      <c r="AC107" s="289">
        <f t="shared" si="59"/>
        <v>16.426051094968372</v>
      </c>
      <c r="AD107" s="289">
        <f t="shared" si="59"/>
        <v>16.552851705470516</v>
      </c>
      <c r="AE107" s="289">
        <f t="shared" si="59"/>
        <v>16.660490960543115</v>
      </c>
      <c r="AF107" s="289">
        <f t="shared" si="59"/>
        <v>16.784618438968977</v>
      </c>
      <c r="AG107" s="289">
        <f t="shared" si="59"/>
        <v>16.930922684851637</v>
      </c>
    </row>
    <row r="108" spans="1:33">
      <c r="C108" s="216"/>
      <c r="D108" s="216"/>
      <c r="E108" s="216"/>
      <c r="F108" s="216"/>
      <c r="G108" s="216"/>
      <c r="H108" s="216"/>
      <c r="I108" s="216"/>
      <c r="J108" s="216"/>
      <c r="K108" s="216"/>
      <c r="L108" s="216"/>
      <c r="M108" s="216"/>
      <c r="N108" s="216"/>
      <c r="O108" s="216"/>
      <c r="P108" s="216"/>
      <c r="Q108" s="216"/>
      <c r="R108" s="216"/>
      <c r="S108" s="216"/>
      <c r="T108" s="216"/>
      <c r="U108" s="216"/>
      <c r="V108" s="216"/>
      <c r="W108" s="216"/>
    </row>
    <row r="109" spans="1:33" s="252" customFormat="1" ht="13">
      <c r="A109" s="250" t="s">
        <v>1278</v>
      </c>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row>
    <row r="110" spans="1:33" s="252" customFormat="1">
      <c r="A110" s="554" t="str">
        <f>A76</f>
        <v>residential NG</v>
      </c>
      <c r="B110" s="554"/>
      <c r="C110" s="242">
        <v>2020</v>
      </c>
      <c r="D110" s="242">
        <v>2021</v>
      </c>
      <c r="E110" s="242">
        <v>2022</v>
      </c>
      <c r="F110" s="242">
        <v>2023</v>
      </c>
      <c r="G110" s="242">
        <v>2024</v>
      </c>
      <c r="H110" s="242">
        <v>2025</v>
      </c>
      <c r="I110" s="242">
        <v>2026</v>
      </c>
      <c r="J110" s="242">
        <v>2027</v>
      </c>
      <c r="K110" s="242">
        <v>2028</v>
      </c>
      <c r="L110" s="242">
        <v>2029</v>
      </c>
      <c r="M110" s="242">
        <v>2030</v>
      </c>
      <c r="N110" s="242">
        <v>2031</v>
      </c>
      <c r="O110" s="242">
        <v>2032</v>
      </c>
      <c r="P110" s="242">
        <v>2033</v>
      </c>
      <c r="Q110" s="242">
        <v>2034</v>
      </c>
      <c r="R110" s="242">
        <v>2035</v>
      </c>
      <c r="S110" s="242">
        <v>2036</v>
      </c>
      <c r="T110" s="242">
        <v>2037</v>
      </c>
      <c r="U110" s="242">
        <v>2038</v>
      </c>
      <c r="V110" s="242">
        <v>2039</v>
      </c>
      <c r="W110" s="242">
        <v>2040</v>
      </c>
      <c r="X110" s="254">
        <v>2041</v>
      </c>
      <c r="Y110" s="254">
        <v>2042</v>
      </c>
      <c r="Z110" s="254">
        <v>2043</v>
      </c>
      <c r="AA110" s="254">
        <v>2044</v>
      </c>
      <c r="AB110" s="254">
        <v>2045</v>
      </c>
      <c r="AC110" s="254">
        <v>2046</v>
      </c>
      <c r="AD110" s="254">
        <v>2047</v>
      </c>
      <c r="AE110" s="254">
        <v>2048</v>
      </c>
      <c r="AF110" s="254">
        <v>2049</v>
      </c>
      <c r="AG110" s="254">
        <v>2050</v>
      </c>
    </row>
    <row r="111" spans="1:33">
      <c r="A111" s="214" t="s">
        <v>1162</v>
      </c>
      <c r="C111" s="274">
        <f>Revenue!B8</f>
        <v>3.8076223093672192</v>
      </c>
      <c r="D111" s="274">
        <f>Revenue!C8</f>
        <v>4.8167110548036174</v>
      </c>
      <c r="E111" s="274">
        <f>Revenue!D8</f>
        <v>5.7843838339901827</v>
      </c>
      <c r="F111" s="274">
        <f>Revenue!E8</f>
        <v>6.7184221880425143</v>
      </c>
      <c r="G111" s="274">
        <f>Revenue!F8</f>
        <v>7.6176203469798915</v>
      </c>
      <c r="H111" s="274">
        <f>Revenue!G8</f>
        <v>8.4888440462874168</v>
      </c>
      <c r="I111" s="274">
        <f>Revenue!H8</f>
        <v>9.329491569732566</v>
      </c>
      <c r="J111" s="274">
        <f>Revenue!I8</f>
        <v>10.153127019815296</v>
      </c>
      <c r="K111" s="274">
        <f>Revenue!J8</f>
        <v>10.972649285109361</v>
      </c>
      <c r="L111" s="274">
        <f>Revenue!K8</f>
        <v>11.727537641551994</v>
      </c>
      <c r="M111" s="274">
        <f>Revenue!L8</f>
        <v>12.501043540183399</v>
      </c>
      <c r="N111" s="274">
        <f>Revenue!M8</f>
        <v>13.281462842045515</v>
      </c>
      <c r="O111" s="274">
        <f>Revenue!N8</f>
        <v>14.059130160692122</v>
      </c>
      <c r="P111" s="274">
        <f>Revenue!O8</f>
        <v>14.827026775244274</v>
      </c>
      <c r="Q111" s="274">
        <f>Revenue!P8</f>
        <v>15.006221498569271</v>
      </c>
      <c r="R111" s="274">
        <f>Revenue!Q8</f>
        <v>14.902067402519842</v>
      </c>
      <c r="S111" s="274">
        <f>Revenue!R8</f>
        <v>14.810662623364237</v>
      </c>
      <c r="T111" s="274">
        <f>Revenue!S8</f>
        <v>14.727156160089629</v>
      </c>
      <c r="U111" s="274">
        <f>Revenue!T8</f>
        <v>14.656497619060708</v>
      </c>
      <c r="V111" s="274">
        <f>Revenue!U8</f>
        <v>14.596449688673099</v>
      </c>
      <c r="W111" s="274">
        <f>Revenue!V8</f>
        <v>14.569461371744616</v>
      </c>
      <c r="X111" s="274">
        <f>Revenue!W8</f>
        <v>14.552293379567717</v>
      </c>
      <c r="Y111" s="274">
        <f>Revenue!X8</f>
        <v>14.533170370320796</v>
      </c>
      <c r="Z111" s="274">
        <f>Revenue!Y8</f>
        <v>14.517896235153776</v>
      </c>
      <c r="AA111" s="274">
        <f>Revenue!Z8</f>
        <v>14.503924681095516</v>
      </c>
      <c r="AB111" s="274">
        <f>Revenue!AA8</f>
        <v>14.50076735488771</v>
      </c>
      <c r="AC111" s="274">
        <f>Revenue!AB8</f>
        <v>14.505522388953256</v>
      </c>
      <c r="AD111" s="274">
        <f>Revenue!AC8</f>
        <v>14.516914636525025</v>
      </c>
      <c r="AE111" s="274">
        <f>Revenue!AD8</f>
        <v>14.532010727239612</v>
      </c>
      <c r="AF111" s="274">
        <f>Revenue!AE8</f>
        <v>14.554818670265874</v>
      </c>
      <c r="AG111" s="274">
        <f>Revenue!AF8</f>
        <v>14.584543094039025</v>
      </c>
    </row>
    <row r="112" spans="1:33">
      <c r="A112" s="214" t="s">
        <v>1170</v>
      </c>
      <c r="C112" s="274">
        <f>Revenue!B11</f>
        <v>44.841034244770576</v>
      </c>
      <c r="D112" s="274">
        <f>Revenue!C11</f>
        <v>57.947578357862334</v>
      </c>
      <c r="E112" s="274">
        <f>Revenue!D11</f>
        <v>70.846892973358166</v>
      </c>
      <c r="F112" s="274">
        <f>Revenue!E11</f>
        <v>83.504554653257131</v>
      </c>
      <c r="G112" s="274">
        <f>Revenue!F11</f>
        <v>96.861230476149245</v>
      </c>
      <c r="H112" s="274">
        <f>Revenue!G11</f>
        <v>109.49155331521462</v>
      </c>
      <c r="I112" s="274">
        <f>Revenue!H11</f>
        <v>121.24146827443533</v>
      </c>
      <c r="J112" s="274">
        <f>Revenue!I11</f>
        <v>132.31032277654327</v>
      </c>
      <c r="K112" s="274">
        <f>Revenue!J11</f>
        <v>143.06398646382101</v>
      </c>
      <c r="L112" s="274">
        <f>Revenue!K11</f>
        <v>153.77021787210694</v>
      </c>
      <c r="M112" s="274">
        <f>Revenue!L11</f>
        <v>163.40603047777162</v>
      </c>
      <c r="N112" s="274">
        <f>Revenue!M11</f>
        <v>173.27077672979908</v>
      </c>
      <c r="O112" s="274">
        <f>Revenue!N11</f>
        <v>182.9256651437353</v>
      </c>
      <c r="P112" s="274">
        <f>Revenue!O11</f>
        <v>192.26226228089757</v>
      </c>
      <c r="Q112" s="274">
        <f>Revenue!P11</f>
        <v>194.36208906480903</v>
      </c>
      <c r="R112" s="274">
        <f>Revenue!Q11</f>
        <v>192.97764221645477</v>
      </c>
      <c r="S112" s="274">
        <f>Revenue!R11</f>
        <v>191.67943891501187</v>
      </c>
      <c r="T112" s="274">
        <f>Revenue!S11</f>
        <v>190.3032511391761</v>
      </c>
      <c r="U112" s="274">
        <f>Revenue!T11</f>
        <v>188.88221938647823</v>
      </c>
      <c r="V112" s="274">
        <f>Revenue!U11</f>
        <v>187.4405027425164</v>
      </c>
      <c r="W112" s="274">
        <f>Revenue!V11</f>
        <v>186.76229786053568</v>
      </c>
      <c r="X112" s="274">
        <f>Revenue!W11</f>
        <v>186.06933205481573</v>
      </c>
      <c r="Y112" s="274">
        <f>Revenue!X11</f>
        <v>185.29540831917822</v>
      </c>
      <c r="Z112" s="274">
        <f>Revenue!Y11</f>
        <v>184.48295593953236</v>
      </c>
      <c r="AA112" s="274">
        <f>Revenue!Z11</f>
        <v>183.59724466492904</v>
      </c>
      <c r="AB112" s="274">
        <f>Revenue!AA11</f>
        <v>182.73680781335949</v>
      </c>
      <c r="AC112" s="274">
        <f>Revenue!AB11</f>
        <v>181.86577768425389</v>
      </c>
      <c r="AD112" s="274">
        <f>Revenue!AC11</f>
        <v>180.9849078639987</v>
      </c>
      <c r="AE112" s="274">
        <f>Revenue!AD11</f>
        <v>180.02737485931354</v>
      </c>
      <c r="AF112" s="274">
        <f>Revenue!AE11</f>
        <v>179.03916265931412</v>
      </c>
      <c r="AG112" s="274">
        <f>Revenue!AF11</f>
        <v>177.98850316021785</v>
      </c>
    </row>
    <row r="113" spans="1:33" s="217" customFormat="1">
      <c r="A113" s="217" t="s">
        <v>1171</v>
      </c>
      <c r="C113" s="274">
        <f>Revenue!B13</f>
        <v>35.973000194995969</v>
      </c>
      <c r="D113" s="274">
        <f>Revenue!C13</f>
        <v>45.817810403078006</v>
      </c>
      <c r="E113" s="274">
        <f>Revenue!D13</f>
        <v>46.879049863037508</v>
      </c>
      <c r="F113" s="274">
        <f>Revenue!E13</f>
        <v>45.758230718408939</v>
      </c>
      <c r="G113" s="274">
        <f>Revenue!F13</f>
        <v>39.57878880284499</v>
      </c>
      <c r="H113" s="274">
        <f>Revenue!G13</f>
        <v>29.156872211309945</v>
      </c>
      <c r="I113" s="274">
        <f>Revenue!H13</f>
        <v>33.856499787464863</v>
      </c>
      <c r="J113" s="274">
        <f>Revenue!I13</f>
        <v>36.099339411001182</v>
      </c>
      <c r="K113" s="274">
        <f>Revenue!J13</f>
        <v>39.225567486502449</v>
      </c>
      <c r="L113" s="274">
        <f>Revenue!K13</f>
        <v>43.322512348137082</v>
      </c>
      <c r="M113" s="274">
        <f>Revenue!L13</f>
        <v>45.986857916932848</v>
      </c>
      <c r="N113" s="274">
        <f>Revenue!M13</f>
        <v>48.68706303272517</v>
      </c>
      <c r="O113" s="274">
        <f>Revenue!N13</f>
        <v>50.074026729324203</v>
      </c>
      <c r="P113" s="274">
        <f>Revenue!O13</f>
        <v>49.262752520480547</v>
      </c>
      <c r="Q113" s="274">
        <f>Revenue!P13</f>
        <v>46.163862858004897</v>
      </c>
      <c r="R113" s="274">
        <f>Revenue!Q13</f>
        <v>42.066259754441553</v>
      </c>
      <c r="S113" s="274">
        <f>Revenue!R13</f>
        <v>37.827652274545919</v>
      </c>
      <c r="T113" s="274">
        <f>Revenue!S13</f>
        <v>33.647091279073422</v>
      </c>
      <c r="U113" s="274">
        <f>Revenue!T13</f>
        <v>29.460416800181964</v>
      </c>
      <c r="V113" s="274">
        <f>Revenue!U13</f>
        <v>25.267646589038989</v>
      </c>
      <c r="W113" s="274">
        <f>Revenue!V13</f>
        <v>21.068786416122276</v>
      </c>
      <c r="X113" s="274">
        <f>Revenue!W13</f>
        <v>16.865149197319912</v>
      </c>
      <c r="Y113" s="274">
        <f>Revenue!X13</f>
        <v>12.656022853927212</v>
      </c>
      <c r="Z113" s="274">
        <f>Revenue!Y13</f>
        <v>8.4418260135293011</v>
      </c>
      <c r="AA113" s="274">
        <f>Revenue!Z13</f>
        <v>4.2230469456634721</v>
      </c>
      <c r="AB113" s="274">
        <f>Revenue!AA13</f>
        <v>0</v>
      </c>
      <c r="AC113" s="274">
        <f>Revenue!AB13</f>
        <v>0</v>
      </c>
      <c r="AD113" s="274">
        <f>Revenue!AC13</f>
        <v>0</v>
      </c>
      <c r="AE113" s="274">
        <f>Revenue!AD13</f>
        <v>0</v>
      </c>
      <c r="AF113" s="274">
        <f>Revenue!AE13</f>
        <v>0</v>
      </c>
      <c r="AG113" s="274">
        <f>Revenue!AF13</f>
        <v>0</v>
      </c>
    </row>
    <row r="114" spans="1:33">
      <c r="A114" s="214" t="s">
        <v>1163</v>
      </c>
      <c r="C114" s="287">
        <f>Revenue!B18</f>
        <v>2.2495146454580954</v>
      </c>
      <c r="D114" s="287">
        <f>Revenue!C18</f>
        <v>2.949427791319795</v>
      </c>
      <c r="E114" s="287">
        <f>Revenue!D18</f>
        <v>3.6491578295911538</v>
      </c>
      <c r="F114" s="287">
        <f>Revenue!E18</f>
        <v>4.3623376981011477</v>
      </c>
      <c r="G114" s="287">
        <f>Revenue!F18</f>
        <v>5.0747544399556821</v>
      </c>
      <c r="H114" s="287">
        <f>Revenue!G18</f>
        <v>5.7897710539161702</v>
      </c>
      <c r="I114" s="287">
        <f>Revenue!H18</f>
        <v>6.5184223327757289</v>
      </c>
      <c r="J114" s="287">
        <f>Revenue!I18</f>
        <v>7.2626356850111318</v>
      </c>
      <c r="K114" s="287">
        <f>Revenue!J18</f>
        <v>8.0207630940688919</v>
      </c>
      <c r="L114" s="287">
        <f>Revenue!K18</f>
        <v>8.636995782889958</v>
      </c>
      <c r="M114" s="287">
        <f>Revenue!L18</f>
        <v>9.4149119347111991</v>
      </c>
      <c r="N114" s="287">
        <f>Revenue!M18</f>
        <v>10.178858006242491</v>
      </c>
      <c r="O114" s="287">
        <f>Revenue!N18</f>
        <v>10.958067357275961</v>
      </c>
      <c r="P114" s="287">
        <f>Revenue!O18</f>
        <v>11.735998304164408</v>
      </c>
      <c r="Q114" s="287">
        <f>Revenue!P18</f>
        <v>12.054938890467854</v>
      </c>
      <c r="R114" s="287">
        <f>Revenue!Q18</f>
        <v>12.143264194566665</v>
      </c>
      <c r="S114" s="287">
        <f>Revenue!R18</f>
        <v>12.231223365661267</v>
      </c>
      <c r="T114" s="287">
        <f>Revenue!S18</f>
        <v>12.323489783356488</v>
      </c>
      <c r="U114" s="287">
        <f>Revenue!T18</f>
        <v>12.418170954913482</v>
      </c>
      <c r="V114" s="287">
        <f>Revenue!U18</f>
        <v>12.513344760785088</v>
      </c>
      <c r="W114" s="287">
        <f>Revenue!V18</f>
        <v>12.634990764560373</v>
      </c>
      <c r="X114" s="287">
        <f>Revenue!W18</f>
        <v>12.761467410140893</v>
      </c>
      <c r="Y114" s="287">
        <f>Revenue!X18</f>
        <v>12.875704152185513</v>
      </c>
      <c r="Z114" s="287">
        <f>Revenue!Y18</f>
        <v>12.984648059717321</v>
      </c>
      <c r="AA114" s="287">
        <f>Revenue!Z18</f>
        <v>13.08992613975937</v>
      </c>
      <c r="AB114" s="287">
        <f>Revenue!AA18</f>
        <v>13.195137790259841</v>
      </c>
      <c r="AC114" s="287">
        <f>Revenue!AB18</f>
        <v>13.300105464365901</v>
      </c>
      <c r="AD114" s="287">
        <f>Revenue!AC18</f>
        <v>13.402571283397069</v>
      </c>
      <c r="AE114" s="287">
        <f>Revenue!AD18</f>
        <v>13.502835282196394</v>
      </c>
      <c r="AF114" s="287">
        <f>Revenue!AE18</f>
        <v>13.603578883228687</v>
      </c>
      <c r="AG114" s="287">
        <f>Revenue!AF18</f>
        <v>13.705312618608255</v>
      </c>
    </row>
    <row r="115" spans="1:33">
      <c r="A115" s="214" t="s">
        <v>1181</v>
      </c>
      <c r="C115" s="274">
        <f>Revenue!B21</f>
        <v>5.4119940849496748</v>
      </c>
      <c r="D115" s="274">
        <f>Revenue!C21</f>
        <v>7.072341643786654</v>
      </c>
      <c r="E115" s="274">
        <f>Revenue!D21</f>
        <v>8.7646750027316784</v>
      </c>
      <c r="F115" s="274">
        <f>Revenue!E21</f>
        <v>10.473619407399806</v>
      </c>
      <c r="G115" s="274">
        <f>Revenue!F21</f>
        <v>12.342312654079278</v>
      </c>
      <c r="H115" s="274">
        <f>Revenue!G21</f>
        <v>14.130072479772506</v>
      </c>
      <c r="I115" s="274">
        <f>Revenue!H21</f>
        <v>15.801768702321656</v>
      </c>
      <c r="J115" s="274">
        <f>Revenue!I21</f>
        <v>17.37099394329675</v>
      </c>
      <c r="K115" s="274">
        <f>Revenue!J21</f>
        <v>18.926278901996017</v>
      </c>
      <c r="L115" s="274">
        <f>Revenue!K21</f>
        <v>20.321174067495729</v>
      </c>
      <c r="M115" s="274">
        <f>Revenue!L21</f>
        <v>21.728326709705648</v>
      </c>
      <c r="N115" s="274">
        <f>Revenue!M21</f>
        <v>23.175883809556474</v>
      </c>
      <c r="O115" s="274">
        <f>Revenue!N21</f>
        <v>24.650108462320294</v>
      </c>
      <c r="P115" s="274">
        <f>Revenue!O21</f>
        <v>26.101421382874626</v>
      </c>
      <c r="Q115" s="274">
        <f>Revenue!P21</f>
        <v>26.542495644428477</v>
      </c>
      <c r="R115" s="274">
        <f>Revenue!Q21</f>
        <v>26.470089226130078</v>
      </c>
      <c r="S115" s="274">
        <f>Revenue!R21</f>
        <v>26.397449915163634</v>
      </c>
      <c r="T115" s="274">
        <f>Revenue!S21</f>
        <v>26.321919951388736</v>
      </c>
      <c r="U115" s="274">
        <f>Revenue!T21</f>
        <v>26.261815531082963</v>
      </c>
      <c r="V115" s="274">
        <f>Revenue!U21</f>
        <v>26.202699853487768</v>
      </c>
      <c r="W115" s="274">
        <f>Revenue!V21</f>
        <v>26.217893058617435</v>
      </c>
      <c r="X115" s="274">
        <f>Revenue!W21</f>
        <v>26.242172662748395</v>
      </c>
      <c r="Y115" s="274">
        <f>Revenue!X21</f>
        <v>26.24120501807587</v>
      </c>
      <c r="Z115" s="274">
        <f>Revenue!Y21</f>
        <v>26.235447264350125</v>
      </c>
      <c r="AA115" s="274">
        <f>Revenue!Z21</f>
        <v>26.239361467572991</v>
      </c>
      <c r="AB115" s="274">
        <f>Revenue!AA21</f>
        <v>26.24266277649064</v>
      </c>
      <c r="AC115" s="274">
        <f>Revenue!AB21</f>
        <v>26.239838213753007</v>
      </c>
      <c r="AD115" s="274">
        <f>Revenue!AC21</f>
        <v>26.236775193286487</v>
      </c>
      <c r="AE115" s="274">
        <f>Revenue!AD21</f>
        <v>26.222243920385562</v>
      </c>
      <c r="AF115" s="274">
        <f>Revenue!AE21</f>
        <v>26.199522158323184</v>
      </c>
      <c r="AG115" s="274">
        <f>Revenue!AF21</f>
        <v>26.171600785050746</v>
      </c>
    </row>
    <row r="116" spans="1:33">
      <c r="A116" s="214" t="s">
        <v>1172</v>
      </c>
      <c r="C116" s="274">
        <f>Revenue!B23</f>
        <v>31.915311524426539</v>
      </c>
      <c r="D116" s="274">
        <f>Revenue!C23</f>
        <v>41.530746155194443</v>
      </c>
      <c r="E116" s="274">
        <f>Revenue!D23</f>
        <v>50.992799904741887</v>
      </c>
      <c r="F116" s="274">
        <f>Revenue!E23</f>
        <v>60.177581035188311</v>
      </c>
      <c r="G116" s="274">
        <f>Revenue!F23</f>
        <v>70.785383145479997</v>
      </c>
      <c r="H116" s="274">
        <f>Revenue!G23</f>
        <v>80.913526713468627</v>
      </c>
      <c r="I116" s="274">
        <f>Revenue!H23</f>
        <v>90.530684002424309</v>
      </c>
      <c r="J116" s="274">
        <f>Revenue!I23</f>
        <v>99.847579479854858</v>
      </c>
      <c r="K116" s="274">
        <f>Revenue!J23</f>
        <v>109.14374446434081</v>
      </c>
      <c r="L116" s="274">
        <f>Revenue!K23</f>
        <v>117.60029793707365</v>
      </c>
      <c r="M116" s="274">
        <f>Revenue!L23</f>
        <v>125.25446365195437</v>
      </c>
      <c r="N116" s="274">
        <f>Revenue!M23</f>
        <v>133.40533939233171</v>
      </c>
      <c r="O116" s="274">
        <f>Revenue!N23</f>
        <v>141.85189556109606</v>
      </c>
      <c r="P116" s="274">
        <f>Revenue!O23</f>
        <v>150.20332519295172</v>
      </c>
      <c r="Q116" s="274">
        <f>Revenue!P23</f>
        <v>153.11627998275358</v>
      </c>
      <c r="R116" s="274">
        <f>Revenue!Q23</f>
        <v>153.43414721321901</v>
      </c>
      <c r="S116" s="274">
        <f>Revenue!R23</f>
        <v>154.01675977559015</v>
      </c>
      <c r="T116" s="274">
        <f>Revenue!S23</f>
        <v>154.69076054500519</v>
      </c>
      <c r="U116" s="274">
        <f>Revenue!T23</f>
        <v>155.31122331234758</v>
      </c>
      <c r="V116" s="274">
        <f>Revenue!U23</f>
        <v>155.9112359233614</v>
      </c>
      <c r="W116" s="274">
        <f>Revenue!V23</f>
        <v>157.17353399162468</v>
      </c>
      <c r="X116" s="274">
        <f>Revenue!W23</f>
        <v>158.83661261964954</v>
      </c>
      <c r="Y116" s="274">
        <f>Revenue!X23</f>
        <v>160.4779146961265</v>
      </c>
      <c r="Z116" s="274">
        <f>Revenue!Y23</f>
        <v>162.07335997849907</v>
      </c>
      <c r="AA116" s="274">
        <f>Revenue!Z23</f>
        <v>163.60281988491556</v>
      </c>
      <c r="AB116" s="274">
        <f>Revenue!AA23</f>
        <v>165.1528785443526</v>
      </c>
      <c r="AC116" s="274">
        <f>Revenue!AB23</f>
        <v>166.78146445726239</v>
      </c>
      <c r="AD116" s="274">
        <f>Revenue!AC23</f>
        <v>168.28134935273849</v>
      </c>
      <c r="AE116" s="274">
        <f>Revenue!AD23</f>
        <v>169.61385269961417</v>
      </c>
      <c r="AF116" s="274">
        <f>Revenue!AE23</f>
        <v>170.73834800550617</v>
      </c>
      <c r="AG116" s="274">
        <f>Revenue!AF23</f>
        <v>171.63843737411037</v>
      </c>
    </row>
    <row r="117" spans="1:33" s="217" customFormat="1">
      <c r="A117" s="217" t="s">
        <v>1173</v>
      </c>
      <c r="C117" s="274">
        <f>Revenue!B26</f>
        <v>32.083999174268833</v>
      </c>
      <c r="D117" s="274">
        <f>Revenue!C26</f>
        <v>40.832494819588831</v>
      </c>
      <c r="E117" s="274">
        <f>Revenue!D26</f>
        <v>41.738629542968255</v>
      </c>
      <c r="F117" s="274">
        <f>Revenue!E26</f>
        <v>40.68403406449881</v>
      </c>
      <c r="G117" s="274">
        <f>Revenue!F26</f>
        <v>35.180513204322054</v>
      </c>
      <c r="H117" s="274">
        <f>Revenue!G26</f>
        <v>25.958952340125521</v>
      </c>
      <c r="I117" s="274">
        <f>Revenue!H26</f>
        <v>30.194211603213912</v>
      </c>
      <c r="J117" s="274">
        <f>Revenue!I26</f>
        <v>32.461845750914712</v>
      </c>
      <c r="K117" s="274">
        <f>Revenue!J26</f>
        <v>35.771364412976006</v>
      </c>
      <c r="L117" s="274">
        <f>Revenue!K26</f>
        <v>40.01003921361913</v>
      </c>
      <c r="M117" s="274">
        <f>Revenue!L26</f>
        <v>42.990597228681452</v>
      </c>
      <c r="N117" s="274">
        <f>Revenue!M26</f>
        <v>46.047807746675112</v>
      </c>
      <c r="O117" s="274">
        <f>Revenue!N26</f>
        <v>47.88951443194005</v>
      </c>
      <c r="P117" s="274">
        <f>Revenue!O26</f>
        <v>47.606018677506547</v>
      </c>
      <c r="Q117" s="274">
        <f>Revenue!P26</f>
        <v>45.015798783816592</v>
      </c>
      <c r="R117" s="274">
        <f>Revenue!Q26</f>
        <v>41.430304409948818</v>
      </c>
      <c r="S117" s="274">
        <f>Revenue!R26</f>
        <v>37.647328193514795</v>
      </c>
      <c r="T117" s="274">
        <f>Revenue!S26</f>
        <v>33.815794548626485</v>
      </c>
      <c r="U117" s="274">
        <f>Revenue!T26</f>
        <v>29.894745942431349</v>
      </c>
      <c r="V117" s="274">
        <f>Revenue!U26</f>
        <v>25.884611397795023</v>
      </c>
      <c r="W117" s="274">
        <f>Revenue!V26</f>
        <v>21.785809467735884</v>
      </c>
      <c r="X117" s="274">
        <f>Revenue!W26</f>
        <v>17.600652880044144</v>
      </c>
      <c r="Y117" s="274">
        <f>Revenue!X26</f>
        <v>13.328456300026465</v>
      </c>
      <c r="Z117" s="274">
        <f>Revenue!Y26</f>
        <v>8.9702593837385614</v>
      </c>
      <c r="AA117" s="274">
        <f>Revenue!Z26</f>
        <v>4.5271607090174255</v>
      </c>
      <c r="AB117" s="274">
        <f>Revenue!AA26</f>
        <v>0</v>
      </c>
      <c r="AC117" s="274">
        <f>Revenue!AB26</f>
        <v>0</v>
      </c>
      <c r="AD117" s="274">
        <f>Revenue!AC26</f>
        <v>0</v>
      </c>
      <c r="AE117" s="274">
        <f>Revenue!AD26</f>
        <v>0</v>
      </c>
      <c r="AF117" s="274">
        <f>Revenue!AE26</f>
        <v>0</v>
      </c>
      <c r="AG117" s="274">
        <f>Revenue!AF26</f>
        <v>0</v>
      </c>
    </row>
    <row r="118" spans="1:33">
      <c r="A118" s="214" t="s">
        <v>1174</v>
      </c>
      <c r="C118" s="287">
        <f>Revenue!B33</f>
        <v>12.955992526368114</v>
      </c>
      <c r="D118" s="287">
        <f>Revenue!C33</f>
        <v>17.035868771269435</v>
      </c>
      <c r="E118" s="287">
        <f>Revenue!D33</f>
        <v>21.257278955169966</v>
      </c>
      <c r="F118" s="287">
        <f>Revenue!E33</f>
        <v>25.451589222625053</v>
      </c>
      <c r="G118" s="287">
        <f>Revenue!F33</f>
        <v>29.690471912786212</v>
      </c>
      <c r="H118" s="287">
        <f>Revenue!G33</f>
        <v>33.905360749453294</v>
      </c>
      <c r="I118" s="287">
        <f>Revenue!H33</f>
        <v>38.107830109423453</v>
      </c>
      <c r="J118" s="287">
        <f>Revenue!I33</f>
        <v>42.361002858034475</v>
      </c>
      <c r="K118" s="287">
        <f>Revenue!J33</f>
        <v>46.647461024588239</v>
      </c>
      <c r="L118" s="287">
        <f>Revenue!K33</f>
        <v>50.996985799062031</v>
      </c>
      <c r="M118" s="287">
        <f>Revenue!L33</f>
        <v>55.209924481995209</v>
      </c>
      <c r="N118" s="287">
        <f>Revenue!M33</f>
        <v>59.61059902546144</v>
      </c>
      <c r="O118" s="287">
        <f>Revenue!N33</f>
        <v>63.988730134062656</v>
      </c>
      <c r="P118" s="287">
        <f>Revenue!O33</f>
        <v>68.367326477512549</v>
      </c>
      <c r="Q118" s="287">
        <f>Revenue!P33</f>
        <v>70.034818944088826</v>
      </c>
      <c r="R118" s="287">
        <f>Revenue!Q33</f>
        <v>70.62523007124895</v>
      </c>
      <c r="S118" s="287">
        <f>Revenue!R33</f>
        <v>71.307572461284323</v>
      </c>
      <c r="T118" s="287">
        <f>Revenue!S33</f>
        <v>71.676332137142637</v>
      </c>
      <c r="U118" s="287">
        <f>Revenue!T33</f>
        <v>72.425576806144377</v>
      </c>
      <c r="V118" s="287">
        <f>Revenue!U33</f>
        <v>72.998232466196725</v>
      </c>
      <c r="W118" s="287">
        <f>Revenue!V33</f>
        <v>73.954572733146904</v>
      </c>
      <c r="X118" s="287">
        <f>Revenue!W33</f>
        <v>75.072483620965883</v>
      </c>
      <c r="Y118" s="287">
        <f>Revenue!X33</f>
        <v>76.108749360261484</v>
      </c>
      <c r="Z118" s="287">
        <f>Revenue!Y33</f>
        <v>76.859204064937771</v>
      </c>
      <c r="AA118" s="287">
        <f>Revenue!Z33</f>
        <v>77.833532752376001</v>
      </c>
      <c r="AB118" s="287">
        <f>Revenue!AA33</f>
        <v>78.755926034713823</v>
      </c>
      <c r="AC118" s="287">
        <f>Revenue!AB33</f>
        <v>79.739462857146307</v>
      </c>
      <c r="AD118" s="287">
        <f>Revenue!AC33</f>
        <v>80.6910376601937</v>
      </c>
      <c r="AE118" s="287">
        <f>Revenue!AD33</f>
        <v>81.820907162308785</v>
      </c>
      <c r="AF118" s="287">
        <f>Revenue!AE33</f>
        <v>82.560037168229854</v>
      </c>
      <c r="AG118" s="287">
        <f>Revenue!AF33</f>
        <v>83.461547405862746</v>
      </c>
    </row>
    <row r="119" spans="1:33">
      <c r="A119" s="214" t="s">
        <v>1175</v>
      </c>
      <c r="C119" s="274">
        <f>Revenue!B37</f>
        <v>41.739870749556893</v>
      </c>
      <c r="D119" s="274">
        <f>Revenue!C37</f>
        <v>53.969001894623801</v>
      </c>
      <c r="E119" s="274">
        <f>Revenue!D37</f>
        <v>66.696943787108452</v>
      </c>
      <c r="F119" s="274">
        <f>Revenue!E37</f>
        <v>78.44746119915709</v>
      </c>
      <c r="G119" s="274">
        <f>Revenue!F37</f>
        <v>97.016043916815121</v>
      </c>
      <c r="H119" s="274">
        <f>Revenue!G37</f>
        <v>107.99872906085956</v>
      </c>
      <c r="I119" s="274">
        <f>Revenue!H37</f>
        <v>121.75827980938458</v>
      </c>
      <c r="J119" s="274">
        <f>Revenue!I37</f>
        <v>127.75697736553765</v>
      </c>
      <c r="K119" s="274">
        <f>Revenue!J37</f>
        <v>135.84493164520947</v>
      </c>
      <c r="L119" s="274">
        <f>Revenue!K37</f>
        <v>133.08654233062495</v>
      </c>
      <c r="M119" s="274">
        <f>Revenue!L37</f>
        <v>141.87388638386921</v>
      </c>
      <c r="N119" s="274">
        <f>Revenue!M37</f>
        <v>147.53581306426409</v>
      </c>
      <c r="O119" s="274">
        <f>Revenue!N37</f>
        <v>154.05510985972404</v>
      </c>
      <c r="P119" s="274">
        <f>Revenue!O37</f>
        <v>160.04093732915808</v>
      </c>
      <c r="Q119" s="274">
        <f>Revenue!P37</f>
        <v>163.93748556644132</v>
      </c>
      <c r="R119" s="274">
        <f>Revenue!Q37</f>
        <v>164.45266796238917</v>
      </c>
      <c r="S119" s="274">
        <f>Revenue!R37</f>
        <v>166.64969577338792</v>
      </c>
      <c r="T119" s="274">
        <f>Revenue!S37</f>
        <v>167.89144458201392</v>
      </c>
      <c r="U119" s="274">
        <f>Revenue!T37</f>
        <v>170.1536961576432</v>
      </c>
      <c r="V119" s="274">
        <f>Revenue!U37</f>
        <v>171.51789489728102</v>
      </c>
      <c r="W119" s="274">
        <f>Revenue!V37</f>
        <v>173.67034093793245</v>
      </c>
      <c r="X119" s="274">
        <f>Revenue!W37</f>
        <v>175.82537383145103</v>
      </c>
      <c r="Y119" s="274">
        <f>Revenue!X37</f>
        <v>176.76747529475981</v>
      </c>
      <c r="Z119" s="274">
        <f>Revenue!Y37</f>
        <v>179.70427499264994</v>
      </c>
      <c r="AA119" s="274">
        <f>Revenue!Z37</f>
        <v>184.12678160043964</v>
      </c>
      <c r="AB119" s="274">
        <f>Revenue!AA37</f>
        <v>190.42035554860152</v>
      </c>
      <c r="AC119" s="274">
        <f>Revenue!AB37</f>
        <v>192.31066990549436</v>
      </c>
      <c r="AD119" s="274">
        <f>Revenue!AC37</f>
        <v>195.89043030486687</v>
      </c>
      <c r="AE119" s="274">
        <f>Revenue!AD37</f>
        <v>200.34656626708085</v>
      </c>
      <c r="AF119" s="274">
        <f>Revenue!AE37</f>
        <v>203.68253919463152</v>
      </c>
      <c r="AG119" s="274">
        <f>Revenue!AF37</f>
        <v>206.48389149210729</v>
      </c>
    </row>
    <row r="120" spans="1:33" s="217" customFormat="1">
      <c r="A120" s="217" t="s">
        <v>1176</v>
      </c>
      <c r="C120" s="274">
        <f>Revenue!B48</f>
        <v>23.731411565754186</v>
      </c>
      <c r="D120" s="274">
        <f>Revenue!C48</f>
        <v>30.923633670600495</v>
      </c>
      <c r="E120" s="274">
        <f>Revenue!D48</f>
        <v>32.387950168911743</v>
      </c>
      <c r="F120" s="274">
        <f>Revenue!E48</f>
        <v>32.375806293297252</v>
      </c>
      <c r="G120" s="274">
        <f>Revenue!F48</f>
        <v>28.747498496805616</v>
      </c>
      <c r="H120" s="274">
        <f>Revenue!G48</f>
        <v>21.77727101097091</v>
      </c>
      <c r="I120" s="274">
        <f>Revenue!H48</f>
        <v>25.979269263826477</v>
      </c>
      <c r="J120" s="274">
        <f>Revenue!I48</f>
        <v>28.504162445582541</v>
      </c>
      <c r="K120" s="274">
        <f>Revenue!J48</f>
        <v>31.848856078541395</v>
      </c>
      <c r="L120" s="274">
        <f>Revenue!K48</f>
        <v>36.02546786780362</v>
      </c>
      <c r="M120" s="274">
        <f>Revenue!L48</f>
        <v>38.949754832832234</v>
      </c>
      <c r="N120" s="274">
        <f>Revenue!M48</f>
        <v>41.396826672061337</v>
      </c>
      <c r="O120" s="274">
        <f>Revenue!N48</f>
        <v>43.201564275169211</v>
      </c>
      <c r="P120" s="274">
        <f>Revenue!O48</f>
        <v>43.072459255045842</v>
      </c>
      <c r="Q120" s="274">
        <f>Revenue!P48</f>
        <v>40.876662372717263</v>
      </c>
      <c r="R120" s="274">
        <f>Revenue!Q48</f>
        <v>37.743289709223234</v>
      </c>
      <c r="S120" s="274">
        <f>Revenue!R48</f>
        <v>34.321806752086523</v>
      </c>
      <c r="T120" s="274">
        <f>Revenue!S48</f>
        <v>30.902944932072433</v>
      </c>
      <c r="U120" s="274">
        <f>Revenue!T48</f>
        <v>27.387053204755212</v>
      </c>
      <c r="V120" s="274">
        <f>Revenue!U48</f>
        <v>23.773725602603271</v>
      </c>
      <c r="W120" s="274">
        <f>Revenue!V48</f>
        <v>20.065247230046509</v>
      </c>
      <c r="X120" s="274">
        <f>Revenue!W48</f>
        <v>16.255874869918053</v>
      </c>
      <c r="Y120" s="274">
        <f>Revenue!X48</f>
        <v>12.344746922816302</v>
      </c>
      <c r="Z120" s="274">
        <f>Revenue!Y48</f>
        <v>8.3318558452007458</v>
      </c>
      <c r="AA120" s="274">
        <f>Revenue!Z48</f>
        <v>4.2170266086009383</v>
      </c>
      <c r="AB120" s="274">
        <f>Revenue!AA48</f>
        <v>0</v>
      </c>
      <c r="AC120" s="274">
        <f>Revenue!AB48</f>
        <v>0</v>
      </c>
      <c r="AD120" s="274">
        <f>Revenue!AC48</f>
        <v>0</v>
      </c>
      <c r="AE120" s="274">
        <f>Revenue!AD48</f>
        <v>0</v>
      </c>
      <c r="AF120" s="274">
        <f>Revenue!AE48</f>
        <v>0</v>
      </c>
      <c r="AG120" s="274">
        <f>Revenue!AF48</f>
        <v>0</v>
      </c>
    </row>
    <row r="121" spans="1:33">
      <c r="A121" s="214" t="s">
        <v>1177</v>
      </c>
      <c r="C121" s="287">
        <f>Revenue!B58</f>
        <v>0</v>
      </c>
      <c r="D121" s="287">
        <f>Revenue!C58</f>
        <v>0</v>
      </c>
      <c r="E121" s="287">
        <f>Revenue!D58</f>
        <v>0</v>
      </c>
      <c r="F121" s="287">
        <f>Revenue!E58</f>
        <v>0</v>
      </c>
      <c r="G121" s="287">
        <f>Revenue!F58</f>
        <v>0</v>
      </c>
      <c r="H121" s="287">
        <f>Revenue!G58</f>
        <v>0</v>
      </c>
      <c r="I121" s="287">
        <f>Revenue!H58</f>
        <v>0</v>
      </c>
      <c r="J121" s="287">
        <f>Revenue!I58</f>
        <v>0</v>
      </c>
      <c r="K121" s="287">
        <f>Revenue!J58</f>
        <v>0</v>
      </c>
      <c r="L121" s="287">
        <f>Revenue!K58</f>
        <v>0</v>
      </c>
      <c r="M121" s="287">
        <f>Revenue!L58</f>
        <v>0</v>
      </c>
      <c r="N121" s="287">
        <f>Revenue!M58</f>
        <v>0</v>
      </c>
      <c r="O121" s="287">
        <f>Revenue!N58</f>
        <v>0</v>
      </c>
      <c r="P121" s="287">
        <f>Revenue!O58</f>
        <v>0</v>
      </c>
      <c r="Q121" s="287">
        <f>Revenue!P58</f>
        <v>0</v>
      </c>
      <c r="R121" s="287">
        <f>Revenue!Q58</f>
        <v>0</v>
      </c>
      <c r="S121" s="287">
        <f>Revenue!R58</f>
        <v>0</v>
      </c>
      <c r="T121" s="287">
        <f>Revenue!S58</f>
        <v>0</v>
      </c>
      <c r="U121" s="287">
        <f>Revenue!T58</f>
        <v>0</v>
      </c>
      <c r="V121" s="287">
        <f>Revenue!U58</f>
        <v>0</v>
      </c>
      <c r="W121" s="287">
        <f>Revenue!V58</f>
        <v>0</v>
      </c>
      <c r="X121" s="287">
        <f>Revenue!W58</f>
        <v>0</v>
      </c>
      <c r="Y121" s="287">
        <f>Revenue!X58</f>
        <v>0</v>
      </c>
      <c r="Z121" s="287">
        <f>Revenue!Y58</f>
        <v>0</v>
      </c>
      <c r="AA121" s="287">
        <f>Revenue!Z58</f>
        <v>0</v>
      </c>
      <c r="AB121" s="287">
        <f>Revenue!AA58</f>
        <v>0</v>
      </c>
      <c r="AC121" s="287">
        <f>Revenue!AB58</f>
        <v>0</v>
      </c>
      <c r="AD121" s="287">
        <f>Revenue!AC58</f>
        <v>0</v>
      </c>
      <c r="AE121" s="287">
        <f>Revenue!AD58</f>
        <v>0</v>
      </c>
      <c r="AF121" s="287">
        <f>Revenue!AE58</f>
        <v>0</v>
      </c>
      <c r="AG121" s="287">
        <f>Revenue!AF58</f>
        <v>0</v>
      </c>
    </row>
    <row r="122" spans="1:33">
      <c r="A122" s="214" t="s">
        <v>334</v>
      </c>
      <c r="C122" s="274">
        <f>Revenue!B55</f>
        <v>215.05554842191816</v>
      </c>
      <c r="D122" s="274">
        <f>Revenue!C55</f>
        <v>274.32066798596611</v>
      </c>
      <c r="E122" s="274">
        <f>Revenue!D55</f>
        <v>330.28426181280071</v>
      </c>
      <c r="F122" s="274">
        <f>Revenue!E55</f>
        <v>383.45029084712007</v>
      </c>
      <c r="G122" s="274">
        <f>Revenue!F55</f>
        <v>435.36415412039383</v>
      </c>
      <c r="H122" s="274">
        <f>Revenue!G55</f>
        <v>480.90723606270825</v>
      </c>
      <c r="I122" s="274">
        <f>Revenue!H55</f>
        <v>524.65347378836179</v>
      </c>
      <c r="J122" s="274">
        <f>Revenue!I55</f>
        <v>565.55716530827249</v>
      </c>
      <c r="K122" s="274">
        <f>Revenue!J55</f>
        <v>603.91669914353292</v>
      </c>
      <c r="L122" s="274">
        <f>Revenue!K55</f>
        <v>639.33614836412266</v>
      </c>
      <c r="M122" s="274">
        <f>Revenue!L55</f>
        <v>676.22325672873365</v>
      </c>
      <c r="N122" s="274">
        <f>Revenue!M55</f>
        <v>711.80371304574942</v>
      </c>
      <c r="O122" s="274">
        <f>Revenue!N55</f>
        <v>747.19180832366749</v>
      </c>
      <c r="P122" s="274">
        <f>Revenue!O55</f>
        <v>781.11036713572776</v>
      </c>
      <c r="Q122" s="274">
        <f>Revenue!P55</f>
        <v>785.14407876263829</v>
      </c>
      <c r="R122" s="274">
        <f>Revenue!Q55</f>
        <v>776.01713188877693</v>
      </c>
      <c r="S122" s="274">
        <f>Revenue!R55</f>
        <v>767.97515758509303</v>
      </c>
      <c r="T122" s="274">
        <f>Revenue!S55</f>
        <v>762.44053416475583</v>
      </c>
      <c r="U122" s="274">
        <f>Revenue!T55</f>
        <v>757.73293651438416</v>
      </c>
      <c r="V122" s="274">
        <f>Revenue!U55</f>
        <v>754.74286751533589</v>
      </c>
      <c r="W122" s="274">
        <f>Revenue!V55</f>
        <v>752.49454283917032</v>
      </c>
      <c r="X122" s="274">
        <f>Revenue!W55</f>
        <v>751.42948909835002</v>
      </c>
      <c r="Y122" s="274">
        <f>Revenue!X55</f>
        <v>750.43271456965124</v>
      </c>
      <c r="Z122" s="274">
        <f>Revenue!Y55</f>
        <v>750.13041274548675</v>
      </c>
      <c r="AA122" s="274">
        <f>Revenue!Z55</f>
        <v>750.18466381208452</v>
      </c>
      <c r="AB122" s="274">
        <f>Revenue!AA55</f>
        <v>750.20899616499082</v>
      </c>
      <c r="AC122" s="274">
        <f>Revenue!AB55</f>
        <v>751.06291488209968</v>
      </c>
      <c r="AD122" s="274">
        <f>Revenue!AC55</f>
        <v>753.02487135101478</v>
      </c>
      <c r="AE122" s="274">
        <f>Revenue!AD55</f>
        <v>754.16434884772616</v>
      </c>
      <c r="AF122" s="274">
        <f>Revenue!AE55</f>
        <v>753.83134037825869</v>
      </c>
      <c r="AG122" s="274">
        <f>Revenue!AF55</f>
        <v>753.36982235807227</v>
      </c>
    </row>
    <row r="123" spans="1:33">
      <c r="A123" s="214" t="s">
        <v>335</v>
      </c>
      <c r="C123" s="274">
        <f>Revenue!B57</f>
        <v>104.09963832624302</v>
      </c>
      <c r="D123" s="274">
        <f>Revenue!C57</f>
        <v>134.46283178577508</v>
      </c>
      <c r="E123" s="274">
        <f>Revenue!D57</f>
        <v>160.56179321895297</v>
      </c>
      <c r="F123" s="274">
        <f>Revenue!E57</f>
        <v>188.57822744608919</v>
      </c>
      <c r="G123" s="274">
        <f>Revenue!F57</f>
        <v>216.85791525956398</v>
      </c>
      <c r="H123" s="274">
        <f>Revenue!G57</f>
        <v>245.07208588009092</v>
      </c>
      <c r="I123" s="274">
        <f>Revenue!H57</f>
        <v>273.25979011942195</v>
      </c>
      <c r="J123" s="274">
        <f>Revenue!I57</f>
        <v>299.87169983358569</v>
      </c>
      <c r="K123" s="274">
        <f>Revenue!J57</f>
        <v>326.19999713178771</v>
      </c>
      <c r="L123" s="274">
        <f>Revenue!K57</f>
        <v>351.17975844638954</v>
      </c>
      <c r="M123" s="274">
        <f>Revenue!L57</f>
        <v>378.08608873604192</v>
      </c>
      <c r="N123" s="274">
        <f>Revenue!M57</f>
        <v>403.83522549364017</v>
      </c>
      <c r="O123" s="274">
        <f>Revenue!N57</f>
        <v>428.90533468383228</v>
      </c>
      <c r="P123" s="274">
        <f>Revenue!O57</f>
        <v>453.52146237078028</v>
      </c>
      <c r="Q123" s="274">
        <f>Revenue!P57</f>
        <v>461.7697696608837</v>
      </c>
      <c r="R123" s="274">
        <f>Revenue!Q57</f>
        <v>465.01130508824156</v>
      </c>
      <c r="S123" s="274">
        <f>Revenue!R57</f>
        <v>465.74506252326285</v>
      </c>
      <c r="T123" s="274">
        <f>Revenue!S57</f>
        <v>467.65748937574614</v>
      </c>
      <c r="U123" s="274">
        <f>Revenue!T57</f>
        <v>469.40754832349319</v>
      </c>
      <c r="V123" s="274">
        <f>Revenue!U57</f>
        <v>471.08253360814854</v>
      </c>
      <c r="W123" s="274">
        <f>Revenue!V57</f>
        <v>472.45016700184073</v>
      </c>
      <c r="X123" s="274">
        <f>Revenue!W57</f>
        <v>474.29967333828773</v>
      </c>
      <c r="Y123" s="274">
        <f>Revenue!X57</f>
        <v>475.25752531189579</v>
      </c>
      <c r="Z123" s="274">
        <f>Revenue!Y57</f>
        <v>476.14086818157847</v>
      </c>
      <c r="AA123" s="274">
        <f>Revenue!Z57</f>
        <v>479.46255505843391</v>
      </c>
      <c r="AB123" s="274">
        <f>Revenue!AA57</f>
        <v>481.62328779342113</v>
      </c>
      <c r="AC123" s="274">
        <f>Revenue!AB57</f>
        <v>484.25338940098624</v>
      </c>
      <c r="AD123" s="274">
        <f>Revenue!AC57</f>
        <v>486.63067028252937</v>
      </c>
      <c r="AE123" s="274">
        <f>Revenue!AD57</f>
        <v>489.03118445974746</v>
      </c>
      <c r="AF123" s="274">
        <f>Revenue!AE57</f>
        <v>490.69339960306218</v>
      </c>
      <c r="AG123" s="274">
        <f>Revenue!AF57</f>
        <v>492.75743668235225</v>
      </c>
    </row>
    <row r="124" spans="1:33">
      <c r="A124" s="214" t="s">
        <v>457</v>
      </c>
      <c r="C124" s="274">
        <f>Revenue!B56</f>
        <v>0</v>
      </c>
      <c r="D124" s="274">
        <f>Revenue!C56</f>
        <v>0</v>
      </c>
      <c r="E124" s="274">
        <f>Revenue!D56</f>
        <v>0</v>
      </c>
      <c r="F124" s="274">
        <f>Revenue!E56</f>
        <v>0</v>
      </c>
      <c r="G124" s="274">
        <f>Revenue!F56</f>
        <v>0</v>
      </c>
      <c r="H124" s="274">
        <f>Revenue!G56</f>
        <v>0</v>
      </c>
      <c r="I124" s="274">
        <f>Revenue!H56</f>
        <v>0</v>
      </c>
      <c r="J124" s="274">
        <f>Revenue!I56</f>
        <v>0</v>
      </c>
      <c r="K124" s="274">
        <f>Revenue!J56</f>
        <v>0</v>
      </c>
      <c r="L124" s="274">
        <f>Revenue!K56</f>
        <v>0</v>
      </c>
      <c r="M124" s="274">
        <f>Revenue!L56</f>
        <v>0</v>
      </c>
      <c r="N124" s="274">
        <f>Revenue!M56</f>
        <v>0</v>
      </c>
      <c r="O124" s="274">
        <f>Revenue!N56</f>
        <v>0</v>
      </c>
      <c r="P124" s="274">
        <f>Revenue!O56</f>
        <v>0</v>
      </c>
      <c r="Q124" s="274">
        <f>Revenue!P56</f>
        <v>0</v>
      </c>
      <c r="R124" s="274">
        <f>Revenue!Q56</f>
        <v>0</v>
      </c>
      <c r="S124" s="274">
        <f>Revenue!R56</f>
        <v>0</v>
      </c>
      <c r="T124" s="274">
        <f>Revenue!S56</f>
        <v>0</v>
      </c>
      <c r="U124" s="274">
        <f>Revenue!T56</f>
        <v>0</v>
      </c>
      <c r="V124" s="274">
        <f>Revenue!U56</f>
        <v>0</v>
      </c>
      <c r="W124" s="274">
        <f>Revenue!V56</f>
        <v>0</v>
      </c>
      <c r="X124" s="274">
        <f>Revenue!W56</f>
        <v>0</v>
      </c>
      <c r="Y124" s="274">
        <f>Revenue!X56</f>
        <v>0</v>
      </c>
      <c r="Z124" s="274">
        <f>Revenue!Y56</f>
        <v>0</v>
      </c>
      <c r="AA124" s="274">
        <f>Revenue!Z56</f>
        <v>0</v>
      </c>
      <c r="AB124" s="274">
        <f>Revenue!AA56</f>
        <v>0</v>
      </c>
      <c r="AC124" s="274">
        <f>Revenue!AB56</f>
        <v>0</v>
      </c>
      <c r="AD124" s="274">
        <f>Revenue!AC56</f>
        <v>0</v>
      </c>
      <c r="AE124" s="274">
        <f>Revenue!AD56</f>
        <v>0</v>
      </c>
      <c r="AF124" s="274">
        <f>Revenue!AE56</f>
        <v>0</v>
      </c>
      <c r="AG124" s="274">
        <f>Revenue!AF56</f>
        <v>0</v>
      </c>
    </row>
    <row r="125" spans="1:33">
      <c r="A125" s="32" t="s">
        <v>1185</v>
      </c>
      <c r="B125" s="32"/>
      <c r="C125" s="274">
        <f t="shared" ref="C125:W125" si="60">C126-SUM(C111:C124)</f>
        <v>59.397127701855879</v>
      </c>
      <c r="D125" s="274">
        <f t="shared" si="60"/>
        <v>76.8193355604609</v>
      </c>
      <c r="E125" s="274">
        <f t="shared" si="60"/>
        <v>90.71801905889879</v>
      </c>
      <c r="F125" s="274">
        <f t="shared" si="60"/>
        <v>104.43172430296499</v>
      </c>
      <c r="G125" s="274">
        <f t="shared" si="60"/>
        <v>118.98434487980353</v>
      </c>
      <c r="H125" s="274">
        <f t="shared" si="60"/>
        <v>133.73101197828646</v>
      </c>
      <c r="I125" s="274">
        <f t="shared" si="60"/>
        <v>144.3435763874113</v>
      </c>
      <c r="J125" s="274">
        <f t="shared" si="60"/>
        <v>153.50682585247887</v>
      </c>
      <c r="K125" s="274">
        <f t="shared" si="60"/>
        <v>165.35769996656313</v>
      </c>
      <c r="L125" s="274">
        <f t="shared" si="60"/>
        <v>173.80500201149357</v>
      </c>
      <c r="M125" s="274">
        <f t="shared" si="60"/>
        <v>185.77330616400468</v>
      </c>
      <c r="N125" s="274">
        <f t="shared" si="60"/>
        <v>197.4703702813124</v>
      </c>
      <c r="O125" s="274">
        <f t="shared" si="60"/>
        <v>210.703275755699</v>
      </c>
      <c r="P125" s="274">
        <f t="shared" si="60"/>
        <v>224.31288512571291</v>
      </c>
      <c r="Q125" s="274">
        <f t="shared" si="60"/>
        <v>233.03736105583425</v>
      </c>
      <c r="R125" s="274">
        <f t="shared" si="60"/>
        <v>236.03052319056587</v>
      </c>
      <c r="S125" s="274">
        <f t="shared" si="60"/>
        <v>235.81315301153154</v>
      </c>
      <c r="T125" s="274">
        <f t="shared" si="60"/>
        <v>237.1684128431591</v>
      </c>
      <c r="U125" s="274">
        <f t="shared" si="60"/>
        <v>238.96306633743734</v>
      </c>
      <c r="V125" s="274">
        <f t="shared" si="60"/>
        <v>244.39934237298394</v>
      </c>
      <c r="W125" s="274">
        <f t="shared" si="60"/>
        <v>245.78640591481599</v>
      </c>
      <c r="X125" s="274">
        <f t="shared" ref="X125:AG125" si="61">X126-SUM(X111:X124)</f>
        <v>248.49933819832904</v>
      </c>
      <c r="Y125" s="274">
        <f t="shared" si="61"/>
        <v>250.98299411726657</v>
      </c>
      <c r="Z125" s="274">
        <f t="shared" si="61"/>
        <v>253.82430758938494</v>
      </c>
      <c r="AA125" s="274">
        <f t="shared" si="61"/>
        <v>255.19456566882559</v>
      </c>
      <c r="AB125" s="274">
        <f t="shared" si="61"/>
        <v>260.64918016995352</v>
      </c>
      <c r="AC125" s="274">
        <f t="shared" si="61"/>
        <v>263.31222647337745</v>
      </c>
      <c r="AD125" s="274">
        <f t="shared" si="61"/>
        <v>265.56545083356718</v>
      </c>
      <c r="AE125" s="274">
        <f t="shared" si="61"/>
        <v>268.6069018074827</v>
      </c>
      <c r="AF125" s="274">
        <f t="shared" si="61"/>
        <v>271.76073983683227</v>
      </c>
      <c r="AG125" s="274">
        <f t="shared" si="61"/>
        <v>277.49270018523021</v>
      </c>
    </row>
    <row r="126" spans="1:33">
      <c r="A126" t="s">
        <v>1184</v>
      </c>
      <c r="C126" s="288">
        <f>Revenue!B84</f>
        <v>613.26206546993319</v>
      </c>
      <c r="D126" s="288">
        <f>Revenue!C84</f>
        <v>788.4984498943295</v>
      </c>
      <c r="E126" s="288">
        <f>Revenue!D84</f>
        <v>930.56183595226139</v>
      </c>
      <c r="F126" s="288">
        <f>Revenue!E84</f>
        <v>1064.4138790761504</v>
      </c>
      <c r="G126" s="288">
        <f>Revenue!F84</f>
        <v>1194.1010316559793</v>
      </c>
      <c r="H126" s="288">
        <f>Revenue!G84</f>
        <v>1297.3212869024642</v>
      </c>
      <c r="I126" s="288">
        <f>Revenue!H84</f>
        <v>1435.5747657501979</v>
      </c>
      <c r="J126" s="288">
        <f>Revenue!I84</f>
        <v>1553.0636777299287</v>
      </c>
      <c r="K126" s="288">
        <f>Revenue!J84</f>
        <v>1674.9399990990375</v>
      </c>
      <c r="L126" s="288">
        <f>Revenue!K84</f>
        <v>1779.8186796823709</v>
      </c>
      <c r="M126" s="288">
        <f>Revenue!L84</f>
        <v>1897.3984487874172</v>
      </c>
      <c r="N126" s="288">
        <f>Revenue!M84</f>
        <v>2009.6997391418645</v>
      </c>
      <c r="O126" s="288">
        <f>Revenue!N84</f>
        <v>2120.4542308785385</v>
      </c>
      <c r="P126" s="288">
        <f>Revenue!O84</f>
        <v>2222.4242428280568</v>
      </c>
      <c r="Q126" s="288">
        <f>Revenue!P84</f>
        <v>2247.0618630854533</v>
      </c>
      <c r="R126" s="288">
        <f>Revenue!Q84</f>
        <v>2233.3039223277265</v>
      </c>
      <c r="S126" s="288">
        <f>Revenue!R84</f>
        <v>2216.422963169498</v>
      </c>
      <c r="T126" s="288">
        <f>Revenue!S84</f>
        <v>2203.566621441606</v>
      </c>
      <c r="U126" s="288">
        <f>Revenue!T84</f>
        <v>2192.9549668903542</v>
      </c>
      <c r="V126" s="288">
        <f>Revenue!U84</f>
        <v>2186.3310874182071</v>
      </c>
      <c r="W126" s="288">
        <f>Revenue!V84</f>
        <v>2178.634049587894</v>
      </c>
      <c r="X126" s="288">
        <f>Revenue!W84</f>
        <v>2174.3099131615882</v>
      </c>
      <c r="Y126" s="288">
        <f>Revenue!X84</f>
        <v>2167.3020872864918</v>
      </c>
      <c r="Z126" s="288">
        <f>Revenue!Y84</f>
        <v>2162.6973162937593</v>
      </c>
      <c r="AA126" s="288">
        <f>Revenue!Z84</f>
        <v>2160.8026099937142</v>
      </c>
      <c r="AB126" s="288">
        <f>Revenue!AA84</f>
        <v>2163.4859999910313</v>
      </c>
      <c r="AC126" s="288">
        <f>Revenue!AB84</f>
        <v>2173.3713717276923</v>
      </c>
      <c r="AD126" s="288">
        <f>Revenue!AC84</f>
        <v>2185.2249787621176</v>
      </c>
      <c r="AE126" s="288">
        <f>Revenue!AD84</f>
        <v>2197.8682260330952</v>
      </c>
      <c r="AF126" s="288">
        <f>Revenue!AE84</f>
        <v>2206.6634865576525</v>
      </c>
      <c r="AG126" s="288">
        <f>Revenue!AF84</f>
        <v>2217.6537951556511</v>
      </c>
    </row>
  </sheetData>
  <mergeCells count="7">
    <mergeCell ref="A91:B91"/>
    <mergeCell ref="A110:B110"/>
    <mergeCell ref="A6:B6"/>
    <mergeCell ref="A23:B23"/>
    <mergeCell ref="A40:B40"/>
    <mergeCell ref="A57:B57"/>
    <mergeCell ref="A74:B74"/>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dimension ref="A1:I126"/>
  <sheetViews>
    <sheetView zoomScale="110" zoomScaleNormal="110" workbookViewId="0">
      <selection activeCell="L117" sqref="L117"/>
    </sheetView>
  </sheetViews>
  <sheetFormatPr defaultRowHeight="12"/>
  <cols>
    <col min="1" max="1" width="18.44140625" style="402" customWidth="1"/>
    <col min="2" max="2" width="8.6640625" style="402" customWidth="1"/>
    <col min="3" max="3" width="9.33203125" style="402" customWidth="1"/>
    <col min="4" max="9" width="9.33203125" style="402"/>
  </cols>
  <sheetData>
    <row r="1" spans="1:9" ht="26.15" customHeight="1">
      <c r="A1" s="404" t="s">
        <v>1423</v>
      </c>
    </row>
    <row r="2" spans="1:9" ht="12.9" customHeight="1"/>
    <row r="3" spans="1:9" ht="13">
      <c r="A3" s="402" t="s">
        <v>1475</v>
      </c>
      <c r="B3" s="220"/>
      <c r="C3" s="283">
        <f>ramps!C8</f>
        <v>10</v>
      </c>
      <c r="D3" s="283">
        <f>ramps!H8</f>
        <v>25</v>
      </c>
      <c r="E3" s="283">
        <f>ramps!M8</f>
        <v>40</v>
      </c>
      <c r="F3" s="283">
        <f>ramps!R8</f>
        <v>50</v>
      </c>
      <c r="G3" s="283">
        <f>ramps!W8</f>
        <v>50</v>
      </c>
      <c r="H3" s="283">
        <f>ramps!AB8</f>
        <v>50</v>
      </c>
      <c r="I3" s="283">
        <f>ramps!AG8</f>
        <v>50</v>
      </c>
    </row>
    <row r="4" spans="1:9" ht="14.5">
      <c r="A4" s="219"/>
      <c r="B4" s="220"/>
      <c r="C4" s="221"/>
      <c r="D4" s="221"/>
      <c r="E4" s="221"/>
      <c r="F4" s="221"/>
      <c r="G4" s="221"/>
      <c r="H4" s="220"/>
      <c r="I4" s="220"/>
    </row>
    <row r="5" spans="1:9" s="408" customFormat="1" ht="13">
      <c r="A5" s="250" t="s">
        <v>1279</v>
      </c>
      <c r="B5" s="240"/>
      <c r="C5" s="240"/>
      <c r="D5" s="240"/>
      <c r="E5" s="240"/>
      <c r="F5" s="240"/>
      <c r="G5" s="240"/>
      <c r="H5" s="240"/>
      <c r="I5" s="240"/>
    </row>
    <row r="6" spans="1:9">
      <c r="A6" s="554" t="s">
        <v>1187</v>
      </c>
      <c r="B6" s="554"/>
      <c r="C6" s="405">
        <v>2020</v>
      </c>
      <c r="D6" s="405">
        <v>2025</v>
      </c>
      <c r="E6" s="405">
        <v>2030</v>
      </c>
      <c r="F6" s="405">
        <v>2035</v>
      </c>
      <c r="G6" s="405">
        <v>2040</v>
      </c>
      <c r="H6" s="405">
        <v>2045</v>
      </c>
      <c r="I6" s="405">
        <v>2050</v>
      </c>
    </row>
    <row r="7" spans="1:9">
      <c r="A7" s="402" t="s">
        <v>1166</v>
      </c>
      <c r="C7" s="274">
        <f>'Baseline Price'!Q8*parameters!$B86</f>
        <v>3.859358265</v>
      </c>
      <c r="D7" s="274">
        <f>'Baseline Price'!V8*parameters!$B86</f>
        <v>4.658121135</v>
      </c>
      <c r="E7" s="274">
        <f>'Baseline Price'!AA8*parameters!$B86</f>
        <v>5.3894355750000003</v>
      </c>
      <c r="F7" s="274">
        <f>'Baseline Price'!AF8*parameters!$B86</f>
        <v>5.6292425550000003</v>
      </c>
      <c r="G7" s="274">
        <f>'Baseline Price'!AK8*parameters!$B86</f>
        <v>5.78635812</v>
      </c>
      <c r="H7" s="274">
        <f>'Baseline Price'!AP8*parameters!$B86</f>
        <v>5.8699723950000005</v>
      </c>
      <c r="I7" s="274">
        <f>'Baseline Price'!AU8*parameters!$B86</f>
        <v>5.8627899900000005</v>
      </c>
    </row>
    <row r="8" spans="1:9">
      <c r="A8" s="402" t="s">
        <v>1053</v>
      </c>
      <c r="C8" s="268">
        <v>1.1971395</v>
      </c>
      <c r="D8" s="268">
        <v>1.1248926000000001</v>
      </c>
      <c r="E8" s="268">
        <v>1.3769282999999999</v>
      </c>
      <c r="F8" s="268">
        <v>1.4443552</v>
      </c>
      <c r="G8" s="268">
        <v>1.4706718999999999</v>
      </c>
      <c r="H8" s="268">
        <v>1.5048656</v>
      </c>
      <c r="I8" s="268">
        <v>1.5578808</v>
      </c>
    </row>
    <row r="9" spans="1:9">
      <c r="A9" s="217" t="s">
        <v>857</v>
      </c>
      <c r="B9" s="217"/>
      <c r="C9" s="268">
        <f>'Baseline Price'!Q11*100/mmBtuTOkWh</f>
        <v>9.0824904468847407</v>
      </c>
      <c r="D9" s="268">
        <f>'Baseline Price'!V11*100/mmBtuTOkWh</f>
        <v>9.7243214459170311</v>
      </c>
      <c r="E9" s="268">
        <f>'Baseline Price'!AA11*100/mmBtuTOkWh</f>
        <v>10.745507847467568</v>
      </c>
      <c r="F9" s="268">
        <f>'Baseline Price'!AF11*100/mmBtuTOkWh</f>
        <v>11.50178094704567</v>
      </c>
      <c r="G9" s="268">
        <f>'Baseline Price'!AK11*100/mmBtuTOkWh</f>
        <v>12.004788779480689</v>
      </c>
      <c r="H9" s="268">
        <f>'Baseline Price'!AP11*100/mmBtuTOkWh</f>
        <v>12.456990742688477</v>
      </c>
      <c r="I9" s="268">
        <f>'Baseline Price'!AU11*100/mmBtuTOkWh</f>
        <v>12.831115191591861</v>
      </c>
    </row>
    <row r="10" spans="1:9">
      <c r="A10" s="402" t="s">
        <v>1167</v>
      </c>
      <c r="C10" s="284">
        <f>'Baseline Price'!Q15*parameters!$B86</f>
        <v>2.7977838750000004</v>
      </c>
      <c r="D10" s="284">
        <f>'Baseline Price'!V15*parameters!$B86</f>
        <v>3.127153635</v>
      </c>
      <c r="E10" s="284">
        <f>'Baseline Price'!AA15*parameters!$B86</f>
        <v>3.5443973250000003</v>
      </c>
      <c r="F10" s="284">
        <f>'Baseline Price'!AF15*parameters!$B86</f>
        <v>3.6866835450000002</v>
      </c>
      <c r="G10" s="284">
        <f>'Baseline Price'!AK15*parameters!$B86</f>
        <v>3.7608657750000001</v>
      </c>
      <c r="H10" s="284">
        <f>'Baseline Price'!AP15*parameters!$B86</f>
        <v>3.8022529949999999</v>
      </c>
      <c r="I10" s="284">
        <f>'Baseline Price'!AU15*parameters!$B86</f>
        <v>3.786362145</v>
      </c>
    </row>
    <row r="11" spans="1:9">
      <c r="A11" s="402" t="s">
        <v>1180</v>
      </c>
      <c r="C11" s="268">
        <f>'Baseline Price'!Q16*parameters!$B83</f>
        <v>3.2691208569600003</v>
      </c>
      <c r="D11" s="268">
        <f>'Baseline Price'!V16*parameters!$B83</f>
        <v>3.1022696872200002</v>
      </c>
      <c r="E11" s="268">
        <f>'Baseline Price'!AA16*parameters!$B83</f>
        <v>3.6937849672800001</v>
      </c>
      <c r="F11" s="268">
        <f>'Baseline Price'!AF16*parameters!$B83</f>
        <v>3.8914620109400002</v>
      </c>
      <c r="G11" s="268">
        <f>'Baseline Price'!AK16*parameters!$B83</f>
        <v>3.9918888516400002</v>
      </c>
      <c r="H11" s="268">
        <f>'Baseline Price'!AP16*parameters!$B83</f>
        <v>4.0204310578200007</v>
      </c>
      <c r="I11" s="268">
        <f>'Baseline Price'!AU16*parameters!$B83</f>
        <v>3.9940727814999999</v>
      </c>
    </row>
    <row r="12" spans="1:9">
      <c r="A12" s="402" t="s">
        <v>1164</v>
      </c>
      <c r="C12" s="268">
        <v>0.89983559999999996</v>
      </c>
      <c r="D12" s="268">
        <v>0.95073319999999995</v>
      </c>
      <c r="E12" s="268">
        <v>1.1780252</v>
      </c>
      <c r="F12" s="268">
        <v>1.2371734000000001</v>
      </c>
      <c r="G12" s="268">
        <v>1.2597868999999999</v>
      </c>
      <c r="H12" s="268">
        <v>1.2909482999999999</v>
      </c>
      <c r="I12" s="268">
        <v>1.3418079000000001</v>
      </c>
    </row>
    <row r="13" spans="1:9">
      <c r="A13" s="217" t="s">
        <v>1165</v>
      </c>
      <c r="B13" s="217"/>
      <c r="C13" s="268">
        <f>'Baseline Price'!Q19*100/mmBtuTOkWh</f>
        <v>7.8647707208982052</v>
      </c>
      <c r="D13" s="268">
        <f>'Baseline Price'!V19*100/mmBtuTOkWh</f>
        <v>8.566204074242151</v>
      </c>
      <c r="E13" s="268">
        <f>'Baseline Price'!AA19*100/mmBtuTOkWh</f>
        <v>9.0377820182874249</v>
      </c>
      <c r="F13" s="268">
        <f>'Baseline Price'!AF19*100/mmBtuTOkWh</f>
        <v>9.2422838980901698</v>
      </c>
      <c r="G13" s="268">
        <f>'Baseline Price'!AK19*100/mmBtuTOkWh</f>
        <v>9.2649113130665341</v>
      </c>
      <c r="H13" s="268">
        <f>'Baseline Price'!AP19*100/mmBtuTOkWh</f>
        <v>9.1603852887455943</v>
      </c>
      <c r="I13" s="268">
        <f>'Baseline Price'!AU19*100/mmBtuTOkWh</f>
        <v>8.9493728699905191</v>
      </c>
    </row>
    <row r="14" spans="1:9">
      <c r="A14" s="402" t="s">
        <v>1168</v>
      </c>
      <c r="C14" s="284">
        <f>'Baseline Price'!Q34*parameters!$B$83</f>
        <v>2.6003133908200002</v>
      </c>
      <c r="D14" s="284">
        <f>'Baseline Price'!V34*parameters!$B$83</f>
        <v>3.03616559096</v>
      </c>
      <c r="E14" s="284">
        <f>'Baseline Price'!AA34*parameters!$B$83</f>
        <v>3.1494097109000001</v>
      </c>
      <c r="F14" s="284">
        <f>'Baseline Price'!AF34*parameters!$B$83</f>
        <v>3.2964046623400001</v>
      </c>
      <c r="G14" s="284">
        <f>'Baseline Price'!AK34*parameters!$B$83</f>
        <v>3.4242462315600002</v>
      </c>
      <c r="H14" s="284">
        <f>'Baseline Price'!AP34*parameters!$B$83</f>
        <v>3.5403180440399997</v>
      </c>
      <c r="I14" s="284">
        <f>'Baseline Price'!AU34*parameters!$B$83</f>
        <v>3.6537871924200003</v>
      </c>
    </row>
    <row r="15" spans="1:9">
      <c r="A15" s="402" t="s">
        <v>555</v>
      </c>
      <c r="C15" s="268">
        <f>'Baseline Price'!Q26</f>
        <v>4.8021380000000002</v>
      </c>
      <c r="D15" s="268">
        <f>'Baseline Price'!V26</f>
        <v>5.2141450000000003</v>
      </c>
      <c r="E15" s="268">
        <f>'Baseline Price'!AA26</f>
        <v>5.3976249999999997</v>
      </c>
      <c r="F15" s="268">
        <f>'Baseline Price'!AF26</f>
        <v>5.7127290000000004</v>
      </c>
      <c r="G15" s="268">
        <f>'Baseline Price'!AK26</f>
        <v>5.9356419999999996</v>
      </c>
      <c r="H15" s="268">
        <f>'Baseline Price'!AP26</f>
        <v>6.2548149999999998</v>
      </c>
      <c r="I15" s="268">
        <f>'Baseline Price'!AU26</f>
        <v>6.8125</v>
      </c>
    </row>
    <row r="16" spans="1:9">
      <c r="A16" s="217" t="s">
        <v>858</v>
      </c>
      <c r="B16" s="217"/>
      <c r="C16" s="268">
        <f>'Baseline Price'!Q30*100/mmBtuTOkWh</f>
        <v>4.2655698617196469</v>
      </c>
      <c r="D16" s="268">
        <f>'Baseline Price'!V30*100/mmBtuTOkWh</f>
        <v>4.7589419531484074</v>
      </c>
      <c r="E16" s="268">
        <f>'Baseline Price'!AA30*100/mmBtuTOkWh</f>
        <v>5.0016534369889776</v>
      </c>
      <c r="F16" s="268">
        <f>'Baseline Price'!AF30*100/mmBtuTOkWh</f>
        <v>5.0995796161154718</v>
      </c>
      <c r="G16" s="268">
        <f>'Baseline Price'!AK30*100/mmBtuTOkWh</f>
        <v>5.1147790700102975</v>
      </c>
      <c r="H16" s="268">
        <f>'Baseline Price'!AP30*100/mmBtuTOkWh</f>
        <v>5.0742335486794277</v>
      </c>
      <c r="I16" s="268">
        <f>'Baseline Price'!AU30*100/mmBtuTOkWh</f>
        <v>4.9931695771349975</v>
      </c>
    </row>
    <row r="17" spans="1:9">
      <c r="A17" s="402" t="s">
        <v>1084</v>
      </c>
      <c r="C17" s="285">
        <f>'Baseline Price'!Q25*parameters!$B$160</f>
        <v>56.802823650000001</v>
      </c>
      <c r="D17" s="285">
        <f>'Baseline Price'!V25*parameters!$B$160</f>
        <v>65.283490049999997</v>
      </c>
      <c r="E17" s="285">
        <f>'Baseline Price'!AA25*parameters!$B$160</f>
        <v>74.491717050000005</v>
      </c>
      <c r="F17" s="285">
        <f>'Baseline Price'!AF25*parameters!$B$160</f>
        <v>79.269878550000001</v>
      </c>
      <c r="G17" s="285">
        <f>'Baseline Price'!AK25*parameters!$B$160</f>
        <v>83.151315449999998</v>
      </c>
      <c r="H17" s="285">
        <f>'Baseline Price'!AP25*parameters!$B$160</f>
        <v>84.979829549999991</v>
      </c>
      <c r="I17" s="285">
        <f>'Baseline Price'!AU25*parameters!$B$160</f>
        <v>85.149826050000001</v>
      </c>
    </row>
    <row r="18" spans="1:9">
      <c r="A18" s="402" t="s">
        <v>860</v>
      </c>
      <c r="C18" s="268">
        <f>'Baseline Price'!Q36*parameters!$B$74</f>
        <v>3.0990329708247741</v>
      </c>
      <c r="D18" s="268">
        <f>'Baseline Price'!V36*parameters!$B$74</f>
        <v>3.775293993106311</v>
      </c>
      <c r="E18" s="268">
        <f>'Baseline Price'!AA36*parameters!$B$74</f>
        <v>3.9348204815618368</v>
      </c>
      <c r="F18" s="268">
        <f>'Baseline Price'!AF36*parameters!$B$74</f>
        <v>4.041380784963601</v>
      </c>
      <c r="G18" s="268">
        <f>'Baseline Price'!AK36*parameters!$B$74</f>
        <v>4.1594731405688776</v>
      </c>
      <c r="H18" s="268">
        <f>'Baseline Price'!AP36*parameters!$B$74</f>
        <v>4.231944635027312</v>
      </c>
      <c r="I18" s="268">
        <f>'Baseline Price'!AU36*parameters!$B$74</f>
        <v>4.2779278372879324</v>
      </c>
    </row>
    <row r="19" spans="1:9">
      <c r="A19" s="402" t="s">
        <v>861</v>
      </c>
      <c r="C19" s="268">
        <f>'Baseline Price'!Q38*parameters!$B$83</f>
        <v>3.1678454956812971</v>
      </c>
      <c r="D19" s="268">
        <f>'Baseline Price'!V38*parameters!$B$83</f>
        <v>3.8732046186193467</v>
      </c>
      <c r="E19" s="268">
        <f>'Baseline Price'!AA38*parameters!$B$83</f>
        <v>4.1004974045083618</v>
      </c>
      <c r="F19" s="268">
        <f>'Baseline Price'!AF38*parameters!$B$83</f>
        <v>4.2529132993557948</v>
      </c>
      <c r="G19" s="268">
        <f>'Baseline Price'!AK38*parameters!$B$83</f>
        <v>4.388777378068502</v>
      </c>
      <c r="H19" s="268">
        <f>'Baseline Price'!AP38*parameters!$B$83</f>
        <v>4.4431054385404813</v>
      </c>
      <c r="I19" s="268">
        <f>'Baseline Price'!AU38*parameters!$B$83</f>
        <v>4.4430358323016268</v>
      </c>
    </row>
    <row r="20" spans="1:9">
      <c r="A20" s="402" t="s">
        <v>1026</v>
      </c>
      <c r="C20" s="274">
        <f>'Baseline Price'!Q37*parameters!$B$86</f>
        <v>2.2485298950000003</v>
      </c>
      <c r="D20" s="274">
        <f>'Baseline Price'!V37*parameters!$B$86</f>
        <v>2.7303567750000002</v>
      </c>
      <c r="E20" s="274">
        <f>'Baseline Price'!AA37*parameters!$B$86</f>
        <v>2.9326382100000004</v>
      </c>
      <c r="F20" s="274">
        <f>'Baseline Price'!AF37*parameters!$B$86</f>
        <v>3.1197360600000001</v>
      </c>
      <c r="G20" s="274">
        <f>'Baseline Price'!AK37*parameters!$B$86</f>
        <v>3.2978105100000001</v>
      </c>
      <c r="H20" s="274">
        <f>'Baseline Price'!AP37*parameters!$B$86</f>
        <v>3.4191076050000002</v>
      </c>
      <c r="I20" s="274">
        <f>'Baseline Price'!AU37*parameters!$B$86</f>
        <v>3.545841555</v>
      </c>
    </row>
    <row r="21" spans="1:9" ht="13">
      <c r="C21" s="164"/>
      <c r="D21" s="164"/>
      <c r="E21" s="164"/>
      <c r="F21" s="164"/>
      <c r="G21" s="164"/>
    </row>
    <row r="22" spans="1:9" s="408" customFormat="1" ht="13">
      <c r="A22" s="250" t="s">
        <v>1280</v>
      </c>
      <c r="B22" s="240"/>
      <c r="C22" s="240"/>
      <c r="D22" s="240"/>
      <c r="E22" s="240"/>
      <c r="F22" s="240"/>
      <c r="G22" s="240"/>
      <c r="H22" s="240"/>
      <c r="I22" s="240"/>
    </row>
    <row r="23" spans="1:9">
      <c r="A23" s="554" t="str">
        <f>A6</f>
        <v>Sector and Fuel Category</v>
      </c>
      <c r="B23" s="554"/>
      <c r="C23" s="405">
        <v>2020</v>
      </c>
      <c r="D23" s="405">
        <v>2025</v>
      </c>
      <c r="E23" s="405">
        <v>2030</v>
      </c>
      <c r="F23" s="405">
        <v>2035</v>
      </c>
      <c r="G23" s="405">
        <v>2040</v>
      </c>
      <c r="H23" s="405">
        <v>2045</v>
      </c>
      <c r="I23" s="405">
        <v>2050</v>
      </c>
    </row>
    <row r="24" spans="1:9">
      <c r="A24" s="402" t="s">
        <v>1166</v>
      </c>
      <c r="C24" s="274">
        <f>'Adjusted price'!B8*parameters!$B86</f>
        <v>3.9434362650000003</v>
      </c>
      <c r="D24" s="274">
        <f>'Adjusted price'!G8*parameters!$B86</f>
        <v>4.8683161350000006</v>
      </c>
      <c r="E24" s="274">
        <f>'Adjusted price'!L8*parameters!$B86</f>
        <v>5.7257475750000006</v>
      </c>
      <c r="F24" s="274">
        <f>'Adjusted price'!Q8*parameters!$B86</f>
        <v>6.0496325550000014</v>
      </c>
      <c r="G24" s="274">
        <f>'Adjusted price'!V8*parameters!$B86</f>
        <v>6.2067481199999994</v>
      </c>
      <c r="H24" s="274">
        <f>'Adjusted price'!AA8*parameters!$B86</f>
        <v>6.2903623950000007</v>
      </c>
      <c r="I24" s="274">
        <f>'Adjusted price'!AF8*parameters!$B86</f>
        <v>6.2831799900000007</v>
      </c>
    </row>
    <row r="25" spans="1:9">
      <c r="A25" s="402" t="s">
        <v>1053</v>
      </c>
      <c r="C25" s="268">
        <v>1.2501961666666668</v>
      </c>
      <c r="D25" s="268">
        <v>1.3105909333333337</v>
      </c>
      <c r="E25" s="268">
        <v>1.6952683</v>
      </c>
      <c r="F25" s="268">
        <v>1.8953368666666666</v>
      </c>
      <c r="G25" s="268">
        <v>2.0542952333333337</v>
      </c>
      <c r="H25" s="268">
        <v>2.2211306000000004</v>
      </c>
      <c r="I25" s="268">
        <v>2.4067874666666675</v>
      </c>
    </row>
    <row r="26" spans="1:9">
      <c r="A26" s="217" t="s">
        <v>857</v>
      </c>
      <c r="B26" s="217"/>
      <c r="C26" s="268">
        <f>'Adjusted price'!B11*100/mmBtuTOkWh</f>
        <v>9.2143229520252845</v>
      </c>
      <c r="D26" s="268">
        <f>'Adjusted price'!G11*100/mmBtuTOkWh</f>
        <v>9.7038627522171428</v>
      </c>
      <c r="E26" s="268">
        <f>'Adjusted price'!L11*100/mmBtuTOkWh</f>
        <v>10.781825644223591</v>
      </c>
      <c r="F26" s="268">
        <f>'Adjusted price'!Q11*100/mmBtuTOkWh</f>
        <v>11.558265891568695</v>
      </c>
      <c r="G26" s="268">
        <f>'Adjusted price'!V11*100/mmBtuTOkWh</f>
        <v>12.031406729320446</v>
      </c>
      <c r="H26" s="268">
        <f>'Adjusted price'!AA11*100/mmBtuTOkWh</f>
        <v>12.4537348094441</v>
      </c>
      <c r="I26" s="268">
        <f>'Adjusted price'!AF11*100/mmBtuTOkWh</f>
        <v>12.827859258347484</v>
      </c>
    </row>
    <row r="27" spans="1:9">
      <c r="A27" s="402" t="s">
        <v>1167</v>
      </c>
      <c r="C27" s="284">
        <f>'Adjusted price'!B15*parameters!$B86</f>
        <v>2.8818618749999998</v>
      </c>
      <c r="D27" s="284">
        <f>'Adjusted price'!G15*parameters!$B86</f>
        <v>3.3373486349999997</v>
      </c>
      <c r="E27" s="284">
        <f>'Adjusted price'!L15*parameters!$B86</f>
        <v>3.8807093250000002</v>
      </c>
      <c r="F27" s="284">
        <f>'Adjusted price'!Q15*parameters!$B86</f>
        <v>4.1070735450000004</v>
      </c>
      <c r="G27" s="284">
        <f>'Adjusted price'!V15*parameters!$B86</f>
        <v>4.1812557750000003</v>
      </c>
      <c r="H27" s="284">
        <f>'Adjusted price'!AA15*parameters!$B86</f>
        <v>4.2226429949999993</v>
      </c>
      <c r="I27" s="284">
        <f>'Adjusted price'!AF15*parameters!$B86</f>
        <v>4.2067521450000003</v>
      </c>
    </row>
    <row r="28" spans="1:9">
      <c r="A28" s="402" t="s">
        <v>1180</v>
      </c>
      <c r="C28" s="268">
        <f>'Adjusted price'!B16*parameters!$B83</f>
        <v>3.3696143269600003</v>
      </c>
      <c r="D28" s="268">
        <f>'Adjusted price'!G16*parameters!$B83</f>
        <v>3.3535033622200001</v>
      </c>
      <c r="E28" s="268">
        <f>'Adjusted price'!L16*parameters!$B83</f>
        <v>4.0957588472799999</v>
      </c>
      <c r="F28" s="268">
        <f>'Adjusted price'!Q16*parameters!$B83</f>
        <v>4.3939293609400005</v>
      </c>
      <c r="G28" s="268">
        <f>'Adjusted price'!V16*parameters!$B83</f>
        <v>4.4943562016399996</v>
      </c>
      <c r="H28" s="268">
        <f>'Adjusted price'!AA16*parameters!$B83</f>
        <v>4.5228984078200005</v>
      </c>
      <c r="I28" s="268">
        <f>'Adjusted price'!AF16*parameters!$B83</f>
        <v>4.4965401314999998</v>
      </c>
    </row>
    <row r="29" spans="1:9">
      <c r="A29" s="402" t="s">
        <v>1164</v>
      </c>
      <c r="C29" s="268">
        <v>0.9528922666666666</v>
      </c>
      <c r="D29" s="268">
        <v>1.1364315333333335</v>
      </c>
      <c r="E29" s="268">
        <v>1.4963652000000003</v>
      </c>
      <c r="F29" s="268">
        <v>1.6881550666666669</v>
      </c>
      <c r="G29" s="268">
        <v>1.8434102333333335</v>
      </c>
      <c r="H29" s="268">
        <v>2.0072133000000005</v>
      </c>
      <c r="I29" s="268">
        <v>2.1907145666666672</v>
      </c>
    </row>
    <row r="30" spans="1:9">
      <c r="A30" s="217" t="s">
        <v>1165</v>
      </c>
      <c r="B30" s="217"/>
      <c r="C30" s="268">
        <f>'Adjusted price'!B19*100/mmBtuTOkWh</f>
        <v>7.996603226038749</v>
      </c>
      <c r="D30" s="268">
        <f>'Adjusted price'!G19*100/mmBtuTOkWh</f>
        <v>8.5457453805422627</v>
      </c>
      <c r="E30" s="268">
        <f>'Adjusted price'!L19*100/mmBtuTOkWh</f>
        <v>9.0740998150434464</v>
      </c>
      <c r="F30" s="268">
        <f>'Adjusted price'!Q19*100/mmBtuTOkWh</f>
        <v>9.2987688426131925</v>
      </c>
      <c r="G30" s="268">
        <f>'Adjusted price'!V19*100/mmBtuTOkWh</f>
        <v>9.2915292629062929</v>
      </c>
      <c r="H30" s="268">
        <f>'Adjusted price'!AA19*100/mmBtuTOkWh</f>
        <v>9.1571293555012172</v>
      </c>
      <c r="I30" s="268">
        <f>'Adjusted price'!AF19*100/mmBtuTOkWh</f>
        <v>8.9461169367461419</v>
      </c>
    </row>
    <row r="31" spans="1:9">
      <c r="A31" s="402" t="s">
        <v>1168</v>
      </c>
      <c r="C31" s="284">
        <f>'Adjusted price'!B34*parameters!$B$83</f>
        <v>2.68587365482</v>
      </c>
      <c r="D31" s="284">
        <f>'Adjusted price'!G34*parameters!$B$83</f>
        <v>3.2500662509600002</v>
      </c>
      <c r="E31" s="284">
        <f>'Adjusted price'!L34*parameters!$B$83</f>
        <v>3.4916507668999999</v>
      </c>
      <c r="F31" s="284">
        <f>'Adjusted price'!Q34*parameters!$B$83</f>
        <v>3.72420598234</v>
      </c>
      <c r="G31" s="284">
        <f>'Adjusted price'!V34*parameters!$B$83</f>
        <v>3.8520475515600001</v>
      </c>
      <c r="H31" s="284">
        <f>'Adjusted price'!AA34*parameters!$B$83</f>
        <v>3.9681193640399997</v>
      </c>
      <c r="I31" s="284">
        <f>'Adjusted price'!AF34*parameters!$B$83</f>
        <v>4.0815885124199998</v>
      </c>
    </row>
    <row r="32" spans="1:9">
      <c r="A32" s="402" t="s">
        <v>555</v>
      </c>
      <c r="C32" s="268">
        <f>'Adjusted price'!B26</f>
        <v>5.3327046666666673</v>
      </c>
      <c r="D32" s="268">
        <f>'Adjusted price'!G26</f>
        <v>6.5405616666666679</v>
      </c>
      <c r="E32" s="268">
        <f>'Adjusted price'!L26</f>
        <v>7.519891666666668</v>
      </c>
      <c r="F32" s="268">
        <f>'Adjusted price'!Q26</f>
        <v>8.3655623333333349</v>
      </c>
      <c r="G32" s="268">
        <f>'Adjusted price'!V26</f>
        <v>8.588475333333335</v>
      </c>
      <c r="H32" s="268">
        <f>'Adjusted price'!AA26</f>
        <v>8.9076483333333343</v>
      </c>
      <c r="I32" s="268">
        <f>'Adjusted price'!AF26</f>
        <v>9.4653333333333336</v>
      </c>
    </row>
    <row r="33" spans="1:9">
      <c r="A33" s="217" t="s">
        <v>858</v>
      </c>
      <c r="B33" s="217"/>
      <c r="C33" s="268">
        <f>'Adjusted price'!B30*100/mmBtuTOkWh</f>
        <v>4.3974023668601907</v>
      </c>
      <c r="D33" s="268">
        <f>'Adjusted price'!G30*100/mmBtuTOkWh</f>
        <v>4.7384832594485191</v>
      </c>
      <c r="E33" s="268">
        <f>'Adjusted price'!L30*100/mmBtuTOkWh</f>
        <v>5.0379712337449991</v>
      </c>
      <c r="F33" s="268">
        <f>'Adjusted price'!Q30*100/mmBtuTOkWh</f>
        <v>5.1560645606384945</v>
      </c>
      <c r="G33" s="268">
        <f>'Adjusted price'!V30*100/mmBtuTOkWh</f>
        <v>5.1413970198500563</v>
      </c>
      <c r="H33" s="268">
        <f>'Adjusted price'!AA30*100/mmBtuTOkWh</f>
        <v>5.0709776154350505</v>
      </c>
      <c r="I33" s="268">
        <f>'Adjusted price'!AF30*100/mmBtuTOkWh</f>
        <v>4.9899136438906204</v>
      </c>
    </row>
    <row r="34" spans="1:9">
      <c r="A34" s="402" t="s">
        <v>1084</v>
      </c>
      <c r="C34" s="285">
        <f>'Adjusted price'!B25*parameters!$B$160</f>
        <v>56.802823650000001</v>
      </c>
      <c r="D34" s="285">
        <f>'Adjusted price'!G25*parameters!$B$160</f>
        <v>65.283490049999997</v>
      </c>
      <c r="E34" s="285">
        <f>'Adjusted price'!L25*parameters!$B$160</f>
        <v>74.491717050000005</v>
      </c>
      <c r="F34" s="285">
        <f>'Adjusted price'!Q25*parameters!$B$160</f>
        <v>79.269878550000001</v>
      </c>
      <c r="G34" s="285">
        <f>'Adjusted price'!V25*parameters!$B$160</f>
        <v>83.151315449999998</v>
      </c>
      <c r="H34" s="285">
        <f>'Adjusted price'!AA25*parameters!$B$160</f>
        <v>84.979829549999991</v>
      </c>
      <c r="I34" s="285">
        <f>'Adjusted price'!AF25*parameters!$B$160</f>
        <v>85.149826050000001</v>
      </c>
    </row>
    <row r="35" spans="1:9">
      <c r="A35" s="402" t="s">
        <v>860</v>
      </c>
      <c r="C35" s="268">
        <f>'Adjusted price'!B36*parameters!$B$74</f>
        <v>3.1871610181581076</v>
      </c>
      <c r="D35" s="268">
        <f>'Adjusted price'!G36*parameters!$B$74</f>
        <v>3.9956141114396444</v>
      </c>
      <c r="E35" s="268">
        <f>'Adjusted price'!L36*parameters!$B$74</f>
        <v>4.2873326708951698</v>
      </c>
      <c r="F35" s="268">
        <f>'Adjusted price'!Q36*parameters!$B$74</f>
        <v>4.4820210216302678</v>
      </c>
      <c r="G35" s="268">
        <f>'Adjusted price'!V36*parameters!$B$74</f>
        <v>4.6001133772355445</v>
      </c>
      <c r="H35" s="268">
        <f>'Adjusted price'!AA36*parameters!$B$74</f>
        <v>4.6725848716939797</v>
      </c>
      <c r="I35" s="268">
        <f>'Adjusted price'!AF36*parameters!$B$74</f>
        <v>4.7185680739545992</v>
      </c>
    </row>
    <row r="36" spans="1:9">
      <c r="A36" s="402" t="s">
        <v>861</v>
      </c>
      <c r="C36" s="268">
        <f>'Adjusted price'!B38*parameters!$B$83</f>
        <v>3.2683389656812971</v>
      </c>
      <c r="D36" s="268">
        <f>'Adjusted price'!G38*parameters!$B$83</f>
        <v>4.1244382936193462</v>
      </c>
      <c r="E36" s="268">
        <f>'Adjusted price'!L38*parameters!$B$83</f>
        <v>4.5024712845083616</v>
      </c>
      <c r="F36" s="268">
        <f>'Adjusted price'!Q38*parameters!$B$83</f>
        <v>4.7553806493557946</v>
      </c>
      <c r="G36" s="268">
        <f>'Adjusted price'!V38*parameters!$B$83</f>
        <v>4.8912447280685019</v>
      </c>
      <c r="H36" s="268">
        <f>'Adjusted price'!AA38*parameters!$B$83</f>
        <v>4.9455727885404812</v>
      </c>
      <c r="I36" s="268">
        <f>'Adjusted price'!AF38*parameters!$B$83</f>
        <v>4.9455031823016267</v>
      </c>
    </row>
    <row r="37" spans="1:9">
      <c r="A37" s="402" t="s">
        <v>1026</v>
      </c>
      <c r="C37" s="274">
        <f>'Adjusted price'!B37*parameters!$B$86</f>
        <v>2.2485298950000003</v>
      </c>
      <c r="D37" s="274">
        <f>'Adjusted price'!G37*parameters!$B$86</f>
        <v>2.7303567750000002</v>
      </c>
      <c r="E37" s="274">
        <f>'Adjusted price'!L37*parameters!$B$86</f>
        <v>2.9326382100000004</v>
      </c>
      <c r="F37" s="274">
        <f>'Adjusted price'!Q37*parameters!$B$86</f>
        <v>3.1197360600000001</v>
      </c>
      <c r="G37" s="274">
        <f>'Adjusted price'!V37*parameters!$B$86</f>
        <v>3.2978105100000001</v>
      </c>
      <c r="H37" s="274">
        <f>'Adjusted price'!AA37*parameters!$B$86</f>
        <v>3.4191076050000002</v>
      </c>
      <c r="I37" s="274">
        <f>'Adjusted price'!AF37*parameters!$B$86</f>
        <v>3.545841555</v>
      </c>
    </row>
    <row r="38" spans="1:9" ht="13">
      <c r="C38" s="164"/>
      <c r="D38" s="164"/>
      <c r="E38" s="164"/>
      <c r="F38" s="164"/>
      <c r="G38" s="164"/>
    </row>
    <row r="39" spans="1:9" s="408" customFormat="1" ht="13">
      <c r="A39" s="250" t="s">
        <v>1169</v>
      </c>
      <c r="B39" s="240"/>
      <c r="C39" s="240"/>
      <c r="D39" s="240"/>
      <c r="E39" s="240"/>
      <c r="F39" s="240"/>
      <c r="G39" s="240"/>
      <c r="H39" s="240"/>
      <c r="I39" s="240"/>
    </row>
    <row r="40" spans="1:9">
      <c r="A40" s="554" t="str">
        <f>A6</f>
        <v>Sector and Fuel Category</v>
      </c>
      <c r="B40" s="554"/>
      <c r="C40" s="405">
        <v>2020</v>
      </c>
      <c r="D40" s="405">
        <v>2025</v>
      </c>
      <c r="E40" s="405">
        <v>2030</v>
      </c>
      <c r="F40" s="405">
        <v>2035</v>
      </c>
      <c r="G40" s="405">
        <v>2040</v>
      </c>
      <c r="H40" s="405">
        <v>2045</v>
      </c>
      <c r="I40" s="405">
        <v>2050</v>
      </c>
    </row>
    <row r="41" spans="1:9">
      <c r="A41" s="402" t="s">
        <v>1162</v>
      </c>
      <c r="C41" s="269">
        <f t="shared" ref="C41:I49" si="0">(C24-C7)/C7</f>
        <v>2.1785487178656714E-2</v>
      </c>
      <c r="D41" s="269">
        <f t="shared" si="0"/>
        <v>4.512441688573661E-2</v>
      </c>
      <c r="E41" s="269">
        <f t="shared" si="0"/>
        <v>6.240208187292421E-2</v>
      </c>
      <c r="F41" s="269">
        <f t="shared" si="0"/>
        <v>7.4679674199969015E-2</v>
      </c>
      <c r="G41" s="269">
        <f t="shared" si="0"/>
        <v>7.2651915294865879E-2</v>
      </c>
      <c r="H41" s="269">
        <f t="shared" si="0"/>
        <v>7.1617031854883231E-2</v>
      </c>
      <c r="I41" s="269">
        <f t="shared" si="0"/>
        <v>7.1704768671067509E-2</v>
      </c>
    </row>
    <row r="42" spans="1:9">
      <c r="A42" s="402" t="s">
        <v>1170</v>
      </c>
      <c r="C42" s="269">
        <f t="shared" si="0"/>
        <v>4.4319535581832152E-2</v>
      </c>
      <c r="D42" s="269">
        <f t="shared" si="0"/>
        <v>0.16508094491272635</v>
      </c>
      <c r="E42" s="269">
        <f t="shared" si="0"/>
        <v>0.23119577105067859</v>
      </c>
      <c r="F42" s="269">
        <f t="shared" si="0"/>
        <v>0.31223736838879151</v>
      </c>
      <c r="G42" s="269">
        <f t="shared" si="0"/>
        <v>0.39684128957202069</v>
      </c>
      <c r="H42" s="269">
        <f t="shared" si="0"/>
        <v>0.47596609291886288</v>
      </c>
      <c r="I42" s="269">
        <f t="shared" si="0"/>
        <v>0.54491118105227798</v>
      </c>
    </row>
    <row r="43" spans="1:9">
      <c r="A43" s="217" t="s">
        <v>1171</v>
      </c>
      <c r="B43" s="217"/>
      <c r="C43" s="269">
        <f t="shared" si="0"/>
        <v>1.4515017209378055E-2</v>
      </c>
      <c r="D43" s="269">
        <f t="shared" si="0"/>
        <v>-2.1038685129519566E-3</v>
      </c>
      <c r="E43" s="269">
        <f t="shared" si="0"/>
        <v>3.3798120360204712E-3</v>
      </c>
      <c r="F43" s="269">
        <f t="shared" si="0"/>
        <v>4.9109737685912955E-3</v>
      </c>
      <c r="G43" s="269">
        <f t="shared" si="0"/>
        <v>2.2172776488374349E-3</v>
      </c>
      <c r="H43" s="269">
        <f t="shared" si="0"/>
        <v>-2.6137397960965492E-4</v>
      </c>
      <c r="I43" s="269">
        <f t="shared" si="0"/>
        <v>-2.5375294319785298E-4</v>
      </c>
    </row>
    <row r="44" spans="1:9">
      <c r="A44" s="402" t="s">
        <v>1163</v>
      </c>
      <c r="C44" s="286">
        <f t="shared" si="0"/>
        <v>3.0051642212713597E-2</v>
      </c>
      <c r="D44" s="286">
        <f t="shared" si="0"/>
        <v>6.7216077153177567E-2</v>
      </c>
      <c r="E44" s="286">
        <f t="shared" si="0"/>
        <v>9.4885524720341535E-2</v>
      </c>
      <c r="F44" s="286">
        <f t="shared" si="0"/>
        <v>0.11402931520123197</v>
      </c>
      <c r="G44" s="286">
        <f t="shared" si="0"/>
        <v>0.11178011265238527</v>
      </c>
      <c r="H44" s="286">
        <f t="shared" si="0"/>
        <v>0.11056339505888124</v>
      </c>
      <c r="I44" s="286">
        <f t="shared" si="0"/>
        <v>0.11102741467958561</v>
      </c>
    </row>
    <row r="45" spans="1:9">
      <c r="A45" s="402" t="s">
        <v>1181</v>
      </c>
      <c r="C45" s="269">
        <f t="shared" si="0"/>
        <v>3.0740212551655311E-2</v>
      </c>
      <c r="D45" s="269">
        <f t="shared" si="0"/>
        <v>8.0983828077543757E-2</v>
      </c>
      <c r="E45" s="269">
        <f t="shared" si="0"/>
        <v>0.1088243857075422</v>
      </c>
      <c r="F45" s="269">
        <f t="shared" si="0"/>
        <v>0.12912045616465548</v>
      </c>
      <c r="G45" s="269">
        <f t="shared" si="0"/>
        <v>0.12587207927734992</v>
      </c>
      <c r="H45" s="269">
        <f t="shared" si="0"/>
        <v>0.12497847687816163</v>
      </c>
      <c r="I45" s="269">
        <f t="shared" si="0"/>
        <v>0.12580325334264314</v>
      </c>
    </row>
    <row r="46" spans="1:9">
      <c r="A46" s="402" t="s">
        <v>1172</v>
      </c>
      <c r="C46" s="269">
        <f t="shared" si="0"/>
        <v>5.8962622357535806E-2</v>
      </c>
      <c r="D46" s="269">
        <f t="shared" si="0"/>
        <v>0.19532118299154119</v>
      </c>
      <c r="E46" s="269">
        <f t="shared" si="0"/>
        <v>0.27023191014929077</v>
      </c>
      <c r="F46" s="269">
        <f t="shared" si="0"/>
        <v>0.36452583499343488</v>
      </c>
      <c r="G46" s="269">
        <f t="shared" si="0"/>
        <v>0.46327147340025016</v>
      </c>
      <c r="H46" s="269">
        <f t="shared" si="0"/>
        <v>0.55483631683778556</v>
      </c>
      <c r="I46" s="269">
        <f t="shared" si="0"/>
        <v>0.63265886768640067</v>
      </c>
    </row>
    <row r="47" spans="1:9">
      <c r="A47" s="217" t="s">
        <v>1173</v>
      </c>
      <c r="B47" s="217"/>
      <c r="C47" s="269">
        <f t="shared" si="0"/>
        <v>1.6762409206696836E-2</v>
      </c>
      <c r="D47" s="269">
        <f t="shared" si="0"/>
        <v>-2.3883033281224112E-3</v>
      </c>
      <c r="E47" s="269">
        <f t="shared" si="0"/>
        <v>4.0184413258180594E-3</v>
      </c>
      <c r="F47" s="269">
        <f t="shared" si="0"/>
        <v>6.1115786039308683E-3</v>
      </c>
      <c r="G47" s="269">
        <f t="shared" si="0"/>
        <v>2.8729848500782498E-3</v>
      </c>
      <c r="H47" s="269">
        <f t="shared" si="0"/>
        <v>-3.5543627715936164E-4</v>
      </c>
      <c r="I47" s="269">
        <f t="shared" si="0"/>
        <v>-3.6381691674676725E-4</v>
      </c>
    </row>
    <row r="48" spans="1:9">
      <c r="A48" s="402" t="s">
        <v>1174</v>
      </c>
      <c r="C48" s="286">
        <f t="shared" si="0"/>
        <v>3.290382778554956E-2</v>
      </c>
      <c r="D48" s="286">
        <f t="shared" si="0"/>
        <v>7.0450920278154958E-2</v>
      </c>
      <c r="E48" s="286">
        <f t="shared" si="0"/>
        <v>0.10866831800750315</v>
      </c>
      <c r="F48" s="286">
        <f t="shared" si="0"/>
        <v>0.12977815645252699</v>
      </c>
      <c r="G48" s="286">
        <f t="shared" si="0"/>
        <v>0.12493298994012601</v>
      </c>
      <c r="H48" s="286">
        <f t="shared" si="0"/>
        <v>0.12083697415834951</v>
      </c>
      <c r="I48" s="286">
        <f t="shared" si="0"/>
        <v>0.11708435589448091</v>
      </c>
    </row>
    <row r="49" spans="1:9">
      <c r="A49" s="402" t="s">
        <v>1175</v>
      </c>
      <c r="C49" s="269">
        <f t="shared" si="0"/>
        <v>0.11048551013458319</v>
      </c>
      <c r="D49" s="269">
        <f t="shared" si="0"/>
        <v>0.25438814353391931</v>
      </c>
      <c r="E49" s="269">
        <f t="shared" ref="E49:I54" si="1">(E32-E15)/E15</f>
        <v>0.39318527438765538</v>
      </c>
      <c r="F49" s="269">
        <f t="shared" si="1"/>
        <v>0.46437233996804927</v>
      </c>
      <c r="G49" s="269">
        <f t="shared" si="1"/>
        <v>0.44693283950301171</v>
      </c>
      <c r="H49" s="269">
        <f t="shared" si="1"/>
        <v>0.42412658621131633</v>
      </c>
      <c r="I49" s="269">
        <f t="shared" si="1"/>
        <v>0.38940672782874619</v>
      </c>
    </row>
    <row r="50" spans="1:9">
      <c r="A50" s="217" t="s">
        <v>1176</v>
      </c>
      <c r="B50" s="217"/>
      <c r="C50" s="269">
        <f t="shared" ref="C50:G54" si="2">(C33-C16)/C16</f>
        <v>3.0906188250166427E-2</v>
      </c>
      <c r="D50" s="269">
        <f t="shared" si="2"/>
        <v>-4.2990004713869814E-3</v>
      </c>
      <c r="E50" s="269">
        <f t="shared" si="2"/>
        <v>7.2611581777015412E-3</v>
      </c>
      <c r="F50" s="269">
        <f t="shared" si="2"/>
        <v>1.1076392325461764E-2</v>
      </c>
      <c r="G50" s="269">
        <f t="shared" si="2"/>
        <v>5.2041250414566094E-3</v>
      </c>
      <c r="H50" s="269">
        <f t="shared" si="1"/>
        <v>-6.4166010751012369E-4</v>
      </c>
      <c r="I50" s="269">
        <f t="shared" si="1"/>
        <v>-6.5207744180908068E-4</v>
      </c>
    </row>
    <row r="51" spans="1:9">
      <c r="A51" s="402" t="s">
        <v>1177</v>
      </c>
      <c r="C51" s="286">
        <f t="shared" si="2"/>
        <v>0</v>
      </c>
      <c r="D51" s="286">
        <f t="shared" si="2"/>
        <v>0</v>
      </c>
      <c r="E51" s="286">
        <f t="shared" si="2"/>
        <v>0</v>
      </c>
      <c r="F51" s="286">
        <f t="shared" si="2"/>
        <v>0</v>
      </c>
      <c r="G51" s="286">
        <f t="shared" si="2"/>
        <v>0</v>
      </c>
      <c r="H51" s="286">
        <f t="shared" si="1"/>
        <v>0</v>
      </c>
      <c r="I51" s="286">
        <f t="shared" si="1"/>
        <v>0</v>
      </c>
    </row>
    <row r="52" spans="1:9">
      <c r="A52" s="402" t="s">
        <v>334</v>
      </c>
      <c r="C52" s="269">
        <f t="shared" si="2"/>
        <v>2.8437273227809232E-2</v>
      </c>
      <c r="D52" s="269">
        <f t="shared" si="2"/>
        <v>5.8358400361836212E-2</v>
      </c>
      <c r="E52" s="269">
        <f t="shared" si="2"/>
        <v>8.9587870904192124E-2</v>
      </c>
      <c r="F52" s="269">
        <f t="shared" si="2"/>
        <v>0.10903210068848672</v>
      </c>
      <c r="G52" s="269">
        <f t="shared" si="2"/>
        <v>0.10593655056188243</v>
      </c>
      <c r="H52" s="269">
        <f t="shared" si="1"/>
        <v>0.10412240108708888</v>
      </c>
      <c r="I52" s="269">
        <f t="shared" si="1"/>
        <v>0.10300319533814728</v>
      </c>
    </row>
    <row r="53" spans="1:9">
      <c r="A53" s="402" t="s">
        <v>335</v>
      </c>
      <c r="C53" s="269">
        <f t="shared" si="2"/>
        <v>3.1722970749994611E-2</v>
      </c>
      <c r="D53" s="269">
        <f t="shared" si="2"/>
        <v>6.4864550091741593E-2</v>
      </c>
      <c r="E53" s="269">
        <f t="shared" si="2"/>
        <v>9.8030516872914697E-2</v>
      </c>
      <c r="F53" s="269">
        <f t="shared" si="2"/>
        <v>0.11814662435655826</v>
      </c>
      <c r="G53" s="269">
        <f t="shared" si="2"/>
        <v>0.114489140531693</v>
      </c>
      <c r="H53" s="269">
        <f t="shared" si="1"/>
        <v>0.11308922485644539</v>
      </c>
      <c r="I53" s="269">
        <f t="shared" si="1"/>
        <v>0.11309099655397256</v>
      </c>
    </row>
    <row r="54" spans="1:9">
      <c r="A54" s="402" t="s">
        <v>457</v>
      </c>
      <c r="C54" s="269">
        <f t="shared" si="2"/>
        <v>0</v>
      </c>
      <c r="D54" s="269">
        <f t="shared" si="2"/>
        <v>0</v>
      </c>
      <c r="E54" s="269">
        <f t="shared" si="2"/>
        <v>0</v>
      </c>
      <c r="F54" s="269">
        <f t="shared" si="2"/>
        <v>0</v>
      </c>
      <c r="G54" s="269">
        <f t="shared" si="2"/>
        <v>0</v>
      </c>
      <c r="H54" s="269">
        <f t="shared" si="1"/>
        <v>0</v>
      </c>
      <c r="I54" s="269">
        <f t="shared" si="1"/>
        <v>0</v>
      </c>
    </row>
    <row r="56" spans="1:9" s="408" customFormat="1" ht="13">
      <c r="A56" s="250" t="s">
        <v>1178</v>
      </c>
      <c r="B56" s="240"/>
      <c r="C56" s="240"/>
      <c r="D56" s="240"/>
      <c r="E56" s="240"/>
      <c r="F56" s="240"/>
      <c r="G56" s="240"/>
      <c r="H56" s="240"/>
      <c r="I56" s="240"/>
    </row>
    <row r="57" spans="1:9">
      <c r="A57" s="554" t="str">
        <f>A23</f>
        <v>Sector and Fuel Category</v>
      </c>
      <c r="B57" s="554"/>
      <c r="C57" s="405">
        <v>2020</v>
      </c>
      <c r="D57" s="405">
        <v>2025</v>
      </c>
      <c r="E57" s="405">
        <v>2030</v>
      </c>
      <c r="F57" s="405">
        <v>2035</v>
      </c>
      <c r="G57" s="405">
        <v>2040</v>
      </c>
      <c r="H57" s="405">
        <v>2045</v>
      </c>
      <c r="I57" s="405">
        <v>2050</v>
      </c>
    </row>
    <row r="58" spans="1:9">
      <c r="A58" s="402" t="s">
        <v>1162</v>
      </c>
      <c r="C58" s="274">
        <f>'Baseline Emissions'!Q8</f>
        <v>0.3809282050672716</v>
      </c>
      <c r="D58" s="274">
        <f>'Baseline Emissions'!V8</f>
        <v>0.34140243213229776</v>
      </c>
      <c r="E58" s="274">
        <f>'Baseline Emissions'!AA8</f>
        <v>0.31687631164400087</v>
      </c>
      <c r="F58" s="274">
        <f>'Baseline Emissions'!AF8</f>
        <v>0.30533816556240206</v>
      </c>
      <c r="G58" s="274">
        <f>'Baseline Emissions'!AK8</f>
        <v>0.30011067352778265</v>
      </c>
      <c r="H58" s="274">
        <f>'Baseline Emissions'!AP8</f>
        <v>0.29856837955760945</v>
      </c>
      <c r="I58" s="274">
        <f>'Baseline Emissions'!AU8</f>
        <v>0.3003041579515302</v>
      </c>
    </row>
    <row r="59" spans="1:9">
      <c r="A59" s="402" t="s">
        <v>1170</v>
      </c>
      <c r="C59" s="274">
        <f>'Baseline Emissions'!Q11</f>
        <v>4.4917242347042343</v>
      </c>
      <c r="D59" s="274">
        <f>'Baseline Emissions'!V11</f>
        <v>4.6394727006262455</v>
      </c>
      <c r="E59" s="274">
        <f>'Baseline Emissions'!AA11</f>
        <v>4.6135848177057355</v>
      </c>
      <c r="F59" s="274">
        <f>'Baseline Emissions'!AF11</f>
        <v>4.6291773027267187</v>
      </c>
      <c r="G59" s="274">
        <f>'Baseline Emissions'!AK11</f>
        <v>4.672843314013166</v>
      </c>
      <c r="H59" s="274">
        <f>'Baseline Emissions'!AP11</f>
        <v>4.6966707668755463</v>
      </c>
      <c r="I59" s="274">
        <f>'Baseline Emissions'!AU11</f>
        <v>4.6948166732520349</v>
      </c>
    </row>
    <row r="60" spans="1:9">
      <c r="A60" s="217" t="s">
        <v>1171</v>
      </c>
      <c r="B60" s="217"/>
      <c r="C60" s="274">
        <f>'Baseline Emissions'!Q13</f>
        <v>4.9816519300311732</v>
      </c>
      <c r="D60" s="274">
        <f>'Baseline Emissions'!V13</f>
        <v>3.5325558424789132</v>
      </c>
      <c r="E60" s="274">
        <f>'Baseline Emissions'!AA13</f>
        <v>2.751015287789305</v>
      </c>
      <c r="F60" s="274">
        <f>'Baseline Emissions'!AF13</f>
        <v>2.7927986232518109</v>
      </c>
      <c r="G60" s="274">
        <f>'Baseline Emissions'!AK13</f>
        <v>2.8305370370071921</v>
      </c>
      <c r="H60" s="274">
        <f>'Baseline Emissions'!AP13</f>
        <v>2.8725821533460336</v>
      </c>
      <c r="I60" s="274">
        <f>'Baseline Emissions'!AU13</f>
        <v>2.9146272696848752</v>
      </c>
    </row>
    <row r="61" spans="1:9">
      <c r="A61" s="402" t="s">
        <v>1163</v>
      </c>
      <c r="C61" s="287">
        <f>'Baseline Emissions'!Q18</f>
        <v>0.22506870173683946</v>
      </c>
      <c r="D61" s="287">
        <f>'Baseline Emissions'!V18</f>
        <v>0.233221168208396</v>
      </c>
      <c r="E61" s="287">
        <f>'Baseline Emissions'!AA18</f>
        <v>0.23970950447728342</v>
      </c>
      <c r="F61" s="287">
        <f>'Baseline Emissions'!AF18</f>
        <v>0.25079650519587787</v>
      </c>
      <c r="G61" s="287">
        <f>'Baseline Emissions'!AK18</f>
        <v>0.26288679397908715</v>
      </c>
      <c r="H61" s="287">
        <f>'Baseline Emissions'!AP18</f>
        <v>0.27442093814534912</v>
      </c>
      <c r="I61" s="287">
        <f>'Baseline Emissions'!AU18</f>
        <v>0.28507879367183625</v>
      </c>
    </row>
    <row r="62" spans="1:9">
      <c r="A62" s="402" t="s">
        <v>1181</v>
      </c>
      <c r="C62" s="274">
        <f>'Baseline Emissions'!Q21</f>
        <v>0.54148792969855442</v>
      </c>
      <c r="D62" s="274">
        <f>'Baseline Emissions'!V21</f>
        <v>0.57000365127150709</v>
      </c>
      <c r="E62" s="274">
        <f>'Baseline Emissions'!AA21</f>
        <v>0.5547181153623163</v>
      </c>
      <c r="F62" s="274">
        <f>'Baseline Emissions'!AF21</f>
        <v>0.54906341971890216</v>
      </c>
      <c r="G62" s="274">
        <f>'Baseline Emissions'!AK21</f>
        <v>0.54828252793763876</v>
      </c>
      <c r="H62" s="274">
        <f>'Baseline Emissions'!AP21</f>
        <v>0.54862281748803632</v>
      </c>
      <c r="I62" s="274">
        <f>'Baseline Emissions'!AU21</f>
        <v>0.54730078506462732</v>
      </c>
    </row>
    <row r="63" spans="1:9">
      <c r="A63" s="402" t="s">
        <v>1172</v>
      </c>
      <c r="C63" s="274">
        <f>'Baseline Emissions'!Q23</f>
        <v>3.199386089589848</v>
      </c>
      <c r="D63" s="274">
        <f>'Baseline Emissions'!V23</f>
        <v>3.4557797243550796</v>
      </c>
      <c r="E63" s="274">
        <f>'Baseline Emissions'!AA23</f>
        <v>3.5906044319543069</v>
      </c>
      <c r="F63" s="274">
        <f>'Baseline Emissions'!AF23</f>
        <v>3.7518831871143514</v>
      </c>
      <c r="G63" s="274">
        <f>'Baseline Emissions'!AK23</f>
        <v>4.0082423527298143</v>
      </c>
      <c r="H63" s="274">
        <f>'Baseline Emissions'!AP23</f>
        <v>4.3200220091682846</v>
      </c>
      <c r="I63" s="274">
        <f>'Baseline Emissions'!AU23</f>
        <v>4.598121046790312</v>
      </c>
    </row>
    <row r="64" spans="1:9">
      <c r="A64" s="217" t="s">
        <v>1173</v>
      </c>
      <c r="B64" s="217"/>
      <c r="C64" s="274">
        <f>'Baseline Emissions'!Q26</f>
        <v>4.4430553999361786</v>
      </c>
      <c r="D64" s="274">
        <f>'Baseline Emissions'!V26</f>
        <v>3.1429228858016707</v>
      </c>
      <c r="E64" s="274">
        <f>'Baseline Emissions'!AA26</f>
        <v>2.569013619270955</v>
      </c>
      <c r="F64" s="274">
        <f>'Baseline Emissions'!AF26</f>
        <v>2.7479241885031782</v>
      </c>
      <c r="G64" s="274">
        <f>'Baseline Emissions'!AK26</f>
        <v>2.9234090233988024</v>
      </c>
      <c r="H64" s="274">
        <f>'Baseline Emissions'!AP26</f>
        <v>3.1017152821867966</v>
      </c>
      <c r="I64" s="274">
        <f>'Baseline Emissions'!AU26</f>
        <v>3.2800215409747904</v>
      </c>
    </row>
    <row r="65" spans="1:9">
      <c r="A65" s="402" t="s">
        <v>1174</v>
      </c>
      <c r="C65" s="287">
        <f>'Baseline Emissions'!Q34</f>
        <v>1.2967552880388045</v>
      </c>
      <c r="D65" s="287">
        <f>'Baseline Emissions'!V34</f>
        <v>1.3752809088965516</v>
      </c>
      <c r="E65" s="287">
        <f>'Baseline Emissions'!AA34</f>
        <v>1.4335922397427852</v>
      </c>
      <c r="F65" s="287">
        <f>'Baseline Emissions'!AF34</f>
        <v>1.5102116018882386</v>
      </c>
      <c r="G65" s="287">
        <f>'Baseline Emissions'!AK34</f>
        <v>1.6053673552464069</v>
      </c>
      <c r="H65" s="287">
        <f>'Baseline Emissions'!AP34</f>
        <v>1.7086682429542588</v>
      </c>
      <c r="I65" s="287">
        <f>'Baseline Emissions'!AU34</f>
        <v>1.8120753231199185</v>
      </c>
    </row>
    <row r="66" spans="1:9">
      <c r="A66" s="402" t="s">
        <v>1175</v>
      </c>
      <c r="C66" s="274">
        <f>'Baseline Emissions'!Q41</f>
        <v>4.2065202423967749</v>
      </c>
      <c r="D66" s="274">
        <f>'Baseline Emissions'!V41</f>
        <v>4.8367188081642718</v>
      </c>
      <c r="E66" s="274">
        <f>'Baseline Emissions'!AA41</f>
        <v>4.8937534013133739</v>
      </c>
      <c r="F66" s="274">
        <f>'Baseline Emissions'!AF41</f>
        <v>4.8731094144406928</v>
      </c>
      <c r="G66" s="274">
        <f>'Baseline Emissions'!AK41</f>
        <v>5.0548234312923377</v>
      </c>
      <c r="H66" s="274">
        <f>'Baseline Emissions'!AP41</f>
        <v>5.4165060714726145</v>
      </c>
      <c r="I66" s="274">
        <f>'Baseline Emissions'!AU41</f>
        <v>5.6771941470885228</v>
      </c>
    </row>
    <row r="67" spans="1:9">
      <c r="A67" s="217" t="s">
        <v>1176</v>
      </c>
      <c r="B67" s="217"/>
      <c r="C67" s="274">
        <f>'Baseline Emissions'!Q49</f>
        <v>3.2881877683865444</v>
      </c>
      <c r="D67" s="274">
        <f>'Baseline Emissions'!V49</f>
        <v>2.614065110173482</v>
      </c>
      <c r="E67" s="274">
        <f>'Baseline Emissions'!AA49</f>
        <v>2.2912374794199493</v>
      </c>
      <c r="F67" s="274">
        <f>'Baseline Emissions'!AF49</f>
        <v>2.4396259218819476</v>
      </c>
      <c r="G67" s="274">
        <f>'Baseline Emissions'!AK49</f>
        <v>2.5885054033273747</v>
      </c>
      <c r="H67" s="274">
        <f>'Baseline Emissions'!AP49</f>
        <v>2.7439162746965136</v>
      </c>
      <c r="I67" s="274">
        <f>'Baseline Emissions'!AU49</f>
        <v>2.8993271460656418</v>
      </c>
    </row>
    <row r="68" spans="1:9">
      <c r="A68" s="402" t="s">
        <v>1177</v>
      </c>
      <c r="C68" s="287">
        <f>'Baseline Emissions'!Q69</f>
        <v>2.7661968672006916</v>
      </c>
      <c r="D68" s="287">
        <f>'Baseline Emissions'!V69</f>
        <v>4.7990927272075297</v>
      </c>
      <c r="E68" s="287">
        <f>'Baseline Emissions'!AA69</f>
        <v>4.4690186797792366</v>
      </c>
      <c r="F68" s="287">
        <f>'Baseline Emissions'!AF69</f>
        <v>4.1074125049803385</v>
      </c>
      <c r="G68" s="287">
        <f>'Baseline Emissions'!AK69</f>
        <v>3.961178706920363</v>
      </c>
      <c r="H68" s="287">
        <f>'Baseline Emissions'!AP69</f>
        <v>3.8672203122277442</v>
      </c>
      <c r="I68" s="287">
        <f>'Baseline Emissions'!AU69</f>
        <v>3.7582311302487548</v>
      </c>
    </row>
    <row r="69" spans="1:9">
      <c r="A69" s="402" t="s">
        <v>334</v>
      </c>
      <c r="C69" s="274">
        <f>'Baseline Emissions'!Q66</f>
        <v>21.5673553199201</v>
      </c>
      <c r="D69" s="274">
        <f>'Baseline Emissions'!V66</f>
        <v>19.817574408545436</v>
      </c>
      <c r="E69" s="274">
        <f>'Baseline Emissions'!AA66</f>
        <v>18.103536084084588</v>
      </c>
      <c r="F69" s="274">
        <f>'Baseline Emissions'!AF66</f>
        <v>16.885196560216812</v>
      </c>
      <c r="G69" s="274">
        <f>'Baseline Emissions'!AK66</f>
        <v>16.400291078970969</v>
      </c>
      <c r="H69" s="274">
        <f>'Baseline Emissions'!AP66</f>
        <v>16.39900513156773</v>
      </c>
      <c r="I69" s="274">
        <f>'Baseline Emissions'!AU66</f>
        <v>16.525778280834118</v>
      </c>
    </row>
    <row r="70" spans="1:9">
      <c r="A70" s="402" t="s">
        <v>335</v>
      </c>
      <c r="C70" s="274">
        <f>'Baseline Emissions'!Q68</f>
        <v>10.424348904844033</v>
      </c>
      <c r="D70" s="274">
        <f>'Baseline Emissions'!V68</f>
        <v>9.971700815726706</v>
      </c>
      <c r="E70" s="274">
        <f>'Baseline Emissions'!AA68</f>
        <v>9.8731768106800057</v>
      </c>
      <c r="F70" s="274">
        <f>'Baseline Emissions'!AF68</f>
        <v>9.8040956524651204</v>
      </c>
      <c r="G70" s="274">
        <f>'Baseline Emissions'!AK68</f>
        <v>9.9442548375013562</v>
      </c>
      <c r="H70" s="274">
        <f>'Baseline Emissions'!AP68</f>
        <v>10.130840423285376</v>
      </c>
      <c r="I70" s="274">
        <f>'Baseline Emissions'!AU68</f>
        <v>10.36505320924114</v>
      </c>
    </row>
    <row r="71" spans="1:9">
      <c r="A71" s="402" t="s">
        <v>457</v>
      </c>
      <c r="C71" s="274">
        <f>'Baseline Emissions'!Q67</f>
        <v>7.4292683431161084</v>
      </c>
      <c r="D71" s="274">
        <f>'Baseline Emissions'!V67</f>
        <v>7.7477502690531104</v>
      </c>
      <c r="E71" s="274">
        <f>'Baseline Emissions'!AA67</f>
        <v>8.2013141002291512</v>
      </c>
      <c r="F71" s="274">
        <f>'Baseline Emissions'!AF67</f>
        <v>8.6503137159076786</v>
      </c>
      <c r="G71" s="274">
        <f>'Baseline Emissions'!AK67</f>
        <v>9.1098135351018747</v>
      </c>
      <c r="H71" s="274">
        <f>'Baseline Emissions'!AP67</f>
        <v>9.5635832026227234</v>
      </c>
      <c r="I71" s="274">
        <f>'Baseline Emissions'!AU67</f>
        <v>9.9875659309416278</v>
      </c>
    </row>
    <row r="72" spans="1:9">
      <c r="C72" s="403"/>
      <c r="D72" s="403"/>
      <c r="E72" s="403"/>
      <c r="F72" s="403"/>
      <c r="G72" s="403"/>
    </row>
    <row r="73" spans="1:9" s="408" customFormat="1" ht="13">
      <c r="A73" s="250" t="s">
        <v>1179</v>
      </c>
      <c r="B73" s="240"/>
      <c r="C73" s="240"/>
      <c r="D73" s="240"/>
      <c r="E73" s="240"/>
      <c r="F73" s="240"/>
      <c r="G73" s="240"/>
      <c r="H73" s="240"/>
      <c r="I73" s="240"/>
    </row>
    <row r="74" spans="1:9">
      <c r="A74" s="554" t="str">
        <f>A40</f>
        <v>Sector and Fuel Category</v>
      </c>
      <c r="B74" s="554"/>
      <c r="C74" s="405">
        <v>2020</v>
      </c>
      <c r="D74" s="405">
        <v>2025</v>
      </c>
      <c r="E74" s="405">
        <v>2030</v>
      </c>
      <c r="F74" s="405">
        <v>2035</v>
      </c>
      <c r="G74" s="405">
        <v>2040</v>
      </c>
      <c r="H74" s="405">
        <v>2040</v>
      </c>
      <c r="I74" s="405">
        <v>2040</v>
      </c>
    </row>
    <row r="75" spans="1:9">
      <c r="A75" s="402" t="s">
        <v>1162</v>
      </c>
      <c r="C75" s="274">
        <f>'Adjusted Emissions'!B8</f>
        <v>0.38076223093672201</v>
      </c>
      <c r="D75" s="274">
        <f>'Adjusted Emissions'!G8</f>
        <v>0.33955376185149672</v>
      </c>
      <c r="E75" s="274">
        <f>'Adjusted Emissions'!L8</f>
        <v>0.31252608850458502</v>
      </c>
      <c r="F75" s="274">
        <f>'Adjusted Emissions'!Q8</f>
        <v>0.29804134805039684</v>
      </c>
      <c r="G75" s="274">
        <f>'Adjusted Emissions'!V8</f>
        <v>0.29138922743489237</v>
      </c>
      <c r="H75" s="274">
        <f>'Adjusted Emissions'!AA8</f>
        <v>0.29001534709775423</v>
      </c>
      <c r="I75" s="274">
        <f>'Adjusted Emissions'!AF8</f>
        <v>0.29169086188078053</v>
      </c>
    </row>
    <row r="76" spans="1:9">
      <c r="A76" s="402" t="s">
        <v>1170</v>
      </c>
      <c r="C76" s="274">
        <f>'Adjusted Emissions'!B11</f>
        <v>4.4841034244770572</v>
      </c>
      <c r="D76" s="274">
        <f>'Adjusted Emissions'!G11</f>
        <v>4.3796621326085843</v>
      </c>
      <c r="E76" s="274">
        <f>'Adjusted Emissions'!L11</f>
        <v>4.0851507619442904</v>
      </c>
      <c r="F76" s="274">
        <f>'Adjusted Emissions'!Q11</f>
        <v>3.8595528443290958</v>
      </c>
      <c r="G76" s="274">
        <f>'Adjusted Emissions'!V11</f>
        <v>3.7352459572107142</v>
      </c>
      <c r="H76" s="274">
        <f>'Adjusted Emissions'!AA11</f>
        <v>3.6547361562671896</v>
      </c>
      <c r="I76" s="274">
        <f>'Adjusted Emissions'!AF11</f>
        <v>3.5597700632043576</v>
      </c>
    </row>
    <row r="77" spans="1:9">
      <c r="A77" s="217" t="s">
        <v>1171</v>
      </c>
      <c r="B77" s="217"/>
      <c r="C77" s="274">
        <f>'Adjusted Emissions'!B13</f>
        <v>4.8588081629338582</v>
      </c>
      <c r="D77" s="274">
        <f>'Adjusted Emissions'!G13</f>
        <v>1.8159230233959909</v>
      </c>
      <c r="E77" s="274">
        <f>'Adjusted Emissions'!L13</f>
        <v>1.2431317611291131</v>
      </c>
      <c r="F77" s="274">
        <f>'Adjusted Emissions'!Q13</f>
        <v>0.9097861328431468</v>
      </c>
      <c r="G77" s="274">
        <f>'Adjusted Emissions'!V13</f>
        <v>0.45566422660617578</v>
      </c>
      <c r="H77" s="274">
        <f>'Adjusted Emissions'!AA13</f>
        <v>0</v>
      </c>
      <c r="I77" s="274">
        <f>'Adjusted Emissions'!AF13</f>
        <v>0</v>
      </c>
    </row>
    <row r="78" spans="1:9">
      <c r="A78" s="402" t="s">
        <v>1163</v>
      </c>
      <c r="C78" s="287">
        <f>'Adjusted Emissions'!B18</f>
        <v>0.22495146454580961</v>
      </c>
      <c r="D78" s="287">
        <f>'Adjusted Emissions'!G18</f>
        <v>0.23159084215664683</v>
      </c>
      <c r="E78" s="287">
        <f>'Adjusted Emissions'!L18</f>
        <v>0.23537279836778002</v>
      </c>
      <c r="F78" s="287">
        <f>'Adjusted Emissions'!Q18</f>
        <v>0.24286528389133333</v>
      </c>
      <c r="G78" s="287">
        <f>'Adjusted Emissions'!V18</f>
        <v>0.2526998152912075</v>
      </c>
      <c r="H78" s="287">
        <f>'Adjusted Emissions'!AA18</f>
        <v>0.26390275580519684</v>
      </c>
      <c r="I78" s="287">
        <f>'Adjusted Emissions'!AF18</f>
        <v>0.27410625237216513</v>
      </c>
    </row>
    <row r="79" spans="1:9">
      <c r="A79" s="402" t="s">
        <v>1181</v>
      </c>
      <c r="C79" s="274">
        <f>'Adjusted Emissions'!B21</f>
        <v>0.5411994084949675</v>
      </c>
      <c r="D79" s="274">
        <f>'Adjusted Emissions'!G21</f>
        <v>0.56520289919090017</v>
      </c>
      <c r="E79" s="274">
        <f>'Adjusted Emissions'!L21</f>
        <v>0.54320816774264113</v>
      </c>
      <c r="F79" s="274">
        <f>'Adjusted Emissions'!Q21</f>
        <v>0.52940178452260156</v>
      </c>
      <c r="G79" s="274">
        <f>'Adjusted Emissions'!V21</f>
        <v>0.52435786117234862</v>
      </c>
      <c r="H79" s="274">
        <f>'Adjusted Emissions'!AA21</f>
        <v>0.52485325552981277</v>
      </c>
      <c r="I79" s="274">
        <f>'Adjusted Emissions'!AF21</f>
        <v>0.52343201570101494</v>
      </c>
    </row>
    <row r="80" spans="1:9">
      <c r="A80" s="402" t="s">
        <v>1172</v>
      </c>
      <c r="C80" s="274">
        <f>'Adjusted Emissions'!B23</f>
        <v>3.1915311524426531</v>
      </c>
      <c r="D80" s="274">
        <f>'Adjusted Emissions'!G23</f>
        <v>3.2365410685387457</v>
      </c>
      <c r="E80" s="274">
        <f>'Adjusted Emissions'!L23</f>
        <v>3.1313615912988588</v>
      </c>
      <c r="F80" s="274">
        <f>'Adjusted Emissions'!Q23</f>
        <v>3.0686829442643808</v>
      </c>
      <c r="G80" s="274">
        <f>'Adjusted Emissions'!V23</f>
        <v>3.1434706798324936</v>
      </c>
      <c r="H80" s="274">
        <f>'Adjusted Emissions'!AA23</f>
        <v>3.3030575708870522</v>
      </c>
      <c r="I80" s="274">
        <f>'Adjusted Emissions'!AF23</f>
        <v>3.4327687474822071</v>
      </c>
    </row>
    <row r="81" spans="1:9">
      <c r="A81" s="217" t="s">
        <v>1173</v>
      </c>
      <c r="B81" s="217"/>
      <c r="C81" s="274">
        <f>'Adjusted Emissions'!B26</f>
        <v>4.3335278192666751</v>
      </c>
      <c r="D81" s="274">
        <f>'Adjusted Emissions'!G26</f>
        <v>1.6167529519640236</v>
      </c>
      <c r="E81" s="274">
        <f>'Adjusted Emissions'!L26</f>
        <v>1.1621358637160744</v>
      </c>
      <c r="F81" s="274">
        <f>'Adjusted Emissions'!Q26</f>
        <v>0.89603203735416326</v>
      </c>
      <c r="G81" s="274">
        <f>'Adjusted Emissions'!V26</f>
        <v>0.47117161026935162</v>
      </c>
      <c r="H81" s="274">
        <f>'Adjusted Emissions'!AA26</f>
        <v>0</v>
      </c>
      <c r="I81" s="274">
        <f>'Adjusted Emissions'!AF26</f>
        <v>0</v>
      </c>
    </row>
    <row r="82" spans="1:9">
      <c r="A82" s="402" t="s">
        <v>1174</v>
      </c>
      <c r="C82" s="287">
        <f>'Adjusted Emissions'!B34</f>
        <v>1.2955992526368114</v>
      </c>
      <c r="D82" s="287">
        <f>'Adjusted Emissions'!G34</f>
        <v>1.3562144299781316</v>
      </c>
      <c r="E82" s="287">
        <f>'Adjusted Emissions'!L34</f>
        <v>1.3802481120498802</v>
      </c>
      <c r="F82" s="287">
        <f>'Adjusted Emissions'!Q34</f>
        <v>1.4125046014249789</v>
      </c>
      <c r="G82" s="287">
        <f>'Adjusted Emissions'!V34</f>
        <v>1.4790914546629377</v>
      </c>
      <c r="H82" s="287">
        <f>'Adjusted Emissions'!AA34</f>
        <v>1.5751185206942762</v>
      </c>
      <c r="I82" s="287">
        <f>'Adjusted Emissions'!AF34</f>
        <v>1.6692309481172547</v>
      </c>
    </row>
    <row r="83" spans="1:9">
      <c r="A83" s="402" t="s">
        <v>1175</v>
      </c>
      <c r="C83" s="274">
        <f>'Adjusted Emissions'!B38</f>
        <v>4.1739870749556882</v>
      </c>
      <c r="D83" s="274">
        <f>'Adjusted Emissions'!G38</f>
        <v>4.3199491624343827</v>
      </c>
      <c r="E83" s="274">
        <f>'Adjusted Emissions'!L38</f>
        <v>3.5468471595967301</v>
      </c>
      <c r="F83" s="274">
        <f>'Adjusted Emissions'!Q38</f>
        <v>3.2890533592477835</v>
      </c>
      <c r="G83" s="274">
        <f>'Adjusted Emissions'!V38</f>
        <v>3.4734068187586491</v>
      </c>
      <c r="H83" s="274">
        <f>'Adjusted Emissions'!AA38</f>
        <v>3.8084071109720306</v>
      </c>
      <c r="I83" s="274">
        <f>'Adjusted Emissions'!AF38</f>
        <v>4.1296778298421462</v>
      </c>
    </row>
    <row r="84" spans="1:9">
      <c r="A84" s="217" t="s">
        <v>1176</v>
      </c>
      <c r="B84" s="217"/>
      <c r="C84" s="274">
        <f>'Adjusted Emissions'!B49</f>
        <v>3.2053588971894849</v>
      </c>
      <c r="D84" s="274">
        <f>'Adjusted Emissions'!G49</f>
        <v>1.3563131027551143</v>
      </c>
      <c r="E84" s="274">
        <f>'Adjusted Emissions'!L49</f>
        <v>1.052902492454421</v>
      </c>
      <c r="F84" s="274">
        <f>'Adjusted Emissions'!Q49</f>
        <v>0.81629129344467433</v>
      </c>
      <c r="G84" s="274">
        <f>'Adjusted Emissions'!V49</f>
        <v>0.43396022818592089</v>
      </c>
      <c r="H84" s="274">
        <f>'Adjusted Emissions'!AA49</f>
        <v>0</v>
      </c>
      <c r="I84" s="274">
        <f>'Adjusted Emissions'!AF49</f>
        <v>0</v>
      </c>
    </row>
    <row r="85" spans="1:9">
      <c r="A85" s="402" t="s">
        <v>1177</v>
      </c>
      <c r="C85" s="287">
        <f>'Adjusted Emissions'!B69</f>
        <v>2.7661968672006916</v>
      </c>
      <c r="D85" s="287">
        <f>'Adjusted Emissions'!G69</f>
        <v>4.7990927272075297</v>
      </c>
      <c r="E85" s="287">
        <f>'Adjusted Emissions'!L69</f>
        <v>4.4690186797792366</v>
      </c>
      <c r="F85" s="287">
        <f>'Adjusted Emissions'!Q69</f>
        <v>4.1074125049803385</v>
      </c>
      <c r="G85" s="287">
        <f>'Adjusted Emissions'!V69</f>
        <v>3.961178706920363</v>
      </c>
      <c r="H85" s="287">
        <f>'Adjusted Emissions'!AA69</f>
        <v>3.8672203122277442</v>
      </c>
      <c r="I85" s="287">
        <f>'Adjusted Emissions'!AF69</f>
        <v>3.7582311302487548</v>
      </c>
    </row>
    <row r="86" spans="1:9">
      <c r="A86" s="402" t="s">
        <v>334</v>
      </c>
      <c r="C86" s="274">
        <f>'Adjusted Emissions'!B66</f>
        <v>21.505554842191813</v>
      </c>
      <c r="D86" s="274">
        <f>'Adjusted Emissions'!G66</f>
        <v>19.23628944250833</v>
      </c>
      <c r="E86" s="274">
        <f>'Adjusted Emissions'!L66</f>
        <v>16.90558141821834</v>
      </c>
      <c r="F86" s="274">
        <f>'Adjusted Emissions'!Q66</f>
        <v>15.52034263777554</v>
      </c>
      <c r="G86" s="274">
        <f>'Adjusted Emissions'!V66</f>
        <v>15.049890856783405</v>
      </c>
      <c r="H86" s="274">
        <f>'Adjusted Emissions'!AA66</f>
        <v>15.004179923299814</v>
      </c>
      <c r="I86" s="274">
        <f>'Adjusted Emissions'!AF66</f>
        <v>15.067396447161444</v>
      </c>
    </row>
    <row r="87" spans="1:9">
      <c r="A87" s="402" t="s">
        <v>335</v>
      </c>
      <c r="C87" s="274">
        <f>'Adjusted Emissions'!B68</f>
        <v>10.409963832624301</v>
      </c>
      <c r="D87" s="274">
        <f>'Adjusted Emissions'!G68</f>
        <v>9.802883435203638</v>
      </c>
      <c r="E87" s="274">
        <f>'Adjusted Emissions'!L68</f>
        <v>9.4521522184010482</v>
      </c>
      <c r="F87" s="274">
        <f>'Adjusted Emissions'!Q68</f>
        <v>9.3002261017648298</v>
      </c>
      <c r="G87" s="274">
        <f>'Adjusted Emissions'!V68</f>
        <v>9.4490033400368141</v>
      </c>
      <c r="H87" s="274">
        <f>'Adjusted Emissions'!AA68</f>
        <v>9.6324657558684219</v>
      </c>
      <c r="I87" s="274">
        <f>'Adjusted Emissions'!AF68</f>
        <v>9.8551487336470451</v>
      </c>
    </row>
    <row r="88" spans="1:9">
      <c r="A88" s="402" t="s">
        <v>457</v>
      </c>
      <c r="C88" s="274">
        <f>'Adjusted Emissions'!B67</f>
        <v>7.4292683431161084</v>
      </c>
      <c r="D88" s="274">
        <f>'Adjusted Emissions'!G67</f>
        <v>7.7477502690531104</v>
      </c>
      <c r="E88" s="274">
        <f>'Adjusted Emissions'!L67</f>
        <v>8.2013141002291512</v>
      </c>
      <c r="F88" s="274">
        <f>'Adjusted Emissions'!Q67</f>
        <v>8.6503137159076786</v>
      </c>
      <c r="G88" s="274">
        <f>'Adjusted Emissions'!V67</f>
        <v>9.1098135351018747</v>
      </c>
      <c r="H88" s="274">
        <f>'Adjusted Emissions'!AA67</f>
        <v>9.5635832026227234</v>
      </c>
      <c r="I88" s="274">
        <f>'Adjusted Emissions'!AF67</f>
        <v>9.9875659309416278</v>
      </c>
    </row>
    <row r="89" spans="1:9">
      <c r="C89" s="403"/>
      <c r="D89" s="403"/>
      <c r="E89" s="403"/>
      <c r="F89" s="403"/>
      <c r="G89" s="403"/>
    </row>
    <row r="90" spans="1:9" s="408" customFormat="1" ht="13">
      <c r="A90" s="250" t="s">
        <v>1182</v>
      </c>
      <c r="B90" s="240"/>
      <c r="C90" s="240"/>
      <c r="D90" s="240"/>
      <c r="E90" s="240"/>
      <c r="F90" s="240"/>
      <c r="G90" s="240"/>
      <c r="H90" s="240"/>
      <c r="I90" s="240"/>
    </row>
    <row r="91" spans="1:9">
      <c r="A91" s="554" t="str">
        <f>A57</f>
        <v>Sector and Fuel Category</v>
      </c>
      <c r="B91" s="554"/>
      <c r="C91" s="405">
        <v>2020</v>
      </c>
      <c r="D91" s="405">
        <v>2025</v>
      </c>
      <c r="E91" s="405">
        <v>2030</v>
      </c>
      <c r="F91" s="405">
        <v>2035</v>
      </c>
      <c r="G91" s="405">
        <v>2040</v>
      </c>
      <c r="H91" s="405">
        <v>2045</v>
      </c>
      <c r="I91" s="405">
        <v>2050</v>
      </c>
    </row>
    <row r="92" spans="1:9">
      <c r="A92" s="402" t="s">
        <v>1162</v>
      </c>
      <c r="C92" s="274">
        <f t="shared" ref="C92:I100" si="3">C58-C75</f>
        <v>1.6597413054958432E-4</v>
      </c>
      <c r="D92" s="274">
        <f t="shared" si="3"/>
        <v>1.8486702808010458E-3</v>
      </c>
      <c r="E92" s="274">
        <f t="shared" si="3"/>
        <v>4.3502231394158541E-3</v>
      </c>
      <c r="F92" s="274">
        <f t="shared" si="3"/>
        <v>7.296817512005227E-3</v>
      </c>
      <c r="G92" s="274">
        <f t="shared" si="3"/>
        <v>8.7214460928902726E-3</v>
      </c>
      <c r="H92" s="274">
        <f t="shared" si="3"/>
        <v>8.5530324598552254E-3</v>
      </c>
      <c r="I92" s="274">
        <f t="shared" si="3"/>
        <v>8.6132960707496764E-3</v>
      </c>
    </row>
    <row r="93" spans="1:9">
      <c r="A93" s="402" t="s">
        <v>1170</v>
      </c>
      <c r="C93" s="274">
        <f t="shared" si="3"/>
        <v>7.6208102271770883E-3</v>
      </c>
      <c r="D93" s="274">
        <f t="shared" si="3"/>
        <v>0.25981056801766123</v>
      </c>
      <c r="E93" s="274">
        <f t="shared" si="3"/>
        <v>0.52843405576144509</v>
      </c>
      <c r="F93" s="274">
        <f t="shared" si="3"/>
        <v>0.76962445839762283</v>
      </c>
      <c r="G93" s="274">
        <f t="shared" si="3"/>
        <v>0.93759735680245182</v>
      </c>
      <c r="H93" s="274">
        <f t="shared" si="3"/>
        <v>1.0419346106083567</v>
      </c>
      <c r="I93" s="274">
        <f t="shared" si="3"/>
        <v>1.1350466100476773</v>
      </c>
    </row>
    <row r="94" spans="1:9">
      <c r="A94" s="217" t="s">
        <v>1171</v>
      </c>
      <c r="B94" s="217"/>
      <c r="C94" s="274">
        <f t="shared" si="3"/>
        <v>0.12284376709731504</v>
      </c>
      <c r="D94" s="274">
        <f t="shared" si="3"/>
        <v>1.7166328190829223</v>
      </c>
      <c r="E94" s="274">
        <f t="shared" si="3"/>
        <v>1.507883526660192</v>
      </c>
      <c r="F94" s="274">
        <f t="shared" si="3"/>
        <v>1.8830124904086643</v>
      </c>
      <c r="G94" s="274">
        <f t="shared" si="3"/>
        <v>2.3748728104010164</v>
      </c>
      <c r="H94" s="274">
        <f t="shared" si="3"/>
        <v>2.8725821533460336</v>
      </c>
      <c r="I94" s="274">
        <f t="shared" si="3"/>
        <v>2.9146272696848752</v>
      </c>
    </row>
    <row r="95" spans="1:9">
      <c r="A95" s="402" t="s">
        <v>1163</v>
      </c>
      <c r="C95" s="287">
        <f t="shared" si="3"/>
        <v>1.1723719102985086E-4</v>
      </c>
      <c r="D95" s="287">
        <f t="shared" si="3"/>
        <v>1.6303260517491758E-3</v>
      </c>
      <c r="E95" s="287">
        <f t="shared" si="3"/>
        <v>4.3367061095034021E-3</v>
      </c>
      <c r="F95" s="287">
        <f t="shared" si="3"/>
        <v>7.9312213045445445E-3</v>
      </c>
      <c r="G95" s="287">
        <f t="shared" si="3"/>
        <v>1.0186978687879655E-2</v>
      </c>
      <c r="H95" s="287">
        <f t="shared" si="3"/>
        <v>1.0518182340152282E-2</v>
      </c>
      <c r="I95" s="287">
        <f t="shared" si="3"/>
        <v>1.0972541299671124E-2</v>
      </c>
    </row>
    <row r="96" spans="1:9">
      <c r="A96" s="402" t="s">
        <v>1181</v>
      </c>
      <c r="C96" s="274">
        <f t="shared" si="3"/>
        <v>2.8852120358691113E-4</v>
      </c>
      <c r="D96" s="274">
        <f t="shared" si="3"/>
        <v>4.8007520806069293E-3</v>
      </c>
      <c r="E96" s="274">
        <f t="shared" si="3"/>
        <v>1.1509947619675165E-2</v>
      </c>
      <c r="F96" s="274">
        <f t="shared" si="3"/>
        <v>1.9661635196300598E-2</v>
      </c>
      <c r="G96" s="274">
        <f t="shared" si="3"/>
        <v>2.3924666765290148E-2</v>
      </c>
      <c r="H96" s="274">
        <f t="shared" si="3"/>
        <v>2.3769561958223551E-2</v>
      </c>
      <c r="I96" s="274">
        <f t="shared" si="3"/>
        <v>2.3868769363612374E-2</v>
      </c>
    </row>
    <row r="97" spans="1:9">
      <c r="A97" s="402" t="s">
        <v>1172</v>
      </c>
      <c r="C97" s="274">
        <f t="shared" si="3"/>
        <v>7.8549371471949847E-3</v>
      </c>
      <c r="D97" s="274">
        <f t="shared" si="3"/>
        <v>0.21923865581633395</v>
      </c>
      <c r="E97" s="274">
        <f t="shared" si="3"/>
        <v>0.45924284065544807</v>
      </c>
      <c r="F97" s="274">
        <f t="shared" si="3"/>
        <v>0.68320024284997061</v>
      </c>
      <c r="G97" s="274">
        <f t="shared" si="3"/>
        <v>0.86477167289732071</v>
      </c>
      <c r="H97" s="274">
        <f t="shared" si="3"/>
        <v>1.0169644382812324</v>
      </c>
      <c r="I97" s="274">
        <f t="shared" si="3"/>
        <v>1.1653522993081049</v>
      </c>
    </row>
    <row r="98" spans="1:9">
      <c r="A98" s="217" t="s">
        <v>1173</v>
      </c>
      <c r="B98" s="217"/>
      <c r="C98" s="274">
        <f t="shared" si="3"/>
        <v>0.10952758066950352</v>
      </c>
      <c r="D98" s="274">
        <f t="shared" si="3"/>
        <v>1.5261699338376471</v>
      </c>
      <c r="E98" s="274">
        <f t="shared" si="3"/>
        <v>1.4068777555548806</v>
      </c>
      <c r="F98" s="274">
        <f t="shared" si="3"/>
        <v>1.851892151149015</v>
      </c>
      <c r="G98" s="274">
        <f t="shared" si="3"/>
        <v>2.4522374131294509</v>
      </c>
      <c r="H98" s="274">
        <f t="shared" si="3"/>
        <v>3.1017152821867966</v>
      </c>
      <c r="I98" s="274">
        <f t="shared" si="3"/>
        <v>3.2800215409747904</v>
      </c>
    </row>
    <row r="99" spans="1:9">
      <c r="A99" s="402" t="s">
        <v>1174</v>
      </c>
      <c r="C99" s="287">
        <f t="shared" si="3"/>
        <v>1.1560354019930497E-3</v>
      </c>
      <c r="D99" s="287">
        <f t="shared" si="3"/>
        <v>1.906647891842006E-2</v>
      </c>
      <c r="E99" s="287">
        <f t="shared" si="3"/>
        <v>5.3344127692904975E-2</v>
      </c>
      <c r="F99" s="287">
        <f t="shared" si="3"/>
        <v>9.7707000463259641E-2</v>
      </c>
      <c r="G99" s="287">
        <f t="shared" si="3"/>
        <v>0.12627590058346927</v>
      </c>
      <c r="H99" s="287">
        <f t="shared" si="3"/>
        <v>0.13354972225998263</v>
      </c>
      <c r="I99" s="287">
        <f t="shared" si="3"/>
        <v>0.14284437500266378</v>
      </c>
    </row>
    <row r="100" spans="1:9">
      <c r="A100" s="402" t="s">
        <v>1175</v>
      </c>
      <c r="C100" s="274">
        <f t="shared" si="3"/>
        <v>3.2533167441086697E-2</v>
      </c>
      <c r="D100" s="274">
        <f t="shared" si="3"/>
        <v>0.51676964572988915</v>
      </c>
      <c r="E100" s="274">
        <f t="shared" ref="E100:I105" si="4">E66-E83</f>
        <v>1.3469062417166437</v>
      </c>
      <c r="F100" s="274">
        <f t="shared" si="4"/>
        <v>1.5840560551929093</v>
      </c>
      <c r="G100" s="274">
        <f t="shared" si="4"/>
        <v>1.5814166125336886</v>
      </c>
      <c r="H100" s="274">
        <f t="shared" si="4"/>
        <v>1.608098960500584</v>
      </c>
      <c r="I100" s="274">
        <f t="shared" si="4"/>
        <v>1.5475163172463766</v>
      </c>
    </row>
    <row r="101" spans="1:9">
      <c r="A101" s="217" t="s">
        <v>1176</v>
      </c>
      <c r="B101" s="217"/>
      <c r="C101" s="274">
        <f t="shared" ref="C101:G105" si="5">C67-C84</f>
        <v>8.2828871197059506E-2</v>
      </c>
      <c r="D101" s="274">
        <f t="shared" si="5"/>
        <v>1.2577520074183677</v>
      </c>
      <c r="E101" s="274">
        <f t="shared" si="5"/>
        <v>1.2383349869655282</v>
      </c>
      <c r="F101" s="274">
        <f t="shared" si="5"/>
        <v>1.6233346284372732</v>
      </c>
      <c r="G101" s="274">
        <f t="shared" si="5"/>
        <v>2.1545451751414539</v>
      </c>
      <c r="H101" s="274">
        <f t="shared" si="4"/>
        <v>2.7439162746965136</v>
      </c>
      <c r="I101" s="274">
        <f t="shared" si="4"/>
        <v>2.8993271460656418</v>
      </c>
    </row>
    <row r="102" spans="1:9">
      <c r="A102" s="402" t="s">
        <v>1177</v>
      </c>
      <c r="C102" s="287">
        <f t="shared" si="5"/>
        <v>0</v>
      </c>
      <c r="D102" s="287">
        <f t="shared" si="5"/>
        <v>0</v>
      </c>
      <c r="E102" s="287">
        <f t="shared" si="5"/>
        <v>0</v>
      </c>
      <c r="F102" s="287">
        <f t="shared" si="5"/>
        <v>0</v>
      </c>
      <c r="G102" s="287">
        <f t="shared" si="5"/>
        <v>0</v>
      </c>
      <c r="H102" s="287">
        <f t="shared" si="4"/>
        <v>0</v>
      </c>
      <c r="I102" s="287">
        <f t="shared" si="4"/>
        <v>0</v>
      </c>
    </row>
    <row r="103" spans="1:9">
      <c r="A103" s="402" t="s">
        <v>334</v>
      </c>
      <c r="C103" s="274">
        <f t="shared" si="5"/>
        <v>6.1800477728287007E-2</v>
      </c>
      <c r="D103" s="274">
        <f t="shared" si="5"/>
        <v>0.58128496603710644</v>
      </c>
      <c r="E103" s="274">
        <f t="shared" si="5"/>
        <v>1.1979546658662485</v>
      </c>
      <c r="F103" s="274">
        <f t="shared" si="5"/>
        <v>1.3648539224412719</v>
      </c>
      <c r="G103" s="274">
        <f t="shared" si="5"/>
        <v>1.3504002221875648</v>
      </c>
      <c r="H103" s="274">
        <f t="shared" si="4"/>
        <v>1.3948252082679158</v>
      </c>
      <c r="I103" s="274">
        <f t="shared" si="4"/>
        <v>1.4583818336726733</v>
      </c>
    </row>
    <row r="104" spans="1:9">
      <c r="A104" s="402" t="s">
        <v>335</v>
      </c>
      <c r="C104" s="274">
        <f t="shared" si="5"/>
        <v>1.4385072219731398E-2</v>
      </c>
      <c r="D104" s="274">
        <f t="shared" si="5"/>
        <v>0.16881738052306794</v>
      </c>
      <c r="E104" s="274">
        <f t="shared" si="5"/>
        <v>0.4210245922789575</v>
      </c>
      <c r="F104" s="274">
        <f t="shared" si="5"/>
        <v>0.5038695507002906</v>
      </c>
      <c r="G104" s="274">
        <f t="shared" si="5"/>
        <v>0.49525149746454211</v>
      </c>
      <c r="H104" s="274">
        <f t="shared" si="4"/>
        <v>0.4983746674169538</v>
      </c>
      <c r="I104" s="274">
        <f t="shared" si="4"/>
        <v>0.50990447559409446</v>
      </c>
    </row>
    <row r="105" spans="1:9">
      <c r="A105" s="402" t="s">
        <v>457</v>
      </c>
      <c r="C105" s="274">
        <f t="shared" si="5"/>
        <v>0</v>
      </c>
      <c r="D105" s="274">
        <f t="shared" si="5"/>
        <v>0</v>
      </c>
      <c r="E105" s="274">
        <f t="shared" si="5"/>
        <v>0</v>
      </c>
      <c r="F105" s="274">
        <f t="shared" si="5"/>
        <v>0</v>
      </c>
      <c r="G105" s="274">
        <f t="shared" si="5"/>
        <v>0</v>
      </c>
      <c r="H105" s="274">
        <f t="shared" si="4"/>
        <v>0</v>
      </c>
      <c r="I105" s="274">
        <f t="shared" si="4"/>
        <v>0</v>
      </c>
    </row>
    <row r="106" spans="1:9">
      <c r="A106" s="32" t="s">
        <v>1185</v>
      </c>
      <c r="B106" s="32"/>
      <c r="C106" s="274">
        <f>-('Adjusted Emissions'!B88-'Baseline Emissions'!Q87)-SUM(C92:C105)</f>
        <v>3.4635510130236524E-2</v>
      </c>
      <c r="D106" s="274">
        <f>-('Adjusted Emissions'!G88-'Baseline Emissions'!V87)-SUM(D92:D105)</f>
        <v>0.5145720423838398</v>
      </c>
      <c r="E106" s="274">
        <f>-('Adjusted Emissions'!L88-'Baseline Emissions'!AA87)-SUM(E92:E105)</f>
        <v>1.2486969655033668</v>
      </c>
      <c r="F106" s="274">
        <f>-('Adjusted Emissions'!Q88-'Baseline Emissions'!AF87)-SUM(F92:F105)</f>
        <v>1.6565770829289175</v>
      </c>
      <c r="G106" s="274">
        <f>-('Adjusted Emissions'!V88-'Baseline Emissions'!AK87)-SUM(G92:G105)</f>
        <v>1.734239088589991</v>
      </c>
      <c r="H106" s="274">
        <f>-('Adjusted Emissions'!AA88-'Baseline Emissions'!AP87)-SUM(H92:H105)</f>
        <v>1.8308010016484637</v>
      </c>
      <c r="I106" s="274">
        <f>-('Adjusted Emissions'!AF88-'Baseline Emissions'!AU87)-SUM(I92:I105)</f>
        <v>1.8344462105207047</v>
      </c>
    </row>
    <row r="107" spans="1:9">
      <c r="A107" s="178" t="s">
        <v>1186</v>
      </c>
      <c r="C107" s="289">
        <f t="shared" ref="C107:G107" si="6">C106+SUM(C92:C105)</f>
        <v>0.47575796178475116</v>
      </c>
      <c r="D107" s="289">
        <f t="shared" si="6"/>
        <v>6.788394246178413</v>
      </c>
      <c r="E107" s="289">
        <f t="shared" si="6"/>
        <v>9.428896635524211</v>
      </c>
      <c r="F107" s="289">
        <f t="shared" si="6"/>
        <v>12.053017256982045</v>
      </c>
      <c r="G107" s="289">
        <f t="shared" si="6"/>
        <v>14.114440841277009</v>
      </c>
      <c r="H107" s="289">
        <f t="shared" ref="H107:I107" si="7">H106+SUM(H92:H105)</f>
        <v>16.285603095971062</v>
      </c>
      <c r="I107" s="289">
        <f t="shared" si="7"/>
        <v>16.930922684851637</v>
      </c>
    </row>
    <row r="108" spans="1:9">
      <c r="C108" s="403"/>
      <c r="D108" s="403"/>
      <c r="E108" s="403"/>
      <c r="F108" s="403"/>
      <c r="G108" s="403"/>
    </row>
    <row r="109" spans="1:9" ht="13">
      <c r="A109" s="250" t="s">
        <v>1278</v>
      </c>
      <c r="B109" s="240"/>
      <c r="C109" s="240"/>
      <c r="D109" s="240"/>
      <c r="E109" s="240"/>
      <c r="F109" s="240"/>
      <c r="G109" s="240"/>
      <c r="H109" s="240"/>
      <c r="I109" s="240"/>
    </row>
    <row r="110" spans="1:9">
      <c r="A110" s="554" t="str">
        <f>A76</f>
        <v>residential NG</v>
      </c>
      <c r="B110" s="554"/>
      <c r="C110" s="405">
        <v>2020</v>
      </c>
      <c r="D110" s="405">
        <v>2025</v>
      </c>
      <c r="E110" s="405">
        <v>2030</v>
      </c>
      <c r="F110" s="405">
        <v>2035</v>
      </c>
      <c r="G110" s="405">
        <v>2040</v>
      </c>
      <c r="H110" s="254">
        <v>2045</v>
      </c>
      <c r="I110" s="254">
        <v>2050</v>
      </c>
    </row>
    <row r="111" spans="1:9">
      <c r="A111" s="402" t="s">
        <v>1162</v>
      </c>
      <c r="C111" s="274">
        <f>Revenue!B8</f>
        <v>3.8076223093672192</v>
      </c>
      <c r="D111" s="274">
        <f>Revenue!G8</f>
        <v>8.4888440462874168</v>
      </c>
      <c r="E111" s="274">
        <f>Revenue!L8</f>
        <v>12.501043540183399</v>
      </c>
      <c r="F111" s="274">
        <f>Revenue!Q8</f>
        <v>14.902067402519842</v>
      </c>
      <c r="G111" s="274">
        <f>Revenue!V8</f>
        <v>14.569461371744616</v>
      </c>
      <c r="H111" s="274">
        <f>Revenue!AA8</f>
        <v>14.50076735488771</v>
      </c>
      <c r="I111" s="274">
        <f>Revenue!AF8</f>
        <v>14.584543094039025</v>
      </c>
    </row>
    <row r="112" spans="1:9">
      <c r="A112" s="402" t="s">
        <v>1170</v>
      </c>
      <c r="C112" s="274">
        <f>Revenue!B11</f>
        <v>44.841034244770576</v>
      </c>
      <c r="D112" s="274">
        <f>Revenue!G11</f>
        <v>109.49155331521462</v>
      </c>
      <c r="E112" s="274">
        <f>Revenue!L11</f>
        <v>163.40603047777162</v>
      </c>
      <c r="F112" s="274">
        <f>Revenue!Q11</f>
        <v>192.97764221645477</v>
      </c>
      <c r="G112" s="274">
        <f>Revenue!V11</f>
        <v>186.76229786053568</v>
      </c>
      <c r="H112" s="274">
        <f>Revenue!AA11</f>
        <v>182.73680781335949</v>
      </c>
      <c r="I112" s="274">
        <f>Revenue!AF11</f>
        <v>177.98850316021785</v>
      </c>
    </row>
    <row r="113" spans="1:9">
      <c r="A113" s="217" t="s">
        <v>1171</v>
      </c>
      <c r="B113" s="217"/>
      <c r="C113" s="274">
        <f>Revenue!B13</f>
        <v>35.973000194995969</v>
      </c>
      <c r="D113" s="274">
        <f>Revenue!G13</f>
        <v>29.156872211309945</v>
      </c>
      <c r="E113" s="274">
        <f>Revenue!L13</f>
        <v>45.986857916932848</v>
      </c>
      <c r="F113" s="274">
        <f>Revenue!Q13</f>
        <v>42.066259754441553</v>
      </c>
      <c r="G113" s="274">
        <f>Revenue!V13</f>
        <v>21.068786416122276</v>
      </c>
      <c r="H113" s="274">
        <f>Revenue!AA13</f>
        <v>0</v>
      </c>
      <c r="I113" s="274">
        <f>Revenue!AF13</f>
        <v>0</v>
      </c>
    </row>
    <row r="114" spans="1:9">
      <c r="A114" s="402" t="s">
        <v>1163</v>
      </c>
      <c r="C114" s="287">
        <f>Revenue!B18</f>
        <v>2.2495146454580954</v>
      </c>
      <c r="D114" s="287">
        <f>Revenue!G18</f>
        <v>5.7897710539161702</v>
      </c>
      <c r="E114" s="287">
        <f>Revenue!L18</f>
        <v>9.4149119347111991</v>
      </c>
      <c r="F114" s="287">
        <f>Revenue!Q18</f>
        <v>12.143264194566665</v>
      </c>
      <c r="G114" s="287">
        <f>Revenue!V18</f>
        <v>12.634990764560373</v>
      </c>
      <c r="H114" s="287">
        <f>Revenue!AA18</f>
        <v>13.195137790259841</v>
      </c>
      <c r="I114" s="287">
        <f>Revenue!AF18</f>
        <v>13.705312618608255</v>
      </c>
    </row>
    <row r="115" spans="1:9">
      <c r="A115" s="402" t="s">
        <v>1181</v>
      </c>
      <c r="C115" s="274">
        <f>Revenue!B21</f>
        <v>5.4119940849496748</v>
      </c>
      <c r="D115" s="274">
        <f>Revenue!G21</f>
        <v>14.130072479772506</v>
      </c>
      <c r="E115" s="274">
        <f>Revenue!L21</f>
        <v>21.728326709705648</v>
      </c>
      <c r="F115" s="274">
        <f>Revenue!Q21</f>
        <v>26.470089226130078</v>
      </c>
      <c r="G115" s="274">
        <f>Revenue!V21</f>
        <v>26.217893058617435</v>
      </c>
      <c r="H115" s="274">
        <f>Revenue!AA21</f>
        <v>26.24266277649064</v>
      </c>
      <c r="I115" s="274">
        <f>Revenue!AF21</f>
        <v>26.171600785050746</v>
      </c>
    </row>
    <row r="116" spans="1:9">
      <c r="A116" s="402" t="s">
        <v>1172</v>
      </c>
      <c r="C116" s="274">
        <f>Revenue!B23</f>
        <v>31.915311524426539</v>
      </c>
      <c r="D116" s="274">
        <f>Revenue!G23</f>
        <v>80.913526713468627</v>
      </c>
      <c r="E116" s="274">
        <f>Revenue!L23</f>
        <v>125.25446365195437</v>
      </c>
      <c r="F116" s="274">
        <f>Revenue!Q23</f>
        <v>153.43414721321901</v>
      </c>
      <c r="G116" s="274">
        <f>Revenue!V23</f>
        <v>157.17353399162468</v>
      </c>
      <c r="H116" s="274">
        <f>Revenue!AA23</f>
        <v>165.1528785443526</v>
      </c>
      <c r="I116" s="274">
        <f>Revenue!AF23</f>
        <v>171.63843737411037</v>
      </c>
    </row>
    <row r="117" spans="1:9">
      <c r="A117" s="217" t="s">
        <v>1173</v>
      </c>
      <c r="B117" s="217"/>
      <c r="C117" s="274">
        <f>Revenue!B26</f>
        <v>32.083999174268833</v>
      </c>
      <c r="D117" s="274">
        <f>Revenue!G26</f>
        <v>25.958952340125521</v>
      </c>
      <c r="E117" s="274">
        <f>Revenue!L26</f>
        <v>42.990597228681452</v>
      </c>
      <c r="F117" s="274">
        <f>Revenue!Q26</f>
        <v>41.430304409948818</v>
      </c>
      <c r="G117" s="274">
        <f>Revenue!V26</f>
        <v>21.785809467735884</v>
      </c>
      <c r="H117" s="274">
        <f>Revenue!AA26</f>
        <v>0</v>
      </c>
      <c r="I117" s="274">
        <f>Revenue!AF26</f>
        <v>0</v>
      </c>
    </row>
    <row r="118" spans="1:9">
      <c r="A118" s="402" t="s">
        <v>1174</v>
      </c>
      <c r="C118" s="287">
        <f>Revenue!B33</f>
        <v>12.955992526368114</v>
      </c>
      <c r="D118" s="287">
        <f>Revenue!G33</f>
        <v>33.905360749453294</v>
      </c>
      <c r="E118" s="287">
        <f>Revenue!L33</f>
        <v>55.209924481995209</v>
      </c>
      <c r="F118" s="287">
        <f>Revenue!Q33</f>
        <v>70.62523007124895</v>
      </c>
      <c r="G118" s="287">
        <f>Revenue!V33</f>
        <v>73.954572733146904</v>
      </c>
      <c r="H118" s="287">
        <f>Revenue!AA33</f>
        <v>78.755926034713823</v>
      </c>
      <c r="I118" s="287">
        <f>Revenue!AF33</f>
        <v>83.461547405862746</v>
      </c>
    </row>
    <row r="119" spans="1:9">
      <c r="A119" s="402" t="s">
        <v>1175</v>
      </c>
      <c r="C119" s="274">
        <f>Revenue!B37</f>
        <v>41.739870749556893</v>
      </c>
      <c r="D119" s="274">
        <f>Revenue!G37</f>
        <v>107.99872906085956</v>
      </c>
      <c r="E119" s="274">
        <f>Revenue!L37</f>
        <v>141.87388638386921</v>
      </c>
      <c r="F119" s="274">
        <f>Revenue!Q37</f>
        <v>164.45266796238917</v>
      </c>
      <c r="G119" s="274">
        <f>Revenue!V37</f>
        <v>173.67034093793245</v>
      </c>
      <c r="H119" s="274">
        <f>Revenue!AA37</f>
        <v>190.42035554860152</v>
      </c>
      <c r="I119" s="274">
        <f>Revenue!AF37</f>
        <v>206.48389149210729</v>
      </c>
    </row>
    <row r="120" spans="1:9">
      <c r="A120" s="217" t="s">
        <v>1176</v>
      </c>
      <c r="B120" s="217"/>
      <c r="C120" s="274">
        <f>Revenue!B48</f>
        <v>23.731411565754186</v>
      </c>
      <c r="D120" s="274">
        <f>Revenue!G48</f>
        <v>21.77727101097091</v>
      </c>
      <c r="E120" s="274">
        <f>Revenue!L48</f>
        <v>38.949754832832234</v>
      </c>
      <c r="F120" s="274">
        <f>Revenue!Q48</f>
        <v>37.743289709223234</v>
      </c>
      <c r="G120" s="274">
        <f>Revenue!V48</f>
        <v>20.065247230046509</v>
      </c>
      <c r="H120" s="274">
        <f>Revenue!AA48</f>
        <v>0</v>
      </c>
      <c r="I120" s="274">
        <f>Revenue!AF48</f>
        <v>0</v>
      </c>
    </row>
    <row r="121" spans="1:9">
      <c r="A121" s="402" t="s">
        <v>1177</v>
      </c>
      <c r="C121" s="287">
        <f>Revenue!B58</f>
        <v>0</v>
      </c>
      <c r="D121" s="287">
        <f>Revenue!G58</f>
        <v>0</v>
      </c>
      <c r="E121" s="287">
        <f>Revenue!L58</f>
        <v>0</v>
      </c>
      <c r="F121" s="287">
        <f>Revenue!Q58</f>
        <v>0</v>
      </c>
      <c r="G121" s="287">
        <f>Revenue!V58</f>
        <v>0</v>
      </c>
      <c r="H121" s="287">
        <f>Revenue!AA58</f>
        <v>0</v>
      </c>
      <c r="I121" s="287">
        <f>Revenue!AF58</f>
        <v>0</v>
      </c>
    </row>
    <row r="122" spans="1:9">
      <c r="A122" s="402" t="s">
        <v>334</v>
      </c>
      <c r="C122" s="274">
        <f>Revenue!B55</f>
        <v>215.05554842191816</v>
      </c>
      <c r="D122" s="274">
        <f>Revenue!G55</f>
        <v>480.90723606270825</v>
      </c>
      <c r="E122" s="274">
        <f>Revenue!L55</f>
        <v>676.22325672873365</v>
      </c>
      <c r="F122" s="274">
        <f>Revenue!Q55</f>
        <v>776.01713188877693</v>
      </c>
      <c r="G122" s="274">
        <f>Revenue!V55</f>
        <v>752.49454283917032</v>
      </c>
      <c r="H122" s="274">
        <f>Revenue!AA55</f>
        <v>750.20899616499082</v>
      </c>
      <c r="I122" s="274">
        <f>Revenue!AF55</f>
        <v>753.36982235807227</v>
      </c>
    </row>
    <row r="123" spans="1:9">
      <c r="A123" s="402" t="s">
        <v>335</v>
      </c>
      <c r="C123" s="274">
        <f>Revenue!B57</f>
        <v>104.09963832624302</v>
      </c>
      <c r="D123" s="274">
        <f>Revenue!G57</f>
        <v>245.07208588009092</v>
      </c>
      <c r="E123" s="274">
        <f>Revenue!L57</f>
        <v>378.08608873604192</v>
      </c>
      <c r="F123" s="274">
        <f>Revenue!Q57</f>
        <v>465.01130508824156</v>
      </c>
      <c r="G123" s="274">
        <f>Revenue!V57</f>
        <v>472.45016700184073</v>
      </c>
      <c r="H123" s="274">
        <f>Revenue!AA57</f>
        <v>481.62328779342113</v>
      </c>
      <c r="I123" s="274">
        <f>Revenue!AF57</f>
        <v>492.75743668235225</v>
      </c>
    </row>
    <row r="124" spans="1:9">
      <c r="A124" s="402" t="s">
        <v>457</v>
      </c>
      <c r="C124" s="274">
        <f>Revenue!B56</f>
        <v>0</v>
      </c>
      <c r="D124" s="274">
        <f>Revenue!G56</f>
        <v>0</v>
      </c>
      <c r="E124" s="274">
        <f>Revenue!L56</f>
        <v>0</v>
      </c>
      <c r="F124" s="274">
        <f>Revenue!Q56</f>
        <v>0</v>
      </c>
      <c r="G124" s="274">
        <f>Revenue!V56</f>
        <v>0</v>
      </c>
      <c r="H124" s="274">
        <f>Revenue!AA56</f>
        <v>0</v>
      </c>
      <c r="I124" s="274">
        <f>Revenue!AF56</f>
        <v>0</v>
      </c>
    </row>
    <row r="125" spans="1:9">
      <c r="A125" s="32" t="s">
        <v>1185</v>
      </c>
      <c r="B125" s="32"/>
      <c r="C125" s="274">
        <f t="shared" ref="C125:G125" si="8">C126-SUM(C111:C124)</f>
        <v>59.397127701855879</v>
      </c>
      <c r="D125" s="274">
        <f t="shared" si="8"/>
        <v>133.73101197828646</v>
      </c>
      <c r="E125" s="274">
        <f t="shared" si="8"/>
        <v>185.77330616400468</v>
      </c>
      <c r="F125" s="274">
        <f t="shared" si="8"/>
        <v>236.03052319056587</v>
      </c>
      <c r="G125" s="274">
        <f t="shared" si="8"/>
        <v>245.78640591481599</v>
      </c>
      <c r="H125" s="274">
        <f t="shared" ref="H125:I125" si="9">H126-SUM(H111:H124)</f>
        <v>260.64918016995352</v>
      </c>
      <c r="I125" s="274">
        <f t="shared" si="9"/>
        <v>277.49270018523021</v>
      </c>
    </row>
    <row r="126" spans="1:9">
      <c r="A126" s="402" t="s">
        <v>1184</v>
      </c>
      <c r="C126" s="288">
        <f>Revenue!B84</f>
        <v>613.26206546993319</v>
      </c>
      <c r="D126" s="288">
        <f>Revenue!G84</f>
        <v>1297.3212869024642</v>
      </c>
      <c r="E126" s="288">
        <f>Revenue!L84</f>
        <v>1897.3984487874172</v>
      </c>
      <c r="F126" s="288">
        <f>Revenue!Q84</f>
        <v>2233.3039223277265</v>
      </c>
      <c r="G126" s="288">
        <f>Revenue!V84</f>
        <v>2178.634049587894</v>
      </c>
      <c r="H126" s="288">
        <f>Revenue!AA84</f>
        <v>2163.4859999910313</v>
      </c>
      <c r="I126" s="288">
        <f>Revenue!AF84</f>
        <v>2217.6537951556511</v>
      </c>
    </row>
  </sheetData>
  <mergeCells count="7">
    <mergeCell ref="A110:B110"/>
    <mergeCell ref="A6:B6"/>
    <mergeCell ref="A23:B23"/>
    <mergeCell ref="A40:B40"/>
    <mergeCell ref="A57:B57"/>
    <mergeCell ref="A74:B74"/>
    <mergeCell ref="A91:B91"/>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R162"/>
  <sheetViews>
    <sheetView zoomScale="110" zoomScaleNormal="110" workbookViewId="0">
      <selection activeCell="D64" sqref="D64"/>
    </sheetView>
  </sheetViews>
  <sheetFormatPr defaultColWidth="9.33203125" defaultRowHeight="12.9" customHeight="1"/>
  <cols>
    <col min="1" max="1" width="37.33203125" style="5" customWidth="1"/>
    <col min="2" max="2" width="12.6640625" style="5" customWidth="1"/>
    <col min="3" max="3" width="19.33203125" style="5" customWidth="1"/>
    <col min="4" max="4" width="8.88671875" style="59" customWidth="1"/>
    <col min="5" max="5" width="80.88671875" style="5" customWidth="1"/>
    <col min="6" max="6" width="17.6640625" customWidth="1"/>
    <col min="7" max="7" width="14.6640625" customWidth="1"/>
    <col min="8" max="9" width="13.88671875" customWidth="1"/>
    <col min="10" max="10" width="12.6640625" customWidth="1"/>
    <col min="11" max="11" width="13.33203125" customWidth="1"/>
    <col min="12" max="12" width="12.44140625" customWidth="1"/>
    <col min="13" max="13" width="12.88671875" customWidth="1"/>
    <col min="14" max="14" width="11.33203125" customWidth="1"/>
    <col min="15" max="15" width="12.44140625" customWidth="1"/>
    <col min="16" max="16" width="10.88671875" customWidth="1"/>
    <col min="17" max="17" width="10.6640625" customWidth="1"/>
    <col min="19" max="16384" width="9.33203125" style="5"/>
  </cols>
  <sheetData>
    <row r="1" spans="1:18" ht="26.15" customHeight="1">
      <c r="A1" s="293" t="s">
        <v>436</v>
      </c>
      <c r="B1" s="295"/>
      <c r="C1" s="291"/>
      <c r="D1" s="291"/>
      <c r="E1" s="291"/>
    </row>
    <row r="2" spans="1:18" ht="12.9" customHeight="1">
      <c r="A2" s="53" t="s">
        <v>359</v>
      </c>
      <c r="B2" s="41" t="s">
        <v>472</v>
      </c>
      <c r="C2" s="291"/>
      <c r="D2" s="291"/>
      <c r="E2" s="291"/>
    </row>
    <row r="3" spans="1:18" ht="12.9" customHeight="1">
      <c r="A3" s="53" t="s">
        <v>358</v>
      </c>
      <c r="B3" s="41" t="s">
        <v>253</v>
      </c>
      <c r="C3" s="291"/>
      <c r="D3" s="291"/>
      <c r="E3" s="291"/>
    </row>
    <row r="4" spans="1:18" ht="12.9" customHeight="1">
      <c r="A4" s="49" t="s">
        <v>357</v>
      </c>
      <c r="B4" s="50" t="s">
        <v>253</v>
      </c>
    </row>
    <row r="5" spans="1:18" ht="12.9" customHeight="1">
      <c r="A5"/>
      <c r="B5" s="12"/>
    </row>
    <row r="6" spans="1:18" customFormat="1" ht="12.9" customHeight="1">
      <c r="A6" s="250" t="s">
        <v>298</v>
      </c>
      <c r="B6" s="240"/>
      <c r="C6" s="240"/>
      <c r="D6" s="240"/>
      <c r="E6" s="240"/>
    </row>
    <row r="7" spans="1:18" ht="12.9" customHeight="1">
      <c r="A7" s="294" t="s">
        <v>432</v>
      </c>
      <c r="B7" s="294" t="s">
        <v>428</v>
      </c>
      <c r="C7" s="294" t="s">
        <v>429</v>
      </c>
      <c r="D7" s="294" t="s">
        <v>430</v>
      </c>
      <c r="E7" s="294" t="s">
        <v>431</v>
      </c>
    </row>
    <row r="8" spans="1:18" customFormat="1" ht="12.9" customHeight="1">
      <c r="A8" s="40" t="s">
        <v>71</v>
      </c>
      <c r="B8" s="35"/>
      <c r="C8" s="40"/>
      <c r="D8" s="60"/>
      <c r="E8" s="40"/>
    </row>
    <row r="9" spans="1:18" customFormat="1" ht="12.9" customHeight="1">
      <c r="A9" s="46" t="s">
        <v>260</v>
      </c>
      <c r="B9" s="323">
        <f>IF(ISBLANK(dashboard!D5),dashboard!C5,dashboard!D5)</f>
        <v>2020</v>
      </c>
      <c r="C9" s="17"/>
      <c r="D9" s="61"/>
      <c r="E9" s="40"/>
    </row>
    <row r="10" spans="1:18" customFormat="1" ht="12.9" customHeight="1">
      <c r="A10" s="46" t="s">
        <v>16</v>
      </c>
      <c r="B10" s="330">
        <f>IF(ISBLANK(dashboard!D6),dashboard!C6,dashboard!D6)</f>
        <v>10</v>
      </c>
      <c r="C10" s="17" t="s">
        <v>273</v>
      </c>
      <c r="D10" s="59"/>
      <c r="E10" s="158"/>
    </row>
    <row r="11" spans="1:18" customFormat="1" ht="12.9" customHeight="1">
      <c r="A11" s="46" t="s">
        <v>17</v>
      </c>
      <c r="B11" s="330">
        <f>IF(ISBLANK(dashboard!D7),dashboard!C7,dashboard!D7)</f>
        <v>3</v>
      </c>
      <c r="C11" s="17" t="s">
        <v>273</v>
      </c>
      <c r="D11" s="61"/>
      <c r="E11" s="40"/>
    </row>
    <row r="12" spans="1:18" customFormat="1" ht="12.9" customHeight="1">
      <c r="A12" s="46" t="s">
        <v>18</v>
      </c>
      <c r="B12" s="330">
        <f>IF(ISBLANK(dashboard!D8),dashboard!C8,dashboard!D8)</f>
        <v>50</v>
      </c>
      <c r="C12" s="17" t="s">
        <v>273</v>
      </c>
      <c r="D12" s="61"/>
      <c r="E12" s="40"/>
    </row>
    <row r="13" spans="1:18" s="150" customFormat="1" ht="12.9" customHeight="1">
      <c r="A13" s="46" t="s">
        <v>1010</v>
      </c>
      <c r="B13" s="357">
        <f>IF(ISBLANK(dashboard!D9),dashboard!C9,dashboard!D9)</f>
        <v>0</v>
      </c>
      <c r="C13" s="17"/>
      <c r="D13" s="61"/>
      <c r="F13"/>
      <c r="G13"/>
      <c r="H13"/>
      <c r="I13"/>
      <c r="J13"/>
      <c r="K13"/>
      <c r="L13"/>
      <c r="M13"/>
      <c r="N13"/>
      <c r="O13"/>
      <c r="P13"/>
      <c r="Q13"/>
      <c r="R13"/>
    </row>
    <row r="14" spans="1:18" s="377" customFormat="1" ht="12.9" customHeight="1">
      <c r="A14" s="84" t="s">
        <v>1281</v>
      </c>
      <c r="B14" s="323">
        <f>IF(ISBLANK(dashboard!D25),dashboard!C25,dashboard!D25)</f>
        <v>2018</v>
      </c>
      <c r="C14" s="17"/>
      <c r="D14" s="61"/>
      <c r="F14"/>
      <c r="G14"/>
      <c r="H14"/>
      <c r="I14"/>
      <c r="J14"/>
      <c r="K14"/>
      <c r="L14"/>
      <c r="M14"/>
      <c r="N14"/>
      <c r="O14"/>
      <c r="P14"/>
      <c r="Q14"/>
      <c r="R14"/>
    </row>
    <row r="15" spans="1:18" customFormat="1" ht="12.9" customHeight="1">
      <c r="A15" s="40" t="s">
        <v>84</v>
      </c>
      <c r="B15" s="301"/>
      <c r="C15" s="17"/>
      <c r="D15" s="61"/>
      <c r="E15" s="40"/>
    </row>
    <row r="16" spans="1:18" customFormat="1" ht="12.9" customHeight="1">
      <c r="A16" s="46" t="s">
        <v>86</v>
      </c>
      <c r="B16" s="306">
        <f>IF(dashboard!$D$19="valid",dashboard!D13,dashboard!C13)</f>
        <v>0</v>
      </c>
      <c r="C16" s="17"/>
      <c r="D16" s="61"/>
      <c r="E16" s="40"/>
    </row>
    <row r="17" spans="1:18" customFormat="1" ht="12.9" customHeight="1">
      <c r="A17" s="46" t="s">
        <v>87</v>
      </c>
      <c r="B17" s="306">
        <f>IF(dashboard!$D$19="valid",dashboard!D14,dashboard!C14)</f>
        <v>0.45</v>
      </c>
      <c r="C17" s="17"/>
      <c r="D17" s="61"/>
      <c r="E17" s="40"/>
    </row>
    <row r="18" spans="1:18" customFormat="1" ht="12.9" customHeight="1">
      <c r="A18" s="46" t="s">
        <v>88</v>
      </c>
      <c r="B18" s="306">
        <f>IF(dashboard!$D$19="valid",dashboard!D15,dashboard!C15)</f>
        <v>0.45</v>
      </c>
      <c r="C18" s="17"/>
      <c r="D18" s="61"/>
      <c r="E18" s="40"/>
    </row>
    <row r="19" spans="1:18" customFormat="1" ht="12.9" customHeight="1">
      <c r="A19" s="46" t="s">
        <v>81</v>
      </c>
      <c r="B19" s="306">
        <f>IF(dashboard!$D$19="valid",dashboard!D16,dashboard!C16)</f>
        <v>0.1</v>
      </c>
      <c r="C19" s="17"/>
      <c r="D19" s="61"/>
      <c r="E19" s="40"/>
    </row>
    <row r="20" spans="1:18" customFormat="1" ht="12.9" customHeight="1">
      <c r="A20" s="46" t="s">
        <v>85</v>
      </c>
      <c r="B20" s="306">
        <f>IF(dashboard!$D$19="valid",dashboard!D17,dashboard!C17)</f>
        <v>0</v>
      </c>
      <c r="C20" s="17"/>
      <c r="D20" s="61"/>
      <c r="E20" s="40"/>
    </row>
    <row r="21" spans="1:18" customFormat="1" ht="15.65" customHeight="1">
      <c r="A21" s="46" t="s">
        <v>271</v>
      </c>
      <c r="B21" s="306">
        <f>IF(dashboard!$D$19="valid",dashboard!D18,dashboard!C18)</f>
        <v>0</v>
      </c>
      <c r="C21" s="17"/>
      <c r="D21" s="61"/>
      <c r="E21" s="40"/>
    </row>
    <row r="22" spans="1:18" s="377" customFormat="1" ht="15" customHeight="1">
      <c r="A22" s="377" t="s">
        <v>1268</v>
      </c>
      <c r="B22" s="301"/>
      <c r="C22" s="17"/>
      <c r="D22" s="61"/>
      <c r="F22"/>
      <c r="G22"/>
      <c r="H22"/>
      <c r="I22"/>
      <c r="J22"/>
      <c r="K22"/>
      <c r="L22"/>
      <c r="M22"/>
      <c r="N22"/>
      <c r="O22"/>
      <c r="P22"/>
      <c r="Q22"/>
      <c r="R22"/>
    </row>
    <row r="23" spans="1:18" s="377" customFormat="1" ht="12.9" customHeight="1">
      <c r="A23" s="385" t="s">
        <v>1264</v>
      </c>
      <c r="B23" s="305">
        <f>IF(dashboard!$D$35="valid",dashboard!D31,dashboard!C31)</f>
        <v>0.25</v>
      </c>
      <c r="C23" s="17"/>
      <c r="D23" s="61"/>
      <c r="F23"/>
      <c r="G23"/>
      <c r="H23"/>
      <c r="I23"/>
      <c r="J23"/>
      <c r="K23"/>
      <c r="L23"/>
      <c r="M23"/>
      <c r="N23"/>
      <c r="O23"/>
      <c r="P23"/>
      <c r="Q23"/>
      <c r="R23"/>
    </row>
    <row r="24" spans="1:18" s="377" customFormat="1" ht="12.9" customHeight="1">
      <c r="A24" s="385" t="s">
        <v>872</v>
      </c>
      <c r="B24" s="305">
        <f>IF(dashboard!$D$35="valid",dashboard!D32,dashboard!C32)</f>
        <v>0.5</v>
      </c>
      <c r="C24" s="17"/>
      <c r="D24" s="61"/>
      <c r="F24"/>
      <c r="G24"/>
      <c r="H24"/>
      <c r="I24"/>
      <c r="J24"/>
      <c r="K24"/>
      <c r="L24"/>
      <c r="M24"/>
      <c r="N24"/>
      <c r="O24"/>
      <c r="P24"/>
      <c r="Q24"/>
      <c r="R24"/>
    </row>
    <row r="25" spans="1:18" s="377" customFormat="1" ht="12.9" customHeight="1">
      <c r="A25" s="385" t="s">
        <v>873</v>
      </c>
      <c r="B25" s="305">
        <f>IF(dashboard!$D$35="valid",dashboard!D33,dashboard!C33)</f>
        <v>0.125</v>
      </c>
      <c r="C25" s="17"/>
      <c r="D25" s="61"/>
      <c r="F25"/>
      <c r="G25"/>
      <c r="H25"/>
      <c r="I25"/>
      <c r="J25"/>
      <c r="K25"/>
      <c r="L25"/>
      <c r="M25"/>
      <c r="N25"/>
      <c r="O25"/>
      <c r="P25"/>
      <c r="Q25"/>
      <c r="R25"/>
    </row>
    <row r="26" spans="1:18" s="377" customFormat="1" ht="12.9" customHeight="1">
      <c r="A26" s="385" t="s">
        <v>871</v>
      </c>
      <c r="B26" s="305">
        <f>IF(dashboard!$D$35="valid",dashboard!D34,dashboard!C34)</f>
        <v>0.125</v>
      </c>
      <c r="C26" s="17"/>
      <c r="D26" s="61"/>
      <c r="F26"/>
      <c r="G26"/>
      <c r="H26"/>
      <c r="I26"/>
      <c r="J26"/>
      <c r="K26"/>
      <c r="L26"/>
      <c r="M26"/>
      <c r="N26"/>
      <c r="O26"/>
      <c r="P26"/>
      <c r="Q26"/>
      <c r="R26"/>
    </row>
    <row r="27" spans="1:18" s="291" customFormat="1" ht="12.9" customHeight="1">
      <c r="A27" s="53"/>
      <c r="B27" s="102"/>
      <c r="C27" s="17"/>
      <c r="D27" s="61"/>
      <c r="F27"/>
      <c r="G27"/>
      <c r="H27"/>
      <c r="I27"/>
      <c r="J27"/>
      <c r="K27"/>
      <c r="L27"/>
      <c r="M27"/>
      <c r="N27"/>
      <c r="O27"/>
      <c r="P27"/>
      <c r="Q27"/>
      <c r="R27"/>
    </row>
    <row r="28" spans="1:18" s="291" customFormat="1" ht="12.9" customHeight="1">
      <c r="A28" s="290" t="s">
        <v>1133</v>
      </c>
      <c r="B28" s="290"/>
      <c r="C28" s="346"/>
      <c r="D28" s="346"/>
      <c r="E28" s="290"/>
      <c r="F28"/>
      <c r="G28"/>
      <c r="H28"/>
      <c r="I28"/>
      <c r="J28"/>
      <c r="K28"/>
      <c r="L28"/>
      <c r="M28"/>
      <c r="N28"/>
      <c r="O28"/>
      <c r="P28"/>
      <c r="Q28"/>
      <c r="R28"/>
    </row>
    <row r="29" spans="1:18" customFormat="1" ht="12.9" customHeight="1">
      <c r="A29" s="84" t="s">
        <v>433</v>
      </c>
      <c r="B29" s="358" t="str">
        <f>IF(ISBLANK(dashboard!D27),dashboard!C27,dashboard!D27)</f>
        <v>Yes</v>
      </c>
      <c r="C29" s="5"/>
      <c r="D29" s="59"/>
      <c r="E29" s="5"/>
    </row>
    <row r="30" spans="1:18" customFormat="1" ht="12.9" customHeight="1">
      <c r="A30" s="84" t="s">
        <v>434</v>
      </c>
      <c r="B30" s="358" t="str">
        <f>IF(ISBLANK(dashboard!D28),dashboard!C28,dashboard!D28)</f>
        <v>Yes</v>
      </c>
      <c r="C30" s="5"/>
      <c r="D30" s="59"/>
      <c r="E30" s="40"/>
    </row>
    <row r="31" spans="1:18" s="40" customFormat="1" ht="12.9" customHeight="1">
      <c r="A31" s="84" t="s">
        <v>481</v>
      </c>
      <c r="B31" s="358" t="str">
        <f>IF(ISBLANK(dashboard!D26),dashboard!C26,dashboard!D26)</f>
        <v>No</v>
      </c>
      <c r="C31" s="17"/>
      <c r="D31" s="61"/>
      <c r="F31"/>
      <c r="G31"/>
      <c r="H31"/>
      <c r="I31"/>
      <c r="J31"/>
      <c r="K31"/>
      <c r="L31"/>
      <c r="M31"/>
      <c r="N31"/>
      <c r="O31"/>
      <c r="P31"/>
      <c r="Q31"/>
      <c r="R31"/>
    </row>
    <row r="32" spans="1:18" s="24" customFormat="1" ht="12.9" customHeight="1">
      <c r="A32" s="84" t="s">
        <v>1044</v>
      </c>
      <c r="B32" s="358" t="str">
        <f>IF(ISBLANK(dashboard!D29),dashboard!C29,dashboard!D29)</f>
        <v>Yes</v>
      </c>
      <c r="F32"/>
      <c r="G32"/>
      <c r="H32"/>
      <c r="I32"/>
      <c r="J32"/>
      <c r="K32"/>
      <c r="L32"/>
      <c r="M32"/>
      <c r="N32"/>
      <c r="O32"/>
      <c r="P32"/>
      <c r="Q32"/>
      <c r="R32"/>
    </row>
    <row r="33" spans="1:18" s="24" customFormat="1" ht="12.9" customHeight="1">
      <c r="A33" s="84" t="s">
        <v>1154</v>
      </c>
      <c r="B33" s="358" t="str">
        <f>IF(ISBLANK(dashboard!D23),dashboard!C23,dashboard!D23)</f>
        <v>A</v>
      </c>
      <c r="F33"/>
      <c r="G33"/>
      <c r="H33"/>
      <c r="I33"/>
      <c r="J33"/>
      <c r="K33"/>
      <c r="L33"/>
      <c r="M33"/>
      <c r="N33"/>
      <c r="O33"/>
      <c r="P33"/>
      <c r="Q33"/>
      <c r="R33"/>
    </row>
    <row r="34" spans="1:18" s="291" customFormat="1" ht="12.9" customHeight="1">
      <c r="A34" s="53" t="s">
        <v>1450</v>
      </c>
      <c r="B34" s="358" t="str">
        <f>dashboard!C99</f>
        <v>Yes</v>
      </c>
      <c r="F34"/>
      <c r="G34"/>
      <c r="H34"/>
      <c r="I34"/>
      <c r="J34"/>
      <c r="K34"/>
      <c r="L34"/>
      <c r="M34"/>
      <c r="N34"/>
      <c r="O34"/>
      <c r="P34"/>
      <c r="Q34"/>
      <c r="R34"/>
    </row>
    <row r="35" spans="1:18" s="396" customFormat="1" ht="12.9" customHeight="1">
      <c r="A35" s="395" t="s">
        <v>1296</v>
      </c>
      <c r="B35" s="358"/>
      <c r="F35"/>
      <c r="G35"/>
      <c r="H35"/>
      <c r="I35"/>
      <c r="J35"/>
      <c r="K35"/>
      <c r="L35"/>
      <c r="M35"/>
      <c r="N35"/>
      <c r="O35"/>
      <c r="P35"/>
      <c r="Q35"/>
      <c r="R35"/>
    </row>
    <row r="36" spans="1:18" s="396" customFormat="1" ht="12.9" customHeight="1">
      <c r="A36" s="39" t="s">
        <v>1300</v>
      </c>
      <c r="B36" s="324"/>
      <c r="F36"/>
      <c r="G36"/>
      <c r="H36"/>
      <c r="I36"/>
      <c r="J36"/>
      <c r="K36"/>
      <c r="L36"/>
      <c r="M36"/>
      <c r="N36"/>
      <c r="O36"/>
      <c r="P36"/>
      <c r="Q36"/>
      <c r="R36"/>
    </row>
    <row r="37" spans="1:18" s="396" customFormat="1" ht="12.9" customHeight="1">
      <c r="A37" s="53" t="s">
        <v>426</v>
      </c>
      <c r="B37" s="400" t="b">
        <f>IF(dashboard!F70="o.k.",TRUE,FALSE)</f>
        <v>1</v>
      </c>
      <c r="F37"/>
      <c r="G37"/>
      <c r="H37"/>
      <c r="I37"/>
      <c r="J37"/>
      <c r="K37"/>
      <c r="L37"/>
      <c r="M37"/>
      <c r="N37"/>
      <c r="O37"/>
      <c r="P37"/>
      <c r="Q37"/>
      <c r="R37"/>
    </row>
    <row r="38" spans="1:18" s="396" customFormat="1" ht="12.9" customHeight="1">
      <c r="A38" s="53" t="s">
        <v>469</v>
      </c>
      <c r="B38" s="400" t="b">
        <f>IF(dashboard!F71="o.k.",TRUE,FALSE)</f>
        <v>1</v>
      </c>
      <c r="F38"/>
      <c r="G38"/>
      <c r="H38"/>
      <c r="I38"/>
      <c r="J38"/>
      <c r="K38"/>
      <c r="L38"/>
      <c r="M38"/>
      <c r="N38"/>
      <c r="O38"/>
      <c r="P38"/>
      <c r="Q38"/>
      <c r="R38"/>
    </row>
    <row r="39" spans="1:18" s="396" customFormat="1" ht="12.9" customHeight="1">
      <c r="A39" s="53" t="s">
        <v>425</v>
      </c>
      <c r="B39" s="400" t="b">
        <f>IF(dashboard!F72="o.k.",TRUE,FALSE)</f>
        <v>1</v>
      </c>
      <c r="F39"/>
      <c r="G39"/>
      <c r="H39"/>
      <c r="I39"/>
      <c r="J39"/>
      <c r="K39"/>
      <c r="L39"/>
      <c r="M39"/>
      <c r="N39"/>
      <c r="O39"/>
      <c r="P39"/>
      <c r="Q39"/>
      <c r="R39"/>
    </row>
    <row r="40" spans="1:18" s="396" customFormat="1" ht="12.9" customHeight="1">
      <c r="A40" s="39" t="s">
        <v>1298</v>
      </c>
      <c r="B40" s="324"/>
      <c r="F40"/>
      <c r="G40"/>
      <c r="H40"/>
      <c r="I40"/>
      <c r="J40"/>
      <c r="K40"/>
      <c r="L40"/>
      <c r="M40"/>
      <c r="N40"/>
      <c r="O40"/>
      <c r="P40"/>
      <c r="Q40"/>
      <c r="R40"/>
    </row>
    <row r="41" spans="1:18" s="396" customFormat="1" ht="12.9" customHeight="1">
      <c r="A41" s="53" t="s">
        <v>426</v>
      </c>
      <c r="B41" s="400">
        <f>dashboard!D70-dashboard!C70</f>
        <v>6</v>
      </c>
      <c r="C41" s="396" t="s">
        <v>465</v>
      </c>
      <c r="F41"/>
      <c r="G41"/>
      <c r="H41"/>
      <c r="I41"/>
      <c r="J41"/>
      <c r="K41"/>
      <c r="L41"/>
      <c r="M41"/>
      <c r="N41"/>
      <c r="O41"/>
      <c r="P41"/>
      <c r="Q41"/>
      <c r="R41"/>
    </row>
    <row r="42" spans="1:18" s="396" customFormat="1" ht="12.9" customHeight="1">
      <c r="A42" s="53" t="s">
        <v>469</v>
      </c>
      <c r="B42" s="400">
        <f>dashboard!D71-dashboard!C71</f>
        <v>16</v>
      </c>
      <c r="C42" s="396" t="s">
        <v>465</v>
      </c>
      <c r="F42"/>
      <c r="G42"/>
      <c r="H42"/>
      <c r="I42"/>
      <c r="J42"/>
      <c r="K42"/>
      <c r="L42"/>
      <c r="M42"/>
      <c r="N42"/>
      <c r="O42"/>
      <c r="P42"/>
      <c r="Q42"/>
      <c r="R42"/>
    </row>
    <row r="43" spans="1:18" s="396" customFormat="1" ht="12.9" customHeight="1">
      <c r="A43" s="53" t="s">
        <v>425</v>
      </c>
      <c r="B43" s="400">
        <f>dashboard!D72-dashboard!C72</f>
        <v>20</v>
      </c>
      <c r="C43" s="396" t="s">
        <v>465</v>
      </c>
      <c r="F43"/>
      <c r="G43"/>
      <c r="H43"/>
      <c r="I43"/>
      <c r="J43"/>
      <c r="K43"/>
      <c r="L43"/>
      <c r="M43"/>
      <c r="N43"/>
      <c r="O43"/>
      <c r="P43"/>
      <c r="Q43"/>
      <c r="R43"/>
    </row>
    <row r="44" spans="1:18" s="396" customFormat="1" ht="12.9" customHeight="1">
      <c r="A44" s="39" t="s">
        <v>1302</v>
      </c>
      <c r="B44" s="324"/>
      <c r="F44"/>
      <c r="G44"/>
      <c r="H44"/>
      <c r="I44"/>
      <c r="J44"/>
      <c r="K44"/>
      <c r="L44"/>
      <c r="M44"/>
      <c r="N44"/>
      <c r="O44"/>
      <c r="P44"/>
      <c r="Q44"/>
      <c r="R44"/>
    </row>
    <row r="45" spans="1:18" s="396" customFormat="1" ht="12.9" customHeight="1">
      <c r="A45" s="53" t="s">
        <v>426</v>
      </c>
      <c r="B45" s="324">
        <f>INDEX('Baseline Consumption'!Q72:AU72,MATCH(dashboard!C70,'Baseline Consumption'!$Q$67:$AU$67))</f>
        <v>0.1148032481183808</v>
      </c>
      <c r="F45"/>
      <c r="G45"/>
      <c r="H45"/>
      <c r="I45"/>
      <c r="J45"/>
      <c r="K45"/>
      <c r="L45"/>
      <c r="M45"/>
      <c r="N45"/>
      <c r="O45"/>
      <c r="P45"/>
      <c r="Q45"/>
      <c r="R45"/>
    </row>
    <row r="46" spans="1:18" s="396" customFormat="1" ht="12.9" customHeight="1">
      <c r="A46" s="53" t="s">
        <v>469</v>
      </c>
      <c r="B46" s="324">
        <f>INDEX('Baseline Consumption'!Q73:AU73,MATCH(dashboard!C71,'Baseline Consumption'!$Q$67:$AU$67))</f>
        <v>0.11411006684798192</v>
      </c>
      <c r="F46"/>
      <c r="G46"/>
      <c r="H46"/>
      <c r="I46"/>
      <c r="J46"/>
      <c r="K46"/>
      <c r="L46"/>
      <c r="M46"/>
      <c r="N46"/>
      <c r="O46"/>
      <c r="P46"/>
      <c r="Q46"/>
      <c r="R46"/>
    </row>
    <row r="47" spans="1:18" s="396" customFormat="1" ht="12.9" customHeight="1">
      <c r="A47" s="53" t="s">
        <v>998</v>
      </c>
      <c r="B47" s="324">
        <f>INDEX('Baseline Consumption'!Q74:AU74,MATCH(dashboard!C71,'Baseline Consumption'!$Q$67:$AU$67))</f>
        <v>9.3810078819085256E-3</v>
      </c>
      <c r="F47"/>
      <c r="G47"/>
      <c r="H47"/>
      <c r="I47"/>
      <c r="J47"/>
      <c r="K47"/>
      <c r="L47"/>
      <c r="M47"/>
      <c r="N47"/>
      <c r="O47"/>
      <c r="P47"/>
      <c r="Q47"/>
      <c r="R47"/>
    </row>
    <row r="48" spans="1:18" s="396" customFormat="1" ht="12.9" customHeight="1">
      <c r="A48" s="53" t="s">
        <v>425</v>
      </c>
      <c r="B48" s="324">
        <f>INDEX('Baseline Consumption'!Q75:AU75,MATCH(dashboard!C72,'Baseline Consumption'!$Q$67:$AU$67))</f>
        <v>7.3996231116258489E-4</v>
      </c>
      <c r="F48"/>
      <c r="G48"/>
      <c r="H48"/>
      <c r="I48"/>
      <c r="J48"/>
      <c r="K48"/>
      <c r="L48"/>
      <c r="M48"/>
      <c r="N48"/>
      <c r="O48"/>
      <c r="P48"/>
      <c r="Q48"/>
      <c r="R48"/>
    </row>
    <row r="49" spans="1:18" s="396" customFormat="1" ht="12.9" customHeight="1">
      <c r="A49" s="39" t="s">
        <v>1297</v>
      </c>
      <c r="B49" s="324"/>
      <c r="F49"/>
      <c r="G49"/>
      <c r="H49"/>
      <c r="I49"/>
      <c r="J49"/>
      <c r="K49"/>
      <c r="L49"/>
      <c r="M49"/>
      <c r="N49"/>
      <c r="O49"/>
      <c r="P49"/>
      <c r="Q49"/>
      <c r="R49"/>
    </row>
    <row r="50" spans="1:18" s="396" customFormat="1" ht="12.9" customHeight="1">
      <c r="A50" s="53" t="s">
        <v>469</v>
      </c>
      <c r="B50" s="324">
        <f>INDEX('Baseline Consumption'!Q73:AU73,MATCH(dashboard!D71,'Baseline Consumption'!$Q$67:$AU$67))</f>
        <v>0.11411006684798192</v>
      </c>
      <c r="F50"/>
      <c r="G50"/>
      <c r="H50"/>
      <c r="I50"/>
      <c r="J50"/>
      <c r="K50"/>
      <c r="L50"/>
      <c r="M50"/>
      <c r="N50"/>
      <c r="O50"/>
      <c r="P50"/>
      <c r="Q50"/>
      <c r="R50"/>
    </row>
    <row r="51" spans="1:18" s="396" customFormat="1" ht="12.9" customHeight="1">
      <c r="A51" s="53" t="s">
        <v>998</v>
      </c>
      <c r="B51" s="324">
        <f>INDEX('Baseline Consumption'!Q74:AU74,MATCH(dashboard!D71,'Baseline Consumption'!$Q$67:$AU$67))</f>
        <v>9.3810078819085256E-3</v>
      </c>
      <c r="F51"/>
      <c r="G51"/>
      <c r="H51"/>
      <c r="I51"/>
      <c r="J51"/>
      <c r="K51"/>
      <c r="L51"/>
      <c r="M51"/>
      <c r="N51"/>
      <c r="O51"/>
      <c r="P51"/>
      <c r="Q51"/>
      <c r="R51"/>
    </row>
    <row r="52" spans="1:18" s="396" customFormat="1" ht="12.9" customHeight="1">
      <c r="A52" s="39" t="s">
        <v>1299</v>
      </c>
      <c r="B52" s="324"/>
      <c r="F52"/>
      <c r="G52"/>
      <c r="H52"/>
      <c r="I52"/>
      <c r="J52"/>
      <c r="K52"/>
      <c r="L52"/>
      <c r="M52"/>
      <c r="N52"/>
      <c r="O52"/>
      <c r="P52"/>
      <c r="Q52"/>
      <c r="R52"/>
    </row>
    <row r="53" spans="1:18" s="396" customFormat="1" ht="12.9" customHeight="1">
      <c r="A53" s="53" t="s">
        <v>426</v>
      </c>
      <c r="B53" s="324">
        <f>dashboard!E70</f>
        <v>0</v>
      </c>
      <c r="F53"/>
      <c r="G53"/>
      <c r="H53"/>
      <c r="I53"/>
      <c r="J53"/>
      <c r="K53"/>
      <c r="L53"/>
      <c r="M53"/>
      <c r="N53"/>
      <c r="O53"/>
      <c r="P53"/>
      <c r="Q53"/>
      <c r="R53"/>
    </row>
    <row r="54" spans="1:18" s="396" customFormat="1" ht="12.9" customHeight="1">
      <c r="A54" s="53" t="s">
        <v>469</v>
      </c>
      <c r="B54" s="358">
        <f>dashboard!E71*B50/SUM(B50:B51)</f>
        <v>0</v>
      </c>
      <c r="F54"/>
      <c r="G54"/>
      <c r="H54"/>
      <c r="I54"/>
      <c r="J54"/>
      <c r="K54"/>
      <c r="L54"/>
      <c r="M54"/>
      <c r="N54"/>
      <c r="O54"/>
      <c r="P54"/>
      <c r="Q54"/>
      <c r="R54"/>
    </row>
    <row r="55" spans="1:18" s="396" customFormat="1" ht="12.9" customHeight="1">
      <c r="A55" s="53" t="s">
        <v>998</v>
      </c>
      <c r="B55" s="324">
        <f>dashboard!E71*B51/SUM(B50:B51)</f>
        <v>0</v>
      </c>
      <c r="F55"/>
      <c r="G55"/>
      <c r="H55"/>
      <c r="I55"/>
      <c r="J55"/>
      <c r="K55"/>
      <c r="L55"/>
      <c r="M55"/>
      <c r="N55"/>
      <c r="O55"/>
      <c r="P55"/>
      <c r="Q55"/>
      <c r="R55"/>
    </row>
    <row r="56" spans="1:18" s="396" customFormat="1" ht="12.9" customHeight="1">
      <c r="A56" s="53" t="s">
        <v>425</v>
      </c>
      <c r="B56" s="324">
        <f>dashboard!E72</f>
        <v>0</v>
      </c>
      <c r="F56"/>
      <c r="G56"/>
      <c r="H56"/>
      <c r="I56"/>
      <c r="J56"/>
      <c r="K56"/>
      <c r="L56"/>
      <c r="M56"/>
      <c r="N56"/>
      <c r="O56"/>
      <c r="P56"/>
      <c r="Q56"/>
      <c r="R56"/>
    </row>
    <row r="57" spans="1:18" s="396" customFormat="1" ht="12.9" customHeight="1">
      <c r="A57" s="39" t="s">
        <v>1303</v>
      </c>
      <c r="B57" s="324"/>
      <c r="F57"/>
      <c r="G57"/>
      <c r="H57"/>
      <c r="I57"/>
      <c r="J57"/>
      <c r="K57"/>
      <c r="L57"/>
      <c r="M57"/>
      <c r="N57"/>
      <c r="O57"/>
      <c r="P57"/>
      <c r="Q57"/>
      <c r="R57"/>
    </row>
    <row r="58" spans="1:18" s="396" customFormat="1" ht="12.9" customHeight="1">
      <c r="A58" s="53" t="s">
        <v>426</v>
      </c>
      <c r="B58" s="324">
        <f>B45-B53</f>
        <v>0.1148032481183808</v>
      </c>
      <c r="F58"/>
      <c r="G58"/>
      <c r="H58"/>
      <c r="I58"/>
      <c r="J58"/>
      <c r="K58"/>
      <c r="L58"/>
      <c r="M58"/>
      <c r="N58"/>
      <c r="O58"/>
      <c r="P58"/>
      <c r="Q58"/>
      <c r="R58"/>
    </row>
    <row r="59" spans="1:18" s="396" customFormat="1" ht="12.9" customHeight="1">
      <c r="A59" s="53" t="s">
        <v>469</v>
      </c>
      <c r="B59" s="324">
        <f>B46-B54</f>
        <v>0.11411006684798192</v>
      </c>
      <c r="F59"/>
      <c r="G59"/>
      <c r="H59"/>
      <c r="I59"/>
      <c r="J59"/>
      <c r="K59"/>
      <c r="L59"/>
      <c r="M59"/>
      <c r="N59"/>
      <c r="O59"/>
      <c r="P59"/>
      <c r="Q59"/>
      <c r="R59"/>
    </row>
    <row r="60" spans="1:18" s="396" customFormat="1" ht="12.9" customHeight="1">
      <c r="A60" s="53" t="s">
        <v>998</v>
      </c>
      <c r="B60" s="324">
        <f>B47-B55</f>
        <v>9.3810078819085256E-3</v>
      </c>
      <c r="F60"/>
      <c r="G60"/>
      <c r="H60"/>
      <c r="I60"/>
      <c r="J60"/>
      <c r="K60"/>
      <c r="L60"/>
      <c r="M60"/>
      <c r="N60"/>
      <c r="O60"/>
      <c r="P60"/>
      <c r="Q60"/>
      <c r="R60"/>
    </row>
    <row r="61" spans="1:18" s="396" customFormat="1" ht="12.9" customHeight="1">
      <c r="A61" s="53" t="s">
        <v>425</v>
      </c>
      <c r="B61" s="324">
        <f>B48-B56</f>
        <v>7.3996231116258489E-4</v>
      </c>
      <c r="F61"/>
      <c r="G61"/>
      <c r="H61"/>
      <c r="I61"/>
      <c r="J61"/>
      <c r="K61"/>
      <c r="L61"/>
      <c r="M61"/>
      <c r="N61"/>
      <c r="O61"/>
      <c r="P61"/>
      <c r="Q61"/>
      <c r="R61"/>
    </row>
    <row r="62" spans="1:18" s="396" customFormat="1" ht="12.9" customHeight="1">
      <c r="A62" s="53"/>
      <c r="B62" s="358"/>
      <c r="F62"/>
      <c r="G62"/>
      <c r="H62"/>
      <c r="I62"/>
      <c r="J62"/>
      <c r="K62"/>
      <c r="L62"/>
      <c r="M62"/>
      <c r="N62"/>
      <c r="O62"/>
      <c r="P62"/>
      <c r="Q62"/>
      <c r="R62"/>
    </row>
    <row r="63" spans="1:18" s="291" customFormat="1" ht="12.9" customHeight="1">
      <c r="A63" s="290" t="s">
        <v>1240</v>
      </c>
      <c r="B63" s="358"/>
      <c r="F63"/>
      <c r="G63"/>
      <c r="H63"/>
      <c r="I63"/>
      <c r="J63"/>
      <c r="K63"/>
      <c r="L63"/>
      <c r="M63"/>
      <c r="N63"/>
      <c r="O63"/>
      <c r="P63"/>
      <c r="Q63"/>
      <c r="R63"/>
    </row>
    <row r="64" spans="1:18" s="408" customFormat="1" ht="12.9" customHeight="1">
      <c r="A64" s="50" t="s">
        <v>1348</v>
      </c>
      <c r="B64" s="358"/>
      <c r="E64" s="408" t="s">
        <v>1465</v>
      </c>
    </row>
    <row r="65" spans="1:18" s="291" customFormat="1" ht="12.9" customHeight="1">
      <c r="A65" s="385" t="s">
        <v>1345</v>
      </c>
      <c r="B65" s="324">
        <f>dashboard!$E95*elasticities!$B$27</f>
        <v>0.2145</v>
      </c>
      <c r="F65"/>
      <c r="G65"/>
      <c r="H65"/>
      <c r="I65"/>
      <c r="J65"/>
      <c r="K65"/>
      <c r="L65"/>
      <c r="M65"/>
      <c r="N65"/>
      <c r="O65"/>
      <c r="P65"/>
      <c r="Q65"/>
      <c r="R65"/>
    </row>
    <row r="66" spans="1:18" s="408" customFormat="1" ht="12.9" customHeight="1">
      <c r="A66" s="385" t="s">
        <v>1346</v>
      </c>
      <c r="B66" s="324">
        <f>dashboard!$E96*elasticities!$B$27</f>
        <v>0.19500000000000001</v>
      </c>
    </row>
    <row r="67" spans="1:18" s="408" customFormat="1" ht="12.9" customHeight="1">
      <c r="A67" s="385" t="s">
        <v>1347</v>
      </c>
      <c r="B67" s="324">
        <f>dashboard!$E97*elasticities!$B$27</f>
        <v>0.156</v>
      </c>
    </row>
    <row r="68" spans="1:18" s="291" customFormat="1" ht="12.9" customHeight="1">
      <c r="A68" s="53"/>
      <c r="B68" s="130"/>
      <c r="F68"/>
      <c r="G68"/>
      <c r="H68"/>
      <c r="I68"/>
      <c r="J68"/>
      <c r="K68"/>
      <c r="L68"/>
      <c r="M68"/>
      <c r="N68"/>
      <c r="O68"/>
      <c r="P68"/>
      <c r="Q68"/>
      <c r="R68"/>
    </row>
    <row r="69" spans="1:18" s="291" customFormat="1" ht="12.9" customHeight="1">
      <c r="A69" s="250" t="s">
        <v>13</v>
      </c>
      <c r="B69" s="240"/>
      <c r="C69" s="240"/>
      <c r="D69" s="240"/>
      <c r="E69" s="240"/>
      <c r="F69"/>
      <c r="G69"/>
      <c r="H69"/>
      <c r="I69"/>
      <c r="J69"/>
      <c r="K69"/>
      <c r="L69"/>
      <c r="M69"/>
      <c r="N69"/>
      <c r="O69"/>
      <c r="P69"/>
      <c r="Q69"/>
      <c r="R69"/>
    </row>
    <row r="70" spans="1:18" ht="12.9" customHeight="1">
      <c r="A70" s="294" t="s">
        <v>432</v>
      </c>
      <c r="B70" s="294" t="s">
        <v>428</v>
      </c>
      <c r="C70" s="294" t="s">
        <v>429</v>
      </c>
      <c r="D70" s="294" t="s">
        <v>430</v>
      </c>
      <c r="E70" s="294" t="s">
        <v>431</v>
      </c>
    </row>
    <row r="71" spans="1:18" s="11" customFormat="1" ht="12.9" customHeight="1">
      <c r="A71" s="40" t="s">
        <v>0</v>
      </c>
      <c r="B71" s="296">
        <v>70.876666666666651</v>
      </c>
      <c r="C71" s="40" t="s">
        <v>486</v>
      </c>
      <c r="D71" s="234" t="s">
        <v>97</v>
      </c>
      <c r="E71" s="1" t="s">
        <v>869</v>
      </c>
      <c r="F71"/>
      <c r="G71"/>
      <c r="H71"/>
      <c r="I71"/>
      <c r="J71"/>
      <c r="K71"/>
      <c r="L71"/>
      <c r="M71"/>
      <c r="N71"/>
      <c r="O71"/>
      <c r="P71"/>
      <c r="Q71"/>
      <c r="R71"/>
    </row>
    <row r="72" spans="1:18" s="11" customFormat="1" ht="12.9" customHeight="1">
      <c r="A72" s="112" t="s">
        <v>865</v>
      </c>
      <c r="B72" s="370">
        <v>19.399999999999999</v>
      </c>
      <c r="C72" s="11" t="s">
        <v>1101</v>
      </c>
      <c r="D72" s="234"/>
      <c r="E72" s="178"/>
      <c r="F72"/>
      <c r="G72"/>
      <c r="H72"/>
      <c r="I72"/>
      <c r="J72"/>
      <c r="K72"/>
      <c r="L72"/>
      <c r="M72"/>
      <c r="N72"/>
      <c r="O72"/>
      <c r="P72"/>
      <c r="Q72"/>
      <c r="R72"/>
    </row>
    <row r="73" spans="1:18" s="11" customFormat="1" ht="12.9" customHeight="1">
      <c r="A73" s="40" t="s">
        <v>862</v>
      </c>
      <c r="B73" s="355">
        <v>124340</v>
      </c>
      <c r="C73" s="40" t="s">
        <v>863</v>
      </c>
      <c r="D73" s="234" t="s">
        <v>864</v>
      </c>
      <c r="E73" s="1" t="s">
        <v>1108</v>
      </c>
      <c r="F73"/>
      <c r="G73"/>
      <c r="H73"/>
      <c r="I73"/>
      <c r="J73"/>
      <c r="K73"/>
      <c r="L73"/>
      <c r="M73"/>
      <c r="N73"/>
      <c r="O73"/>
      <c r="P73"/>
      <c r="Q73"/>
      <c r="R73"/>
    </row>
    <row r="74" spans="1:18" s="11" customFormat="1" ht="12.9" customHeight="1">
      <c r="A74" s="112" t="s">
        <v>865</v>
      </c>
      <c r="B74" s="304">
        <f>B73/10^6</f>
        <v>0.12434000000000001</v>
      </c>
      <c r="C74" s="40" t="s">
        <v>485</v>
      </c>
      <c r="D74" s="60"/>
      <c r="E74" s="40"/>
      <c r="F74"/>
      <c r="G74"/>
      <c r="H74"/>
      <c r="I74"/>
      <c r="J74"/>
      <c r="K74"/>
      <c r="L74"/>
      <c r="M74"/>
      <c r="N74"/>
      <c r="O74"/>
      <c r="P74"/>
      <c r="Q74"/>
      <c r="R74"/>
    </row>
    <row r="75" spans="1:18" s="11" customFormat="1" ht="12.9" customHeight="1">
      <c r="A75" s="369" t="s">
        <v>1230</v>
      </c>
      <c r="B75" s="371">
        <v>18.899999999999999</v>
      </c>
      <c r="C75" s="11" t="s">
        <v>1132</v>
      </c>
      <c r="D75" s="292"/>
      <c r="E75" s="291"/>
      <c r="F75"/>
      <c r="G75"/>
      <c r="H75"/>
      <c r="I75"/>
      <c r="J75"/>
      <c r="K75"/>
      <c r="L75"/>
      <c r="M75"/>
      <c r="N75"/>
      <c r="O75"/>
      <c r="P75"/>
      <c r="Q75"/>
      <c r="R75"/>
    </row>
    <row r="76" spans="1:18" s="11" customFormat="1" ht="12.9" customHeight="1">
      <c r="A76" s="40" t="s">
        <v>1</v>
      </c>
      <c r="B76" s="296">
        <v>53.0566666666667</v>
      </c>
      <c r="C76" s="40" t="s">
        <v>486</v>
      </c>
      <c r="D76" s="234" t="s">
        <v>97</v>
      </c>
      <c r="E76" s="1"/>
      <c r="F76"/>
      <c r="G76"/>
      <c r="H76"/>
      <c r="I76"/>
      <c r="J76"/>
      <c r="K76"/>
      <c r="L76"/>
      <c r="M76"/>
      <c r="N76"/>
      <c r="O76"/>
      <c r="P76"/>
      <c r="Q76"/>
      <c r="R76"/>
    </row>
    <row r="77" spans="1:18" s="11" customFormat="1" ht="12.9" customHeight="1">
      <c r="A77" s="112" t="s">
        <v>865</v>
      </c>
      <c r="B77" s="372">
        <f>B76*2.2045</f>
        <v>116.96342166666673</v>
      </c>
      <c r="C77" s="11" t="s">
        <v>1144</v>
      </c>
      <c r="D77" s="292"/>
      <c r="E77" s="178"/>
      <c r="F77"/>
      <c r="G77"/>
      <c r="H77"/>
      <c r="I77"/>
      <c r="J77"/>
      <c r="K77"/>
      <c r="L77"/>
      <c r="M77"/>
      <c r="N77"/>
      <c r="O77"/>
      <c r="P77"/>
      <c r="Q77"/>
      <c r="R77"/>
    </row>
    <row r="78" spans="1:18" s="11" customFormat="1" ht="12.9" customHeight="1">
      <c r="A78" s="1" t="s">
        <v>1091</v>
      </c>
      <c r="B78" s="296">
        <v>54.71</v>
      </c>
      <c r="C78" s="198" t="s">
        <v>486</v>
      </c>
      <c r="D78" s="234" t="s">
        <v>97</v>
      </c>
      <c r="E78" s="11" t="s">
        <v>1092</v>
      </c>
      <c r="F78"/>
      <c r="G78"/>
      <c r="H78"/>
      <c r="I78"/>
      <c r="J78"/>
      <c r="K78"/>
      <c r="L78"/>
      <c r="M78"/>
      <c r="N78"/>
      <c r="O78"/>
      <c r="P78"/>
      <c r="Q78"/>
      <c r="R78"/>
    </row>
    <row r="79" spans="1:18" s="11" customFormat="1" ht="12.9" customHeight="1">
      <c r="A79" s="40" t="s">
        <v>2</v>
      </c>
      <c r="B79" s="296">
        <v>94.7</v>
      </c>
      <c r="C79" s="40" t="s">
        <v>486</v>
      </c>
      <c r="D79" s="234" t="s">
        <v>97</v>
      </c>
      <c r="E79" s="1"/>
      <c r="F79"/>
      <c r="G79"/>
      <c r="H79"/>
      <c r="I79"/>
      <c r="J79"/>
      <c r="K79"/>
      <c r="L79"/>
      <c r="M79"/>
      <c r="N79"/>
      <c r="O79"/>
      <c r="P79"/>
      <c r="Q79"/>
      <c r="R79"/>
    </row>
    <row r="80" spans="1:18" s="11" customFormat="1" ht="12.9" customHeight="1">
      <c r="A80" s="40" t="s">
        <v>7</v>
      </c>
      <c r="B80" s="296">
        <v>73.150000000000006</v>
      </c>
      <c r="C80" s="40" t="s">
        <v>486</v>
      </c>
      <c r="D80" s="234" t="s">
        <v>97</v>
      </c>
      <c r="E80" s="1"/>
      <c r="F80"/>
      <c r="G80"/>
      <c r="H80"/>
      <c r="I80"/>
      <c r="J80"/>
      <c r="K80"/>
      <c r="L80"/>
      <c r="M80"/>
      <c r="N80"/>
      <c r="O80"/>
      <c r="P80"/>
      <c r="Q80"/>
      <c r="R80"/>
    </row>
    <row r="81" spans="1:18" s="11" customFormat="1" ht="12.9" customHeight="1">
      <c r="A81" s="112" t="s">
        <v>865</v>
      </c>
      <c r="B81" s="372">
        <f>B80*2.2045*B83</f>
        <v>22.1537854615</v>
      </c>
      <c r="C81" s="11" t="s">
        <v>1101</v>
      </c>
      <c r="D81" s="292"/>
      <c r="E81" s="178"/>
      <c r="F81"/>
      <c r="G81"/>
      <c r="H81"/>
      <c r="I81"/>
      <c r="J81"/>
      <c r="K81"/>
      <c r="L81"/>
      <c r="M81"/>
      <c r="N81"/>
      <c r="O81"/>
      <c r="P81"/>
      <c r="Q81"/>
      <c r="R81"/>
    </row>
    <row r="82" spans="1:18" s="11" customFormat="1" ht="12.9" customHeight="1">
      <c r="A82" s="40" t="s">
        <v>866</v>
      </c>
      <c r="B82" s="355">
        <v>137380</v>
      </c>
      <c r="C82" s="40" t="s">
        <v>863</v>
      </c>
      <c r="D82" s="234" t="s">
        <v>864</v>
      </c>
      <c r="E82" s="40"/>
      <c r="F82"/>
      <c r="G82"/>
      <c r="H82"/>
      <c r="I82"/>
      <c r="J82"/>
      <c r="K82"/>
      <c r="L82"/>
      <c r="M82"/>
      <c r="N82"/>
      <c r="O82"/>
      <c r="P82"/>
      <c r="Q82"/>
      <c r="R82"/>
    </row>
    <row r="83" spans="1:18" s="11" customFormat="1" ht="12.9" customHeight="1">
      <c r="A83" s="112" t="s">
        <v>865</v>
      </c>
      <c r="B83" s="304">
        <f>B82/10^6</f>
        <v>0.13738</v>
      </c>
      <c r="C83" s="40" t="s">
        <v>485</v>
      </c>
      <c r="D83" s="74"/>
      <c r="E83" s="40"/>
      <c r="F83"/>
      <c r="G83"/>
      <c r="H83"/>
      <c r="I83"/>
      <c r="J83"/>
      <c r="K83"/>
      <c r="L83"/>
      <c r="M83"/>
      <c r="N83"/>
      <c r="O83"/>
      <c r="P83"/>
      <c r="Q83"/>
      <c r="R83"/>
    </row>
    <row r="84" spans="1:18" s="11" customFormat="1" ht="12.9" customHeight="1">
      <c r="A84" s="40" t="s">
        <v>1069</v>
      </c>
      <c r="B84" s="296">
        <v>70.876666666666651</v>
      </c>
      <c r="C84" s="40" t="s">
        <v>486</v>
      </c>
      <c r="D84" s="234" t="s">
        <v>97</v>
      </c>
      <c r="E84" s="1"/>
      <c r="F84"/>
      <c r="G84"/>
      <c r="H84"/>
      <c r="I84"/>
      <c r="J84"/>
      <c r="K84"/>
      <c r="L84"/>
      <c r="M84"/>
      <c r="N84"/>
      <c r="O84"/>
      <c r="P84"/>
      <c r="Q84"/>
      <c r="R84"/>
    </row>
    <row r="85" spans="1:18" s="11" customFormat="1" ht="12.9" customHeight="1">
      <c r="A85" s="112" t="s">
        <v>865</v>
      </c>
      <c r="B85" s="372">
        <f>B84*2.2045*B86</f>
        <v>21.093427574999993</v>
      </c>
      <c r="C85" s="11" t="s">
        <v>1101</v>
      </c>
      <c r="D85" s="292"/>
      <c r="E85" s="178"/>
      <c r="F85"/>
      <c r="G85"/>
      <c r="H85"/>
      <c r="I85"/>
      <c r="J85"/>
      <c r="K85"/>
      <c r="L85"/>
      <c r="M85"/>
      <c r="N85"/>
      <c r="O85"/>
      <c r="P85"/>
      <c r="Q85"/>
      <c r="R85"/>
    </row>
    <row r="86" spans="1:18" s="11" customFormat="1" ht="12.9" customHeight="1">
      <c r="A86" s="40" t="s">
        <v>347</v>
      </c>
      <c r="B86" s="359">
        <v>0.13500000000000001</v>
      </c>
      <c r="C86" s="40" t="s">
        <v>322</v>
      </c>
      <c r="D86" s="234"/>
      <c r="E86" s="40"/>
      <c r="F86"/>
      <c r="G86"/>
      <c r="H86"/>
      <c r="I86"/>
      <c r="J86"/>
      <c r="K86"/>
      <c r="L86"/>
      <c r="M86"/>
      <c r="N86"/>
      <c r="O86"/>
      <c r="P86"/>
      <c r="Q86"/>
      <c r="R86"/>
    </row>
    <row r="87" spans="1:18" s="11" customFormat="1" ht="12.9" customHeight="1">
      <c r="A87" s="40" t="s">
        <v>73</v>
      </c>
      <c r="B87" s="296">
        <v>62.28</v>
      </c>
      <c r="C87" s="40" t="s">
        <v>486</v>
      </c>
      <c r="D87" s="234" t="s">
        <v>97</v>
      </c>
      <c r="E87" s="1"/>
      <c r="F87"/>
      <c r="G87"/>
      <c r="H87"/>
      <c r="I87"/>
      <c r="J87"/>
      <c r="K87"/>
      <c r="L87"/>
      <c r="M87"/>
      <c r="N87"/>
      <c r="O87"/>
      <c r="P87"/>
      <c r="Q87"/>
      <c r="R87"/>
    </row>
    <row r="88" spans="1:18" s="11" customFormat="1" ht="12.9" customHeight="1">
      <c r="A88" s="112" t="s">
        <v>865</v>
      </c>
      <c r="B88" s="372">
        <f>B87*2.2045*B89/1000000</f>
        <v>12.550251126599999</v>
      </c>
      <c r="C88" s="11" t="s">
        <v>1101</v>
      </c>
      <c r="D88" s="292"/>
      <c r="E88" s="178"/>
      <c r="F88"/>
      <c r="G88"/>
      <c r="H88"/>
      <c r="I88"/>
      <c r="J88"/>
      <c r="K88"/>
      <c r="L88"/>
      <c r="M88"/>
      <c r="N88"/>
      <c r="O88"/>
      <c r="P88"/>
      <c r="Q88"/>
      <c r="R88"/>
    </row>
    <row r="89" spans="1:18" s="11" customFormat="1" ht="12.9" customHeight="1">
      <c r="A89" s="1" t="s">
        <v>867</v>
      </c>
      <c r="B89" s="355">
        <v>91410</v>
      </c>
      <c r="C89" s="40" t="s">
        <v>863</v>
      </c>
      <c r="D89" s="234" t="s">
        <v>864</v>
      </c>
      <c r="E89" s="40"/>
      <c r="F89"/>
      <c r="G89"/>
      <c r="H89"/>
      <c r="I89"/>
      <c r="J89"/>
      <c r="K89"/>
      <c r="L89"/>
      <c r="M89"/>
      <c r="N89"/>
      <c r="O89"/>
      <c r="P89"/>
      <c r="Q89"/>
      <c r="R89"/>
    </row>
    <row r="90" spans="1:18" s="11" customFormat="1" ht="12.9" customHeight="1">
      <c r="A90" s="46" t="s">
        <v>865</v>
      </c>
      <c r="B90" s="304">
        <f>B89/10^6</f>
        <v>9.1410000000000005E-2</v>
      </c>
      <c r="C90" s="40" t="s">
        <v>485</v>
      </c>
      <c r="D90" s="74"/>
      <c r="E90" s="40"/>
      <c r="F90"/>
      <c r="G90"/>
      <c r="H90"/>
      <c r="I90"/>
      <c r="J90"/>
      <c r="K90"/>
      <c r="L90"/>
      <c r="M90"/>
      <c r="N90"/>
      <c r="O90"/>
      <c r="P90"/>
      <c r="Q90"/>
      <c r="R90"/>
    </row>
    <row r="91" spans="1:18" s="11" customFormat="1" ht="12.9" customHeight="1">
      <c r="A91" s="40" t="s">
        <v>75</v>
      </c>
      <c r="B91" s="296">
        <v>72.31</v>
      </c>
      <c r="C91" s="40" t="s">
        <v>486</v>
      </c>
      <c r="D91" s="234" t="s">
        <v>97</v>
      </c>
      <c r="E91" s="1"/>
      <c r="F91"/>
      <c r="G91"/>
      <c r="H91"/>
      <c r="I91"/>
      <c r="J91"/>
      <c r="K91"/>
      <c r="L91"/>
      <c r="M91"/>
      <c r="N91"/>
      <c r="O91"/>
      <c r="P91"/>
      <c r="Q91"/>
      <c r="R91"/>
    </row>
    <row r="92" spans="1:18" s="11" customFormat="1" ht="12.9" customHeight="1">
      <c r="A92" s="40" t="s">
        <v>72</v>
      </c>
      <c r="B92" s="296">
        <v>14.79</v>
      </c>
      <c r="C92" s="40" t="s">
        <v>486</v>
      </c>
      <c r="D92" s="234" t="s">
        <v>97</v>
      </c>
      <c r="E92" s="1"/>
      <c r="F92"/>
      <c r="G92"/>
      <c r="H92"/>
      <c r="I92"/>
      <c r="J92"/>
      <c r="K92"/>
      <c r="L92"/>
      <c r="M92"/>
      <c r="N92"/>
      <c r="O92"/>
      <c r="P92"/>
      <c r="Q92"/>
      <c r="R92"/>
    </row>
    <row r="93" spans="1:18" s="11" customFormat="1" ht="12.9" customHeight="1">
      <c r="A93" s="112" t="s">
        <v>865</v>
      </c>
      <c r="B93" s="372">
        <f>12.6*0.85+19.6*0.15</f>
        <v>13.649999999999999</v>
      </c>
      <c r="C93" s="11" t="s">
        <v>1101</v>
      </c>
      <c r="D93" s="292"/>
      <c r="E93" s="178"/>
      <c r="F93"/>
      <c r="G93"/>
      <c r="H93"/>
      <c r="I93"/>
      <c r="J93"/>
      <c r="K93"/>
      <c r="L93"/>
      <c r="M93"/>
      <c r="N93"/>
      <c r="O93"/>
      <c r="P93"/>
      <c r="Q93"/>
      <c r="R93"/>
    </row>
    <row r="94" spans="1:18" s="11" customFormat="1" ht="12.9" customHeight="1">
      <c r="A94" s="40" t="s">
        <v>42</v>
      </c>
      <c r="B94" s="296">
        <v>78.8</v>
      </c>
      <c r="C94" s="40" t="s">
        <v>486</v>
      </c>
      <c r="D94" s="234" t="s">
        <v>97</v>
      </c>
      <c r="E94" s="1"/>
      <c r="F94"/>
      <c r="G94"/>
      <c r="H94"/>
      <c r="I94"/>
      <c r="J94"/>
      <c r="K94"/>
      <c r="L94"/>
      <c r="M94"/>
      <c r="N94"/>
      <c r="O94"/>
      <c r="P94"/>
      <c r="Q94"/>
      <c r="R94"/>
    </row>
    <row r="95" spans="1:18" s="11" customFormat="1" ht="12.9" customHeight="1">
      <c r="A95" s="112" t="s">
        <v>865</v>
      </c>
      <c r="B95" s="372">
        <f>B94*2.2045*B96</f>
        <v>25.98770416</v>
      </c>
      <c r="C95" s="11" t="s">
        <v>1101</v>
      </c>
      <c r="D95" s="292"/>
      <c r="E95" s="178"/>
      <c r="F95"/>
      <c r="G95"/>
      <c r="H95"/>
      <c r="I95"/>
      <c r="J95"/>
      <c r="K95"/>
      <c r="L95"/>
      <c r="M95"/>
      <c r="N95"/>
      <c r="O95"/>
      <c r="P95"/>
      <c r="Q95"/>
      <c r="R95"/>
    </row>
    <row r="96" spans="1:18" s="11" customFormat="1" ht="12.9" customHeight="1">
      <c r="A96" s="46" t="s">
        <v>865</v>
      </c>
      <c r="B96" s="359">
        <v>0.14960000000000001</v>
      </c>
      <c r="C96" s="40" t="s">
        <v>485</v>
      </c>
      <c r="D96" s="234"/>
      <c r="E96" s="40" t="s">
        <v>346</v>
      </c>
      <c r="F96"/>
      <c r="G96"/>
      <c r="H96"/>
      <c r="I96"/>
      <c r="J96"/>
      <c r="K96"/>
      <c r="L96"/>
      <c r="M96"/>
      <c r="N96"/>
      <c r="O96"/>
      <c r="P96"/>
      <c r="Q96"/>
      <c r="R96"/>
    </row>
    <row r="97" spans="1:18" s="11" customFormat="1" ht="12.9" customHeight="1">
      <c r="A97" s="40" t="s">
        <v>80</v>
      </c>
      <c r="B97" s="296">
        <v>0</v>
      </c>
      <c r="C97" s="40" t="s">
        <v>486</v>
      </c>
      <c r="D97" s="234"/>
      <c r="E97" s="40" t="s">
        <v>327</v>
      </c>
      <c r="F97"/>
      <c r="G97"/>
      <c r="H97"/>
      <c r="I97"/>
      <c r="J97"/>
      <c r="K97"/>
      <c r="L97"/>
      <c r="M97"/>
      <c r="N97"/>
      <c r="O97"/>
      <c r="P97"/>
      <c r="Q97"/>
      <c r="R97"/>
    </row>
    <row r="98" spans="1:18" s="11" customFormat="1" ht="12.9" customHeight="1">
      <c r="A98" s="40" t="s">
        <v>328</v>
      </c>
      <c r="B98" s="296">
        <v>0</v>
      </c>
      <c r="C98" s="40" t="s">
        <v>486</v>
      </c>
      <c r="D98" s="234"/>
      <c r="E98" s="40" t="s">
        <v>1085</v>
      </c>
      <c r="F98"/>
      <c r="G98"/>
      <c r="H98"/>
      <c r="I98"/>
      <c r="J98"/>
      <c r="K98"/>
      <c r="L98"/>
      <c r="M98"/>
      <c r="N98"/>
      <c r="O98"/>
      <c r="P98"/>
      <c r="Q98"/>
      <c r="R98"/>
    </row>
    <row r="100" spans="1:18" s="291" customFormat="1" ht="12.9" customHeight="1">
      <c r="A100" s="250" t="s">
        <v>274</v>
      </c>
      <c r="B100" s="240"/>
      <c r="C100" s="240"/>
      <c r="D100" s="240"/>
      <c r="E100" s="240"/>
      <c r="F100"/>
      <c r="G100"/>
      <c r="H100"/>
      <c r="I100"/>
      <c r="J100"/>
      <c r="K100"/>
      <c r="L100"/>
      <c r="M100"/>
      <c r="N100"/>
      <c r="O100"/>
      <c r="P100"/>
      <c r="Q100"/>
      <c r="R100"/>
    </row>
    <row r="101" spans="1:18" ht="12.9" customHeight="1">
      <c r="A101" s="294" t="s">
        <v>432</v>
      </c>
      <c r="B101" s="294" t="s">
        <v>428</v>
      </c>
      <c r="C101" s="294" t="s">
        <v>429</v>
      </c>
      <c r="D101" s="294" t="s">
        <v>430</v>
      </c>
      <c r="E101" s="294" t="s">
        <v>431</v>
      </c>
    </row>
    <row r="102" spans="1:18" s="11" customFormat="1" ht="12.9" customHeight="1">
      <c r="A102" s="65" t="s">
        <v>427</v>
      </c>
      <c r="B102" s="13"/>
      <c r="C102" s="14"/>
      <c r="D102" s="62"/>
      <c r="E102" s="1"/>
      <c r="F102"/>
      <c r="G102"/>
      <c r="H102"/>
      <c r="I102"/>
      <c r="J102"/>
      <c r="K102"/>
      <c r="L102"/>
      <c r="M102"/>
      <c r="N102"/>
      <c r="O102"/>
      <c r="P102"/>
      <c r="Q102"/>
      <c r="R102"/>
    </row>
    <row r="103" spans="1:18" s="11" customFormat="1" ht="12.9" customHeight="1">
      <c r="A103" s="46" t="s">
        <v>440</v>
      </c>
      <c r="B103" s="360">
        <v>73.400000000000006</v>
      </c>
      <c r="C103" s="20" t="s">
        <v>439</v>
      </c>
      <c r="D103" s="234" t="s">
        <v>437</v>
      </c>
      <c r="E103" s="11" t="s">
        <v>1389</v>
      </c>
      <c r="F103"/>
      <c r="G103"/>
      <c r="H103"/>
      <c r="I103"/>
      <c r="J103"/>
      <c r="K103"/>
      <c r="L103"/>
      <c r="M103"/>
      <c r="N103"/>
      <c r="O103"/>
      <c r="P103"/>
      <c r="Q103"/>
      <c r="R103"/>
    </row>
    <row r="104" spans="1:18" s="11" customFormat="1" ht="12.9" customHeight="1">
      <c r="A104" s="46" t="s">
        <v>545</v>
      </c>
      <c r="B104" s="360">
        <v>7</v>
      </c>
      <c r="C104" s="20" t="s">
        <v>439</v>
      </c>
      <c r="D104" s="234" t="s">
        <v>437</v>
      </c>
      <c r="E104" s="11" t="s">
        <v>1386</v>
      </c>
      <c r="F104"/>
      <c r="G104"/>
      <c r="H104"/>
      <c r="I104"/>
      <c r="J104"/>
      <c r="K104"/>
      <c r="L104"/>
      <c r="M104"/>
      <c r="N104"/>
      <c r="O104"/>
      <c r="P104"/>
      <c r="Q104"/>
      <c r="R104"/>
    </row>
    <row r="105" spans="1:18" s="11" customFormat="1" ht="12.9" customHeight="1">
      <c r="A105" s="46" t="s">
        <v>544</v>
      </c>
      <c r="B105" s="361">
        <f>SUM(B103:B104)</f>
        <v>80.400000000000006</v>
      </c>
      <c r="C105" s="20" t="s">
        <v>439</v>
      </c>
      <c r="D105" s="74"/>
      <c r="F105"/>
      <c r="G105"/>
      <c r="H105"/>
      <c r="I105"/>
      <c r="J105"/>
      <c r="K105"/>
      <c r="L105"/>
      <c r="M105"/>
      <c r="N105"/>
      <c r="O105"/>
      <c r="P105"/>
      <c r="Q105"/>
      <c r="R105"/>
    </row>
    <row r="106" spans="1:18" s="11" customFormat="1" ht="12.9" customHeight="1">
      <c r="A106" s="46" t="s">
        <v>546</v>
      </c>
      <c r="B106" s="361">
        <f>(85.6*B79+167.4*B76+167.6*B80+126*B84+8.3*B87+280.8*B71+102.3*B94+0.7*B92)/1000</f>
        <v>66.669090999999995</v>
      </c>
      <c r="C106" s="20" t="s">
        <v>439</v>
      </c>
      <c r="D106" s="60"/>
      <c r="F106"/>
      <c r="G106"/>
      <c r="H106"/>
      <c r="I106"/>
      <c r="J106"/>
      <c r="K106"/>
      <c r="L106"/>
      <c r="M106"/>
      <c r="N106"/>
      <c r="O106"/>
      <c r="P106"/>
      <c r="Q106"/>
      <c r="R106"/>
    </row>
    <row r="107" spans="1:18" s="11" customFormat="1" ht="12.9" customHeight="1">
      <c r="A107" s="46" t="s">
        <v>1074</v>
      </c>
      <c r="B107" s="362">
        <v>4866692</v>
      </c>
      <c r="C107" s="186" t="s">
        <v>1075</v>
      </c>
      <c r="D107" s="234"/>
      <c r="E107"/>
      <c r="F107"/>
      <c r="G107"/>
      <c r="H107"/>
      <c r="I107"/>
      <c r="J107"/>
      <c r="K107"/>
      <c r="L107"/>
      <c r="M107"/>
      <c r="N107"/>
      <c r="O107"/>
      <c r="P107"/>
      <c r="Q107"/>
      <c r="R107"/>
    </row>
    <row r="108" spans="1:18" s="11" customFormat="1" ht="12.9" customHeight="1">
      <c r="A108" s="84" t="s">
        <v>540</v>
      </c>
      <c r="B108" s="64"/>
      <c r="C108" s="20"/>
      <c r="D108" s="74"/>
      <c r="F108"/>
      <c r="G108"/>
      <c r="H108"/>
      <c r="I108"/>
      <c r="J108"/>
      <c r="K108"/>
      <c r="L108"/>
      <c r="M108"/>
      <c r="N108"/>
      <c r="O108"/>
      <c r="P108"/>
      <c r="Q108"/>
      <c r="R108"/>
    </row>
    <row r="109" spans="1:18" s="11" customFormat="1" ht="12.9" customHeight="1">
      <c r="A109" s="46">
        <v>2020</v>
      </c>
      <c r="B109" s="64"/>
      <c r="C109" s="20"/>
      <c r="D109" s="74"/>
      <c r="F109"/>
      <c r="G109"/>
      <c r="H109"/>
      <c r="I109"/>
      <c r="J109"/>
      <c r="K109"/>
      <c r="L109"/>
      <c r="M109"/>
      <c r="N109"/>
      <c r="O109"/>
      <c r="P109"/>
      <c r="Q109"/>
      <c r="R109"/>
    </row>
    <row r="110" spans="1:18" s="11" customFormat="1" ht="12.9" customHeight="1">
      <c r="A110" s="71" t="s">
        <v>543</v>
      </c>
      <c r="B110" s="363">
        <v>0</v>
      </c>
      <c r="C110" s="20"/>
      <c r="D110" s="234" t="s">
        <v>547</v>
      </c>
      <c r="F110"/>
      <c r="G110"/>
      <c r="H110"/>
      <c r="I110"/>
      <c r="J110"/>
      <c r="K110"/>
      <c r="L110"/>
      <c r="M110"/>
      <c r="N110"/>
      <c r="O110"/>
      <c r="P110"/>
      <c r="Q110"/>
      <c r="R110"/>
    </row>
    <row r="111" spans="1:18" s="11" customFormat="1" ht="12.9" customHeight="1">
      <c r="A111" s="71" t="s">
        <v>541</v>
      </c>
      <c r="B111" s="361">
        <f>$B$103*(1-B110)</f>
        <v>73.400000000000006</v>
      </c>
      <c r="C111" s="20" t="s">
        <v>439</v>
      </c>
      <c r="D111" s="74"/>
      <c r="F111"/>
      <c r="G111"/>
      <c r="H111"/>
      <c r="I111"/>
      <c r="J111"/>
      <c r="K111"/>
      <c r="L111"/>
      <c r="M111"/>
      <c r="N111"/>
      <c r="O111"/>
      <c r="P111"/>
      <c r="Q111"/>
      <c r="R111"/>
    </row>
    <row r="112" spans="1:18" s="11" customFormat="1" ht="12.9" customHeight="1">
      <c r="A112" s="71" t="s">
        <v>542</v>
      </c>
      <c r="B112" s="361">
        <f>$B$105*(1-B110)</f>
        <v>80.400000000000006</v>
      </c>
      <c r="C112" s="20" t="s">
        <v>439</v>
      </c>
      <c r="D112" s="74"/>
      <c r="F112"/>
      <c r="G112"/>
      <c r="H112"/>
      <c r="I112"/>
      <c r="J112"/>
      <c r="K112"/>
      <c r="L112"/>
      <c r="M112"/>
      <c r="N112"/>
      <c r="O112"/>
      <c r="P112"/>
      <c r="Q112"/>
      <c r="R112"/>
    </row>
    <row r="113" spans="1:18" s="11" customFormat="1" ht="12.9" customHeight="1">
      <c r="A113" s="46">
        <v>2035</v>
      </c>
      <c r="B113" s="64"/>
      <c r="C113" s="20"/>
      <c r="D113" s="74"/>
      <c r="F113"/>
      <c r="G113"/>
      <c r="H113"/>
      <c r="I113"/>
      <c r="J113"/>
      <c r="K113"/>
      <c r="L113"/>
      <c r="M113"/>
      <c r="N113"/>
      <c r="O113"/>
      <c r="P113"/>
      <c r="Q113"/>
      <c r="R113"/>
    </row>
    <row r="114" spans="1:18" s="11" customFormat="1" ht="12.9" customHeight="1">
      <c r="A114" s="71" t="s">
        <v>543</v>
      </c>
      <c r="B114" s="363">
        <v>0.25</v>
      </c>
      <c r="C114" s="20"/>
      <c r="D114" s="234" t="s">
        <v>547</v>
      </c>
      <c r="F114"/>
      <c r="G114"/>
      <c r="H114"/>
      <c r="I114"/>
      <c r="J114"/>
      <c r="K114"/>
      <c r="L114"/>
      <c r="M114"/>
      <c r="N114"/>
      <c r="O114"/>
      <c r="P114"/>
      <c r="Q114"/>
      <c r="R114"/>
    </row>
    <row r="115" spans="1:18" s="11" customFormat="1" ht="12.9" customHeight="1">
      <c r="A115" s="71" t="s">
        <v>541</v>
      </c>
      <c r="B115" s="361">
        <f>$B$103*(1-B114)</f>
        <v>55.050000000000004</v>
      </c>
      <c r="C115" s="20" t="s">
        <v>439</v>
      </c>
      <c r="D115" s="74"/>
      <c r="F115"/>
      <c r="G115"/>
      <c r="H115"/>
      <c r="I115"/>
      <c r="J115"/>
      <c r="K115"/>
      <c r="L115"/>
      <c r="M115"/>
      <c r="N115"/>
      <c r="O115"/>
      <c r="P115"/>
      <c r="Q115"/>
      <c r="R115"/>
    </row>
    <row r="116" spans="1:18" s="11" customFormat="1" ht="12.9" customHeight="1">
      <c r="A116" s="71" t="s">
        <v>542</v>
      </c>
      <c r="B116" s="361">
        <f>$B$105*(1-B114)</f>
        <v>60.300000000000004</v>
      </c>
      <c r="C116" s="20" t="s">
        <v>439</v>
      </c>
      <c r="D116" s="74"/>
      <c r="F116"/>
      <c r="G116"/>
      <c r="H116"/>
      <c r="I116"/>
      <c r="J116"/>
      <c r="K116"/>
      <c r="L116"/>
      <c r="M116"/>
      <c r="N116"/>
      <c r="O116"/>
      <c r="P116"/>
      <c r="Q116"/>
      <c r="R116"/>
    </row>
    <row r="117" spans="1:18" s="11" customFormat="1" ht="12.9" customHeight="1">
      <c r="A117" s="46">
        <v>2050</v>
      </c>
      <c r="B117" s="64"/>
      <c r="C117" s="20"/>
      <c r="D117" s="74"/>
      <c r="F117"/>
      <c r="G117"/>
      <c r="H117"/>
      <c r="I117"/>
      <c r="J117"/>
      <c r="K117"/>
      <c r="L117"/>
      <c r="M117"/>
      <c r="N117"/>
      <c r="O117"/>
      <c r="P117"/>
      <c r="Q117"/>
      <c r="R117"/>
    </row>
    <row r="118" spans="1:18" s="11" customFormat="1" ht="12.9" customHeight="1">
      <c r="A118" s="71" t="s">
        <v>543</v>
      </c>
      <c r="B118" s="363">
        <v>0.5</v>
      </c>
      <c r="C118" s="20"/>
      <c r="D118" s="234" t="s">
        <v>547</v>
      </c>
      <c r="E118" s="11" t="s">
        <v>548</v>
      </c>
      <c r="F118"/>
      <c r="G118"/>
      <c r="H118"/>
      <c r="I118"/>
      <c r="J118"/>
      <c r="K118"/>
      <c r="L118"/>
      <c r="M118"/>
      <c r="N118"/>
      <c r="O118"/>
      <c r="P118"/>
      <c r="Q118"/>
      <c r="R118"/>
    </row>
    <row r="119" spans="1:18" s="11" customFormat="1" ht="12.9" customHeight="1">
      <c r="A119" s="71" t="s">
        <v>541</v>
      </c>
      <c r="B119" s="361">
        <f>$B$103*(1-B118)</f>
        <v>36.700000000000003</v>
      </c>
      <c r="C119" s="20" t="s">
        <v>439</v>
      </c>
      <c r="D119" s="74"/>
      <c r="F119"/>
      <c r="G119"/>
      <c r="H119"/>
      <c r="I119"/>
      <c r="J119"/>
      <c r="K119"/>
      <c r="L119"/>
      <c r="M119"/>
      <c r="N119"/>
      <c r="O119"/>
      <c r="P119"/>
      <c r="Q119"/>
      <c r="R119"/>
    </row>
    <row r="120" spans="1:18" s="11" customFormat="1" ht="12.9" customHeight="1">
      <c r="A120" s="71" t="s">
        <v>542</v>
      </c>
      <c r="B120" s="361">
        <f>$B$105*(1-B118)</f>
        <v>40.200000000000003</v>
      </c>
      <c r="C120" s="20" t="s">
        <v>439</v>
      </c>
      <c r="D120" s="74"/>
      <c r="F120"/>
      <c r="G120"/>
      <c r="H120"/>
      <c r="I120"/>
      <c r="J120"/>
      <c r="K120"/>
      <c r="L120"/>
      <c r="M120"/>
      <c r="N120"/>
      <c r="O120"/>
      <c r="P120"/>
      <c r="Q120"/>
      <c r="R120"/>
    </row>
    <row r="121" spans="1:18" s="11" customFormat="1" ht="12.9" customHeight="1">
      <c r="A121" s="40" t="s">
        <v>96</v>
      </c>
      <c r="B121" s="40"/>
      <c r="C121" s="40"/>
      <c r="D121" s="60"/>
      <c r="E121" s="40"/>
      <c r="F121"/>
      <c r="G121"/>
      <c r="H121"/>
      <c r="I121"/>
      <c r="J121"/>
      <c r="K121"/>
      <c r="L121"/>
      <c r="M121"/>
      <c r="N121"/>
      <c r="O121"/>
      <c r="P121"/>
      <c r="Q121"/>
      <c r="R121"/>
    </row>
    <row r="122" spans="1:18" s="11" customFormat="1" ht="12.9" customHeight="1">
      <c r="A122" s="57" t="s">
        <v>93</v>
      </c>
      <c r="B122" s="246">
        <v>49.4</v>
      </c>
      <c r="C122" s="40" t="s">
        <v>15</v>
      </c>
      <c r="D122" s="234" t="s">
        <v>98</v>
      </c>
      <c r="E122" s="40" t="s">
        <v>982</v>
      </c>
      <c r="F122"/>
      <c r="G122"/>
      <c r="H122"/>
      <c r="I122"/>
      <c r="J122"/>
      <c r="K122"/>
      <c r="L122"/>
      <c r="M122"/>
      <c r="N122"/>
      <c r="O122"/>
      <c r="P122"/>
      <c r="Q122"/>
      <c r="R122"/>
    </row>
    <row r="123" spans="1:18" s="11" customFormat="1" ht="12.9" customHeight="1">
      <c r="A123" s="57" t="s">
        <v>94</v>
      </c>
      <c r="B123" s="367">
        <v>1.2</v>
      </c>
      <c r="C123" s="40" t="s">
        <v>15</v>
      </c>
      <c r="D123" s="234" t="s">
        <v>98</v>
      </c>
      <c r="E123" s="40" t="s">
        <v>982</v>
      </c>
      <c r="F123"/>
      <c r="G123"/>
      <c r="H123"/>
      <c r="I123"/>
      <c r="J123"/>
      <c r="K123"/>
      <c r="L123"/>
      <c r="M123"/>
      <c r="N123"/>
      <c r="O123"/>
      <c r="P123"/>
      <c r="Q123"/>
      <c r="R123"/>
    </row>
    <row r="124" spans="1:18" s="11" customFormat="1" ht="12.9" customHeight="1">
      <c r="A124" s="57" t="s">
        <v>95</v>
      </c>
      <c r="B124" s="367">
        <v>11</v>
      </c>
      <c r="C124" s="40" t="s">
        <v>15</v>
      </c>
      <c r="D124" s="234" t="s">
        <v>98</v>
      </c>
      <c r="E124" s="40" t="s">
        <v>982</v>
      </c>
      <c r="F124"/>
      <c r="G124"/>
      <c r="H124"/>
      <c r="I124"/>
      <c r="J124"/>
      <c r="K124"/>
      <c r="L124"/>
      <c r="M124"/>
      <c r="N124"/>
      <c r="O124"/>
      <c r="P124"/>
      <c r="Q124"/>
      <c r="R124"/>
    </row>
    <row r="125" spans="1:18" s="11" customFormat="1" ht="12.9" customHeight="1">
      <c r="A125" s="40" t="s">
        <v>1284</v>
      </c>
      <c r="B125" s="40"/>
      <c r="C125" s="40"/>
      <c r="D125" s="60"/>
      <c r="E125" s="40"/>
      <c r="F125"/>
      <c r="G125"/>
      <c r="H125"/>
      <c r="I125"/>
      <c r="J125"/>
      <c r="K125"/>
      <c r="L125"/>
      <c r="M125"/>
      <c r="N125"/>
      <c r="O125"/>
      <c r="P125"/>
      <c r="Q125"/>
      <c r="R125"/>
    </row>
    <row r="126" spans="1:18" s="11" customFormat="1" ht="12.9" customHeight="1">
      <c r="A126" s="390" t="s">
        <v>1287</v>
      </c>
      <c r="B126" s="391">
        <v>2017</v>
      </c>
      <c r="C126" s="178" t="s">
        <v>1286</v>
      </c>
      <c r="D126" s="234" t="s">
        <v>99</v>
      </c>
      <c r="E126" s="178" t="s">
        <v>1285</v>
      </c>
      <c r="F126"/>
      <c r="G126"/>
      <c r="H126"/>
      <c r="I126"/>
      <c r="J126"/>
      <c r="K126"/>
      <c r="L126"/>
      <c r="M126"/>
      <c r="N126"/>
      <c r="O126"/>
      <c r="P126"/>
      <c r="Q126"/>
      <c r="R126"/>
    </row>
    <row r="127" spans="1:18" s="11" customFormat="1" ht="12.9" customHeight="1">
      <c r="A127" s="58" t="s">
        <v>124</v>
      </c>
      <c r="B127" s="366">
        <v>2099.1999999999998</v>
      </c>
      <c r="C127" s="40" t="s">
        <v>129</v>
      </c>
      <c r="D127" s="234" t="s">
        <v>99</v>
      </c>
      <c r="E127" s="40"/>
      <c r="F127"/>
      <c r="G127"/>
      <c r="H127"/>
      <c r="I127"/>
      <c r="J127"/>
      <c r="K127"/>
      <c r="L127"/>
      <c r="M127"/>
      <c r="N127"/>
      <c r="O127"/>
      <c r="P127"/>
      <c r="Q127"/>
      <c r="R127"/>
    </row>
    <row r="128" spans="1:18" s="11" customFormat="1" ht="12.9" customHeight="1">
      <c r="A128" s="58" t="s">
        <v>125</v>
      </c>
      <c r="B128" s="366">
        <v>9514.9699999999993</v>
      </c>
      <c r="C128" s="40" t="s">
        <v>129</v>
      </c>
      <c r="D128" s="234" t="s">
        <v>99</v>
      </c>
      <c r="E128" s="40"/>
      <c r="F128"/>
      <c r="G128"/>
      <c r="H128"/>
      <c r="I128"/>
      <c r="J128"/>
      <c r="K128"/>
      <c r="L128"/>
      <c r="M128"/>
      <c r="N128"/>
      <c r="O128"/>
      <c r="P128"/>
      <c r="Q128"/>
      <c r="R128"/>
    </row>
    <row r="129" spans="1:18" s="11" customFormat="1" ht="12.9" customHeight="1">
      <c r="A129" s="58" t="s">
        <v>12</v>
      </c>
      <c r="B129" s="366">
        <v>3826.27</v>
      </c>
      <c r="C129" s="40" t="s">
        <v>129</v>
      </c>
      <c r="D129" s="234" t="s">
        <v>99</v>
      </c>
      <c r="E129" s="40"/>
      <c r="F129"/>
      <c r="G129"/>
      <c r="H129"/>
      <c r="I129"/>
      <c r="J129"/>
      <c r="K129"/>
      <c r="L129"/>
      <c r="M129"/>
      <c r="N129"/>
      <c r="O129"/>
      <c r="P129"/>
      <c r="Q129"/>
      <c r="R129"/>
    </row>
    <row r="130" spans="1:18" s="11" customFormat="1" ht="12.9" customHeight="1">
      <c r="A130" s="58" t="s">
        <v>126</v>
      </c>
      <c r="B130" s="366">
        <v>1812.7</v>
      </c>
      <c r="C130" s="40" t="s">
        <v>129</v>
      </c>
      <c r="D130" s="234" t="s">
        <v>99</v>
      </c>
      <c r="E130" s="40"/>
      <c r="F130"/>
      <c r="G130"/>
      <c r="H130"/>
      <c r="I130"/>
      <c r="J130"/>
      <c r="K130"/>
      <c r="L130"/>
      <c r="M130"/>
      <c r="N130"/>
      <c r="O130"/>
      <c r="P130"/>
      <c r="Q130"/>
      <c r="R130"/>
    </row>
    <row r="131" spans="1:18" s="11" customFormat="1" ht="12.9" customHeight="1">
      <c r="A131" s="58" t="s">
        <v>9</v>
      </c>
      <c r="B131" s="366">
        <v>1895.8</v>
      </c>
      <c r="C131" s="40" t="s">
        <v>129</v>
      </c>
      <c r="D131" s="234" t="s">
        <v>99</v>
      </c>
      <c r="E131" s="40"/>
      <c r="F131"/>
      <c r="G131"/>
      <c r="H131"/>
      <c r="I131"/>
      <c r="J131"/>
      <c r="K131"/>
      <c r="L131"/>
      <c r="M131"/>
      <c r="N131"/>
      <c r="O131"/>
      <c r="P131"/>
      <c r="Q131"/>
      <c r="R131"/>
    </row>
    <row r="132" spans="1:18" s="11" customFormat="1" ht="12.9" customHeight="1">
      <c r="A132" s="58" t="s">
        <v>10</v>
      </c>
      <c r="B132" s="366">
        <v>509.8</v>
      </c>
      <c r="C132" s="40" t="s">
        <v>129</v>
      </c>
      <c r="D132" s="234" t="s">
        <v>99</v>
      </c>
      <c r="E132" s="40"/>
      <c r="F132"/>
      <c r="G132"/>
      <c r="H132"/>
      <c r="I132"/>
      <c r="J132"/>
      <c r="K132"/>
      <c r="L132"/>
      <c r="M132"/>
      <c r="N132"/>
      <c r="O132"/>
      <c r="P132"/>
      <c r="Q132"/>
      <c r="R132"/>
    </row>
    <row r="133" spans="1:18" s="377" customFormat="1" ht="12.9" customHeight="1">
      <c r="A133" s="332" t="s">
        <v>196</v>
      </c>
      <c r="B133" s="392"/>
      <c r="F133"/>
      <c r="G133"/>
      <c r="H133"/>
      <c r="I133"/>
      <c r="J133"/>
      <c r="K133"/>
      <c r="L133"/>
      <c r="M133"/>
      <c r="N133"/>
      <c r="O133"/>
      <c r="P133"/>
      <c r="Q133"/>
      <c r="R133"/>
    </row>
    <row r="134" spans="1:18" s="377" customFormat="1" ht="12.9" customHeight="1">
      <c r="A134" s="393" t="s">
        <v>1287</v>
      </c>
      <c r="B134" s="391">
        <v>2017</v>
      </c>
      <c r="C134" s="178" t="s">
        <v>1286</v>
      </c>
      <c r="D134" s="234" t="s">
        <v>100</v>
      </c>
      <c r="E134" s="178"/>
      <c r="F134"/>
      <c r="G134"/>
      <c r="H134"/>
      <c r="I134"/>
      <c r="J134"/>
      <c r="K134"/>
      <c r="L134"/>
      <c r="M134"/>
      <c r="N134"/>
      <c r="O134"/>
      <c r="P134"/>
      <c r="Q134"/>
      <c r="R134"/>
    </row>
    <row r="135" spans="1:18" s="11" customFormat="1" ht="12.9" customHeight="1">
      <c r="A135" s="393" t="s">
        <v>196</v>
      </c>
      <c r="B135" s="355">
        <v>2755697</v>
      </c>
      <c r="C135" s="40"/>
      <c r="D135" s="234" t="s">
        <v>100</v>
      </c>
      <c r="E135" s="38"/>
      <c r="F135"/>
      <c r="G135"/>
      <c r="H135"/>
      <c r="I135"/>
      <c r="J135"/>
      <c r="K135"/>
      <c r="L135"/>
      <c r="M135"/>
      <c r="N135"/>
      <c r="O135"/>
      <c r="P135"/>
      <c r="Q135"/>
      <c r="R135"/>
    </row>
    <row r="136" spans="1:18" s="11" customFormat="1" ht="12.9" customHeight="1">
      <c r="A136" s="40" t="s">
        <v>275</v>
      </c>
      <c r="B136" s="40"/>
      <c r="C136" s="40"/>
      <c r="D136" s="60"/>
      <c r="E136" s="40"/>
      <c r="F136"/>
      <c r="G136"/>
      <c r="H136"/>
      <c r="I136"/>
      <c r="J136"/>
      <c r="K136"/>
      <c r="L136"/>
      <c r="M136"/>
      <c r="N136"/>
      <c r="O136"/>
      <c r="P136"/>
      <c r="Q136"/>
      <c r="R136"/>
    </row>
    <row r="137" spans="1:18" s="11" customFormat="1" ht="12.9" customHeight="1">
      <c r="A137" s="393" t="s">
        <v>127</v>
      </c>
      <c r="B137" s="364">
        <v>2.7900000000000001E-2</v>
      </c>
      <c r="C137" s="40"/>
      <c r="D137" s="234" t="s">
        <v>101</v>
      </c>
      <c r="E137" s="40" t="s">
        <v>1288</v>
      </c>
      <c r="F137"/>
      <c r="G137"/>
      <c r="H137"/>
      <c r="I137"/>
      <c r="J137"/>
      <c r="K137"/>
      <c r="L137"/>
      <c r="M137"/>
      <c r="N137"/>
      <c r="O137"/>
      <c r="P137"/>
      <c r="Q137"/>
      <c r="R137"/>
    </row>
    <row r="138" spans="1:18" ht="12.9" customHeight="1">
      <c r="A138" s="385" t="s">
        <v>1277</v>
      </c>
      <c r="B138" s="365">
        <v>9.0830000000000008E-3</v>
      </c>
      <c r="C138" s="40"/>
      <c r="D138" s="234" t="s">
        <v>102</v>
      </c>
      <c r="E138" s="377" t="s">
        <v>1288</v>
      </c>
    </row>
    <row r="139" spans="1:18" s="11" customFormat="1" ht="12.9" customHeight="1">
      <c r="A139" s="5"/>
      <c r="B139" s="5"/>
      <c r="C139" s="5"/>
      <c r="D139" s="59"/>
      <c r="E139" s="5"/>
      <c r="F139"/>
      <c r="G139"/>
      <c r="H139"/>
      <c r="I139"/>
      <c r="J139"/>
      <c r="K139"/>
      <c r="L139"/>
      <c r="M139"/>
      <c r="N139"/>
      <c r="O139"/>
      <c r="P139"/>
      <c r="Q139"/>
      <c r="R139"/>
    </row>
    <row r="140" spans="1:18" s="291" customFormat="1" ht="12.9" customHeight="1">
      <c r="A140" s="250" t="s">
        <v>1159</v>
      </c>
      <c r="B140" s="240"/>
      <c r="C140" s="240"/>
      <c r="D140" s="240"/>
      <c r="E140" s="240"/>
      <c r="F140"/>
      <c r="G140"/>
      <c r="H140"/>
      <c r="I140"/>
      <c r="J140"/>
      <c r="K140"/>
      <c r="L140"/>
      <c r="M140"/>
      <c r="N140"/>
      <c r="O140"/>
      <c r="P140"/>
      <c r="Q140"/>
      <c r="R140"/>
    </row>
    <row r="141" spans="1:18" ht="12.9" customHeight="1">
      <c r="A141" s="294" t="s">
        <v>432</v>
      </c>
      <c r="B141" s="294" t="s">
        <v>428</v>
      </c>
      <c r="C141" s="294" t="s">
        <v>429</v>
      </c>
      <c r="D141" s="294" t="s">
        <v>430</v>
      </c>
      <c r="E141" s="294" t="s">
        <v>431</v>
      </c>
    </row>
    <row r="142" spans="1:18" s="11" customFormat="1" ht="12.9" customHeight="1">
      <c r="A142" s="40" t="s">
        <v>2</v>
      </c>
      <c r="B142" s="367">
        <v>98.9</v>
      </c>
      <c r="C142" s="40" t="s">
        <v>1049</v>
      </c>
      <c r="D142" s="234" t="s">
        <v>251</v>
      </c>
      <c r="E142" s="1" t="s">
        <v>1046</v>
      </c>
      <c r="F142"/>
      <c r="G142"/>
      <c r="H142"/>
      <c r="I142"/>
      <c r="J142"/>
      <c r="K142"/>
      <c r="L142"/>
      <c r="M142"/>
      <c r="N142"/>
      <c r="O142"/>
      <c r="P142"/>
      <c r="Q142"/>
      <c r="R142"/>
    </row>
    <row r="143" spans="1:18" s="11" customFormat="1" ht="12.9" customHeight="1">
      <c r="A143" s="40" t="s">
        <v>1</v>
      </c>
      <c r="B143" s="367">
        <v>50.1</v>
      </c>
      <c r="C143" s="40" t="s">
        <v>1161</v>
      </c>
      <c r="D143" s="234" t="s">
        <v>251</v>
      </c>
      <c r="E143" s="1" t="s">
        <v>1160</v>
      </c>
      <c r="F143"/>
      <c r="G143"/>
      <c r="H143"/>
      <c r="I143"/>
      <c r="J143"/>
      <c r="K143"/>
      <c r="L143"/>
      <c r="M143"/>
      <c r="N143"/>
      <c r="O143"/>
      <c r="P143"/>
      <c r="Q143"/>
      <c r="R143"/>
    </row>
    <row r="144" spans="1:18" s="11" customFormat="1" ht="12.9" customHeight="1">
      <c r="A144" s="40" t="s">
        <v>406</v>
      </c>
      <c r="B144" s="316">
        <f>B143</f>
        <v>50.1</v>
      </c>
      <c r="C144" s="40" t="s">
        <v>250</v>
      </c>
      <c r="D144" s="60"/>
      <c r="E144" s="40" t="s">
        <v>405</v>
      </c>
      <c r="F144"/>
      <c r="G144"/>
      <c r="H144"/>
      <c r="I144"/>
      <c r="J144"/>
      <c r="K144"/>
      <c r="L144"/>
      <c r="M144"/>
      <c r="N144"/>
      <c r="O144"/>
      <c r="P144"/>
      <c r="Q144"/>
      <c r="R144"/>
    </row>
    <row r="145" spans="1:18" ht="12.9" customHeight="1">
      <c r="A145" s="40" t="s">
        <v>247</v>
      </c>
      <c r="B145" s="316">
        <f>B142</f>
        <v>98.9</v>
      </c>
      <c r="C145" s="40" t="s">
        <v>250</v>
      </c>
      <c r="D145" s="60"/>
      <c r="E145" s="40" t="s">
        <v>252</v>
      </c>
    </row>
    <row r="146" spans="1:18" ht="12.9" customHeight="1">
      <c r="A146" s="40" t="s">
        <v>244</v>
      </c>
      <c r="B146" s="367">
        <v>90.1</v>
      </c>
      <c r="C146" s="40" t="s">
        <v>250</v>
      </c>
      <c r="D146" s="234" t="s">
        <v>251</v>
      </c>
      <c r="E146" s="1" t="s">
        <v>1160</v>
      </c>
    </row>
    <row r="147" spans="1:18" ht="12.9" customHeight="1">
      <c r="A147" s="40" t="s">
        <v>243</v>
      </c>
      <c r="B147" s="367">
        <v>73.900000000000006</v>
      </c>
      <c r="C147" s="40" t="s">
        <v>250</v>
      </c>
      <c r="D147" s="234" t="s">
        <v>251</v>
      </c>
      <c r="E147" s="1" t="str">
        <f>E146</f>
        <v>2018 EIA Levelized Cost of Generation Table 2 *</v>
      </c>
    </row>
    <row r="148" spans="1:18" ht="12.9" customHeight="1">
      <c r="A148" s="40" t="s">
        <v>246</v>
      </c>
      <c r="B148" s="367">
        <v>102.2</v>
      </c>
      <c r="C148" s="40" t="s">
        <v>250</v>
      </c>
      <c r="D148" s="234" t="s">
        <v>251</v>
      </c>
      <c r="E148" s="1" t="str">
        <f t="shared" ref="E148:E151" si="0">E147</f>
        <v>2018 EIA Levelized Cost of Generation Table 2 *</v>
      </c>
    </row>
    <row r="149" spans="1:18" ht="12.9" customHeight="1">
      <c r="A149" s="40" t="s">
        <v>248</v>
      </c>
      <c r="B149" s="367">
        <v>43.1</v>
      </c>
      <c r="C149" s="40" t="s">
        <v>250</v>
      </c>
      <c r="D149" s="234" t="s">
        <v>251</v>
      </c>
      <c r="E149" s="1" t="str">
        <f t="shared" si="0"/>
        <v>2018 EIA Levelized Cost of Generation Table 2 *</v>
      </c>
    </row>
    <row r="150" spans="1:18" ht="12.9" customHeight="1">
      <c r="A150" s="40" t="s">
        <v>245</v>
      </c>
      <c r="B150" s="367">
        <v>48</v>
      </c>
      <c r="C150" s="40" t="s">
        <v>250</v>
      </c>
      <c r="D150" s="234" t="s">
        <v>251</v>
      </c>
      <c r="E150" s="1" t="str">
        <f t="shared" si="0"/>
        <v>2018 EIA Levelized Cost of Generation Table 2 *</v>
      </c>
    </row>
    <row r="151" spans="1:18" ht="12.9" customHeight="1">
      <c r="A151" s="40" t="s">
        <v>249</v>
      </c>
      <c r="B151" s="367">
        <v>59.1</v>
      </c>
      <c r="C151" s="33" t="s">
        <v>250</v>
      </c>
      <c r="D151" s="234" t="s">
        <v>251</v>
      </c>
      <c r="E151" s="1" t="str">
        <f t="shared" si="0"/>
        <v>2018 EIA Levelized Cost of Generation Table 2 *</v>
      </c>
    </row>
    <row r="152" spans="1:18" ht="12.9" customHeight="1">
      <c r="A152" s="40" t="s">
        <v>404</v>
      </c>
      <c r="B152" s="316">
        <f>B143</f>
        <v>50.1</v>
      </c>
      <c r="C152" s="33" t="s">
        <v>250</v>
      </c>
      <c r="D152" s="60"/>
      <c r="E152" s="40" t="s">
        <v>405</v>
      </c>
    </row>
    <row r="153" spans="1:18" ht="12.9" customHeight="1">
      <c r="A153" s="40" t="s">
        <v>351</v>
      </c>
      <c r="B153" s="316">
        <f>B142</f>
        <v>98.9</v>
      </c>
      <c r="C153" s="33" t="s">
        <v>250</v>
      </c>
      <c r="D153" s="60"/>
      <c r="E153" s="40" t="s">
        <v>252</v>
      </c>
    </row>
    <row r="154" spans="1:18" ht="12.9" customHeight="1">
      <c r="A154" s="40" t="s">
        <v>355</v>
      </c>
      <c r="B154" s="316">
        <f>B142</f>
        <v>98.9</v>
      </c>
      <c r="C154" s="40" t="s">
        <v>250</v>
      </c>
      <c r="D154" s="60"/>
      <c r="E154" s="40" t="s">
        <v>252</v>
      </c>
    </row>
    <row r="155" spans="1:18" s="11" customFormat="1" ht="12.9" customHeight="1">
      <c r="A155" s="5"/>
      <c r="B155" s="5"/>
      <c r="C155" s="5"/>
      <c r="D155" s="59"/>
      <c r="E155" s="5"/>
      <c r="F155"/>
      <c r="G155"/>
      <c r="H155"/>
      <c r="I155"/>
      <c r="J155"/>
      <c r="K155"/>
      <c r="L155"/>
      <c r="M155"/>
      <c r="N155"/>
      <c r="O155"/>
      <c r="P155"/>
      <c r="Q155"/>
      <c r="R155"/>
    </row>
    <row r="156" spans="1:18" s="291" customFormat="1" ht="12.9" customHeight="1">
      <c r="A156" s="250" t="s">
        <v>424</v>
      </c>
      <c r="B156" s="240"/>
      <c r="C156" s="240"/>
      <c r="D156" s="240"/>
      <c r="E156" s="240"/>
      <c r="F156"/>
      <c r="G156"/>
      <c r="H156"/>
      <c r="I156"/>
      <c r="J156"/>
      <c r="K156"/>
      <c r="L156"/>
      <c r="M156"/>
      <c r="N156"/>
      <c r="O156"/>
      <c r="P156"/>
      <c r="Q156"/>
      <c r="R156"/>
    </row>
    <row r="157" spans="1:18" ht="12.9" customHeight="1">
      <c r="A157" s="294" t="s">
        <v>432</v>
      </c>
      <c r="B157" s="294" t="s">
        <v>428</v>
      </c>
      <c r="C157" s="294" t="s">
        <v>429</v>
      </c>
      <c r="D157" s="294" t="s">
        <v>430</v>
      </c>
      <c r="E157" s="294" t="s">
        <v>431</v>
      </c>
    </row>
    <row r="158" spans="1:18" ht="12.9" customHeight="1">
      <c r="A158" s="11" t="s">
        <v>470</v>
      </c>
      <c r="B158" s="368">
        <v>2020</v>
      </c>
      <c r="E158" s="11" t="s">
        <v>471</v>
      </c>
    </row>
    <row r="159" spans="1:18" ht="12.9" customHeight="1">
      <c r="A159" s="11" t="s">
        <v>473</v>
      </c>
      <c r="B159" s="368">
        <v>2050</v>
      </c>
      <c r="E159" s="11"/>
    </row>
    <row r="160" spans="1:18" ht="12.9" customHeight="1">
      <c r="A160" s="11" t="s">
        <v>556</v>
      </c>
      <c r="B160" s="368">
        <v>5.55</v>
      </c>
      <c r="C160" s="5" t="s">
        <v>1070</v>
      </c>
      <c r="E160" s="11" t="s">
        <v>859</v>
      </c>
    </row>
    <row r="161" spans="1:18" s="11" customFormat="1" ht="12.9" customHeight="1">
      <c r="A161" s="11" t="s">
        <v>1431</v>
      </c>
      <c r="B161" s="506">
        <v>12000</v>
      </c>
      <c r="C161" s="5" t="s">
        <v>1432</v>
      </c>
      <c r="D161" s="59"/>
      <c r="E161" s="11" t="s">
        <v>1439</v>
      </c>
      <c r="F161"/>
      <c r="G161"/>
      <c r="H161"/>
      <c r="I161"/>
      <c r="J161"/>
      <c r="K161"/>
      <c r="L161"/>
      <c r="M161"/>
      <c r="N161"/>
      <c r="O161"/>
      <c r="P161"/>
      <c r="Q161"/>
      <c r="R161"/>
    </row>
    <row r="162" spans="1:18" ht="12.9" customHeight="1">
      <c r="A162" s="11" t="s">
        <v>1440</v>
      </c>
      <c r="B162" s="501">
        <v>0.1</v>
      </c>
    </row>
  </sheetData>
  <phoneticPr fontId="7"/>
  <dataValidations count="1">
    <dataValidation type="list" allowBlank="1" showDropDown="1" showErrorMessage="1" errorTitle="electric methodology" error="Choose either &quot;A&quot; or &quot;B&quot; electric methodology. See footnote (a) for explanation." sqref="B33">
      <formula1>"A,B,C"</formula1>
    </dataValidation>
  </dataValidations>
  <pageMargins left="0.7" right="0.7" top="0.75" bottom="0.75" header="0.3" footer="0.3"/>
  <pageSetup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K33"/>
  <sheetViews>
    <sheetView zoomScale="110" zoomScaleNormal="110" workbookViewId="0">
      <selection activeCell="K17" sqref="K17"/>
    </sheetView>
  </sheetViews>
  <sheetFormatPr defaultRowHeight="12"/>
  <cols>
    <col min="1" max="1" width="34.33203125" customWidth="1"/>
    <col min="2" max="2" width="8.88671875" style="24" customWidth="1"/>
    <col min="3" max="3" width="8.33203125" style="24" customWidth="1"/>
    <col min="4" max="4" width="2.88671875" style="40" customWidth="1"/>
    <col min="5" max="6" width="8.88671875" style="24" customWidth="1"/>
    <col min="7" max="7" width="2.88671875" customWidth="1"/>
    <col min="8" max="9" width="8.88671875" customWidth="1"/>
    <col min="10" max="10" width="4.88671875" customWidth="1"/>
    <col min="11" max="11" width="14.33203125" customWidth="1"/>
    <col min="12" max="12" width="8.88671875" customWidth="1"/>
    <col min="13" max="16" width="10.109375" customWidth="1"/>
    <col min="17" max="17" width="5.44140625" customWidth="1"/>
    <col min="18" max="32" width="10.109375" customWidth="1"/>
    <col min="33" max="33" width="12" customWidth="1"/>
    <col min="34" max="37" width="10.109375" customWidth="1"/>
    <col min="38" max="38" width="14.33203125" customWidth="1"/>
    <col min="39" max="39" width="11.44140625" customWidth="1"/>
    <col min="40" max="40" width="10.6640625"/>
    <col min="41" max="41" width="15.44140625" customWidth="1"/>
    <col min="42" max="42" width="13" customWidth="1"/>
    <col min="43" max="43" width="14" customWidth="1"/>
  </cols>
  <sheetData>
    <row r="1" spans="1:11" ht="29">
      <c r="A1" s="293" t="s">
        <v>1226</v>
      </c>
      <c r="B1" s="18"/>
      <c r="D1" s="187"/>
      <c r="E1" s="27"/>
      <c r="F1" s="27"/>
    </row>
    <row r="2" spans="1:11">
      <c r="A2" s="40"/>
      <c r="B2" s="40"/>
      <c r="C2" s="40"/>
      <c r="E2" s="40"/>
      <c r="F2" s="40"/>
      <c r="G2" s="84"/>
      <c r="H2" s="40"/>
      <c r="I2" s="40"/>
    </row>
    <row r="3" spans="1:11" ht="12.5">
      <c r="B3" s="256" t="s">
        <v>123</v>
      </c>
      <c r="C3" s="256"/>
      <c r="D3" s="291"/>
      <c r="E3" s="256" t="s">
        <v>1228</v>
      </c>
      <c r="F3" s="256"/>
      <c r="G3" s="84"/>
      <c r="H3" s="256" t="s">
        <v>280</v>
      </c>
      <c r="I3" s="256"/>
    </row>
    <row r="4" spans="1:11">
      <c r="B4" s="294" t="s">
        <v>278</v>
      </c>
      <c r="C4" s="294" t="s">
        <v>279</v>
      </c>
      <c r="D4" s="291"/>
      <c r="E4" s="294" t="s">
        <v>278</v>
      </c>
      <c r="F4" s="294" t="s">
        <v>279</v>
      </c>
      <c r="G4" s="84"/>
      <c r="H4" s="294" t="s">
        <v>281</v>
      </c>
      <c r="I4" s="294" t="s">
        <v>282</v>
      </c>
    </row>
    <row r="5" spans="1:11" s="291" customFormat="1" ht="12.9" customHeight="1">
      <c r="A5" s="290" t="s">
        <v>1233</v>
      </c>
      <c r="G5" s="84"/>
    </row>
    <row r="6" spans="1:11">
      <c r="A6" s="40" t="s">
        <v>283</v>
      </c>
      <c r="B6" s="298">
        <v>-0.60499999999999998</v>
      </c>
      <c r="C6" s="267"/>
      <c r="D6" s="60"/>
      <c r="E6" s="342">
        <v>10</v>
      </c>
      <c r="F6" s="341"/>
      <c r="G6" s="60"/>
      <c r="H6" s="274">
        <f>IF(ISBLANK(C6),B6,C6)</f>
        <v>-0.60499999999999998</v>
      </c>
      <c r="I6" s="317">
        <f>IF(ISBLANK(F6),E6,F6)</f>
        <v>10</v>
      </c>
    </row>
    <row r="7" spans="1:11" ht="13">
      <c r="A7" s="40" t="s">
        <v>7</v>
      </c>
      <c r="B7" s="40"/>
      <c r="C7" s="162"/>
      <c r="D7" s="60"/>
      <c r="E7" s="56"/>
      <c r="F7" s="163"/>
      <c r="G7" s="60"/>
      <c r="H7" s="274"/>
      <c r="I7" s="317"/>
      <c r="K7" s="197"/>
    </row>
    <row r="8" spans="1:11">
      <c r="A8" s="57" t="s">
        <v>258</v>
      </c>
      <c r="B8" s="298">
        <v>-0.64</v>
      </c>
      <c r="C8" s="267"/>
      <c r="D8" s="60"/>
      <c r="E8" s="342">
        <v>20</v>
      </c>
      <c r="F8" s="341">
        <v>3</v>
      </c>
      <c r="G8" s="60"/>
      <c r="H8" s="274">
        <f t="shared" ref="H8:H20" si="0">IF(ISBLANK(C8),B8,C8)</f>
        <v>-0.64</v>
      </c>
      <c r="I8" s="317">
        <f>IF(ISBLANK(F8),E8,F8)</f>
        <v>3</v>
      </c>
    </row>
    <row r="9" spans="1:11">
      <c r="A9" s="57" t="s">
        <v>259</v>
      </c>
      <c r="B9" s="298">
        <v>-0.435</v>
      </c>
      <c r="C9" s="267"/>
      <c r="D9" s="60"/>
      <c r="E9" s="342">
        <v>10</v>
      </c>
      <c r="F9" s="341"/>
      <c r="G9" s="60"/>
      <c r="H9" s="274">
        <f t="shared" si="0"/>
        <v>-0.435</v>
      </c>
      <c r="I9" s="317">
        <f>IF(ISBLANK(F9),E9,F9)</f>
        <v>10</v>
      </c>
    </row>
    <row r="10" spans="1:11">
      <c r="A10" s="40" t="s">
        <v>254</v>
      </c>
      <c r="B10" s="298">
        <v>-0.36499999999999999</v>
      </c>
      <c r="C10" s="267"/>
      <c r="D10" s="60"/>
      <c r="E10" s="342">
        <v>10</v>
      </c>
      <c r="F10" s="341"/>
      <c r="G10" s="60"/>
      <c r="H10" s="274">
        <f t="shared" si="0"/>
        <v>-0.36499999999999999</v>
      </c>
      <c r="I10" s="317">
        <f>IF(ISBLANK(F10),E10,F10)</f>
        <v>10</v>
      </c>
    </row>
    <row r="11" spans="1:11">
      <c r="A11" s="40" t="s">
        <v>3</v>
      </c>
      <c r="B11" s="298">
        <v>-0.22499999999999998</v>
      </c>
      <c r="C11" s="267"/>
      <c r="D11" s="60"/>
      <c r="E11" s="342">
        <v>10</v>
      </c>
      <c r="F11" s="341"/>
      <c r="G11" s="60"/>
      <c r="H11" s="274">
        <f>IF(ISBLANK(C11),B11,C11)</f>
        <v>-0.22499999999999998</v>
      </c>
      <c r="I11" s="317">
        <f>IF(ISBLANK(F11),E11,F11)</f>
        <v>10</v>
      </c>
    </row>
    <row r="12" spans="1:11">
      <c r="A12" s="38" t="s">
        <v>1</v>
      </c>
      <c r="B12" s="40"/>
      <c r="C12" s="162"/>
      <c r="D12" s="60"/>
      <c r="E12" s="56"/>
      <c r="F12" s="163"/>
      <c r="G12" s="60"/>
      <c r="H12" s="274"/>
      <c r="I12" s="317"/>
    </row>
    <row r="13" spans="1:11" ht="13">
      <c r="A13" s="57" t="s">
        <v>255</v>
      </c>
      <c r="B13" s="298">
        <v>-0.4</v>
      </c>
      <c r="C13" s="267"/>
      <c r="D13" s="60"/>
      <c r="E13" s="342">
        <v>20</v>
      </c>
      <c r="F13" s="341"/>
      <c r="G13" s="60"/>
      <c r="H13" s="274">
        <f t="shared" si="0"/>
        <v>-0.4</v>
      </c>
      <c r="I13" s="317">
        <f t="shared" ref="I13:I20" si="1">IF(ISBLANK(F13),E13,F13)</f>
        <v>20</v>
      </c>
      <c r="K13" s="143"/>
    </row>
    <row r="14" spans="1:11" s="194" customFormat="1" ht="13">
      <c r="A14" s="57" t="s">
        <v>1090</v>
      </c>
      <c r="B14" s="298">
        <v>0.05</v>
      </c>
      <c r="C14" s="267"/>
      <c r="D14" s="195"/>
      <c r="E14" s="342">
        <v>10</v>
      </c>
      <c r="F14" s="341"/>
      <c r="G14" s="195"/>
      <c r="H14" s="274">
        <f t="shared" si="0"/>
        <v>0.05</v>
      </c>
      <c r="I14" s="317">
        <f t="shared" si="1"/>
        <v>10</v>
      </c>
      <c r="K14" s="496"/>
    </row>
    <row r="15" spans="1:11" ht="13">
      <c r="A15" s="57" t="s">
        <v>256</v>
      </c>
      <c r="B15" s="298">
        <v>-0.34666666666666668</v>
      </c>
      <c r="C15" s="267"/>
      <c r="D15" s="60"/>
      <c r="E15" s="342">
        <v>20</v>
      </c>
      <c r="F15" s="341"/>
      <c r="G15" s="60"/>
      <c r="H15" s="274">
        <f t="shared" si="0"/>
        <v>-0.34666666666666668</v>
      </c>
      <c r="I15" s="317">
        <f t="shared" si="1"/>
        <v>20</v>
      </c>
      <c r="K15" s="143"/>
    </row>
    <row r="16" spans="1:11" s="194" customFormat="1" ht="13">
      <c r="A16" s="57" t="s">
        <v>1089</v>
      </c>
      <c r="B16" s="298">
        <v>0.05</v>
      </c>
      <c r="C16" s="267"/>
      <c r="D16" s="195"/>
      <c r="E16" s="342">
        <v>10</v>
      </c>
      <c r="F16" s="341"/>
      <c r="G16" s="195"/>
      <c r="H16" s="274">
        <f>IF(ISBLANK(C16),B16,C16)</f>
        <v>0.05</v>
      </c>
      <c r="I16" s="317">
        <f>IF(ISBLANK(F16),E16,F16)</f>
        <v>10</v>
      </c>
      <c r="K16" s="143"/>
    </row>
    <row r="17" spans="1:11" ht="13">
      <c r="A17" s="57" t="s">
        <v>257</v>
      </c>
      <c r="B17" s="298">
        <v>-0.7</v>
      </c>
      <c r="C17" s="267"/>
      <c r="D17" s="60"/>
      <c r="E17" s="342">
        <v>10</v>
      </c>
      <c r="F17" s="341"/>
      <c r="G17" s="60"/>
      <c r="H17" s="274">
        <f t="shared" si="0"/>
        <v>-0.7</v>
      </c>
      <c r="I17" s="317">
        <f t="shared" si="1"/>
        <v>10</v>
      </c>
      <c r="K17" s="143"/>
    </row>
    <row r="18" spans="1:11" ht="13">
      <c r="A18" s="57" t="s">
        <v>258</v>
      </c>
      <c r="B18" s="298">
        <v>-0.28999999999999998</v>
      </c>
      <c r="C18" s="267"/>
      <c r="D18" s="60"/>
      <c r="E18" s="342">
        <v>20</v>
      </c>
      <c r="F18" s="341">
        <v>5</v>
      </c>
      <c r="G18" s="60"/>
      <c r="H18" s="274">
        <f t="shared" si="0"/>
        <v>-0.28999999999999998</v>
      </c>
      <c r="I18" s="317">
        <f t="shared" si="1"/>
        <v>5</v>
      </c>
      <c r="K18" s="143"/>
    </row>
    <row r="19" spans="1:11" s="179" customFormat="1" ht="13">
      <c r="A19" s="57" t="s">
        <v>1045</v>
      </c>
      <c r="B19" s="298">
        <v>0.14000000000000001</v>
      </c>
      <c r="C19" s="267"/>
      <c r="D19" s="180"/>
      <c r="E19" s="342">
        <v>3</v>
      </c>
      <c r="F19" s="341"/>
      <c r="G19" s="180"/>
      <c r="H19" s="274">
        <f t="shared" si="0"/>
        <v>0.14000000000000001</v>
      </c>
      <c r="I19" s="317">
        <f t="shared" si="1"/>
        <v>3</v>
      </c>
      <c r="K19" s="143"/>
    </row>
    <row r="20" spans="1:11" ht="13">
      <c r="A20" s="38" t="s">
        <v>261</v>
      </c>
      <c r="B20" s="298">
        <v>-0.14000000000000001</v>
      </c>
      <c r="C20" s="267">
        <v>-0.25</v>
      </c>
      <c r="D20" s="60"/>
      <c r="E20" s="342">
        <v>20</v>
      </c>
      <c r="F20" s="341">
        <v>3</v>
      </c>
      <c r="G20" s="60"/>
      <c r="H20" s="274">
        <f t="shared" si="0"/>
        <v>-0.25</v>
      </c>
      <c r="I20" s="317">
        <f t="shared" si="1"/>
        <v>3</v>
      </c>
      <c r="K20" s="143"/>
    </row>
    <row r="21" spans="1:11">
      <c r="A21" s="40" t="s">
        <v>8</v>
      </c>
      <c r="B21" s="40"/>
      <c r="C21" s="162"/>
      <c r="D21" s="60"/>
      <c r="E21" s="56"/>
      <c r="F21" s="163"/>
      <c r="G21" s="60"/>
      <c r="H21" s="274"/>
      <c r="I21" s="317"/>
    </row>
    <row r="22" spans="1:11">
      <c r="A22" s="57" t="s">
        <v>255</v>
      </c>
      <c r="B22" s="298">
        <v>-0.5</v>
      </c>
      <c r="C22" s="267"/>
      <c r="D22" s="60"/>
      <c r="E22" s="342">
        <v>15</v>
      </c>
      <c r="F22" s="341"/>
      <c r="G22" s="60"/>
      <c r="H22" s="274">
        <f>IF(ISBLANK(C22),B22,C22)</f>
        <v>-0.5</v>
      </c>
      <c r="I22" s="317">
        <f>IF(ISBLANK(F22),E22,F22)</f>
        <v>15</v>
      </c>
    </row>
    <row r="23" spans="1:11">
      <c r="A23" s="57" t="s">
        <v>256</v>
      </c>
      <c r="B23" s="298">
        <v>-0.48</v>
      </c>
      <c r="C23" s="267"/>
      <c r="D23" s="60"/>
      <c r="E23" s="342">
        <v>15</v>
      </c>
      <c r="F23" s="341"/>
      <c r="G23" s="60"/>
      <c r="H23" s="274">
        <f>IF(ISBLANK(C23),B23,C23)</f>
        <v>-0.48</v>
      </c>
      <c r="I23" s="317">
        <f>IF(ISBLANK(F23),E23,F23)</f>
        <v>15</v>
      </c>
    </row>
    <row r="24" spans="1:11">
      <c r="A24" s="57" t="s">
        <v>257</v>
      </c>
      <c r="B24" s="298">
        <v>-0.56999999999999995</v>
      </c>
      <c r="C24" s="267"/>
      <c r="D24" s="60"/>
      <c r="E24" s="342">
        <v>20</v>
      </c>
      <c r="F24" s="341"/>
      <c r="G24" s="60"/>
      <c r="H24" s="274">
        <f>IF(ISBLANK(C24),B24,C24)</f>
        <v>-0.56999999999999995</v>
      </c>
      <c r="I24" s="317">
        <f>IF(ISBLANK(F24),E24,F24)</f>
        <v>20</v>
      </c>
    </row>
    <row r="25" spans="1:11">
      <c r="B25"/>
      <c r="C25"/>
      <c r="D25"/>
      <c r="E25"/>
      <c r="F25"/>
    </row>
    <row r="26" spans="1:11" s="291" customFormat="1" ht="12.9" customHeight="1">
      <c r="A26" s="290" t="s">
        <v>1234</v>
      </c>
      <c r="G26" s="84"/>
    </row>
    <row r="27" spans="1:11" s="291" customFormat="1">
      <c r="A27" s="291" t="s">
        <v>1235</v>
      </c>
      <c r="B27" s="298">
        <v>3.9</v>
      </c>
      <c r="C27" s="267"/>
      <c r="D27" s="292"/>
      <c r="E27" s="342">
        <v>1</v>
      </c>
      <c r="F27" s="341"/>
      <c r="G27" s="292"/>
      <c r="H27" s="274">
        <f>IF(ISBLANK(C27),B27,C27)</f>
        <v>3.9</v>
      </c>
      <c r="I27" s="317">
        <f>IF(ISBLANK(F27),E27,F27)</f>
        <v>1</v>
      </c>
    </row>
    <row r="28" spans="1:11">
      <c r="B28"/>
      <c r="C28"/>
      <c r="D28"/>
      <c r="E28"/>
      <c r="F28"/>
    </row>
    <row r="29" spans="1:11">
      <c r="B29"/>
      <c r="C29"/>
      <c r="D29"/>
      <c r="E29"/>
      <c r="F29"/>
    </row>
    <row r="30" spans="1:11">
      <c r="A30" s="343" t="s">
        <v>272</v>
      </c>
      <c r="B30" s="344"/>
      <c r="C30" s="344"/>
      <c r="D30" s="344"/>
      <c r="E30" s="344"/>
      <c r="F30" s="344"/>
      <c r="G30" s="344"/>
      <c r="H30" s="344"/>
      <c r="I30" s="345"/>
    </row>
    <row r="31" spans="1:11" ht="13">
      <c r="A31" s="291" t="s">
        <v>1227</v>
      </c>
      <c r="B31" s="40"/>
      <c r="C31" s="40"/>
      <c r="E31" s="40"/>
      <c r="F31" s="40"/>
      <c r="G31" s="40"/>
      <c r="H31" s="40"/>
      <c r="I31" s="40"/>
    </row>
    <row r="32" spans="1:11" s="40" customFormat="1">
      <c r="A32" s="38" t="s">
        <v>483</v>
      </c>
    </row>
    <row r="33" spans="1:9">
      <c r="A33" s="38" t="s">
        <v>484</v>
      </c>
      <c r="B33" s="40"/>
      <c r="C33" s="40"/>
      <c r="E33" s="40"/>
      <c r="F33" s="40"/>
      <c r="G33" s="40"/>
      <c r="H33" s="40"/>
      <c r="I33" s="40"/>
    </row>
  </sheetData>
  <phoneticPr fontId="7"/>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M124"/>
  <sheetViews>
    <sheetView zoomScaleNormal="100" workbookViewId="0">
      <selection activeCell="F9" sqref="F9:AG9"/>
    </sheetView>
  </sheetViews>
  <sheetFormatPr defaultColWidth="9.33203125" defaultRowHeight="12.9" customHeight="1"/>
  <cols>
    <col min="1" max="1" width="38.33203125" style="40" customWidth="1"/>
    <col min="2" max="2" width="10.88671875" style="40" customWidth="1"/>
    <col min="3" max="23" width="9.88671875" style="40" customWidth="1"/>
    <col min="24" max="24" width="10" style="40" customWidth="1"/>
    <col min="25" max="25" width="10.6640625" style="40" customWidth="1"/>
    <col min="26" max="33" width="9.6640625" style="40" bestFit="1" customWidth="1"/>
    <col min="34" max="34" width="12.44140625" style="40" customWidth="1"/>
    <col min="35" max="16384" width="9.33203125" style="40"/>
  </cols>
  <sheetData>
    <row r="1" spans="1:33" s="291" customFormat="1" ht="26.15" customHeight="1">
      <c r="A1" s="293" t="s">
        <v>435</v>
      </c>
      <c r="B1" s="295"/>
    </row>
    <row r="2" spans="1:33" s="291" customFormat="1" ht="12.9" customHeight="1">
      <c r="A2" s="53" t="s">
        <v>359</v>
      </c>
      <c r="B2" s="41"/>
      <c r="C2" s="291" t="s">
        <v>474</v>
      </c>
    </row>
    <row r="3" spans="1:33" s="291" customFormat="1" ht="12.9" customHeight="1">
      <c r="A3" s="53" t="s">
        <v>357</v>
      </c>
      <c r="B3" s="41"/>
      <c r="C3" s="291" t="s">
        <v>253</v>
      </c>
      <c r="H3" s="178"/>
      <c r="K3" s="178"/>
      <c r="P3" s="291" t="s">
        <v>1023</v>
      </c>
    </row>
    <row r="4" spans="1:33" ht="12.9" customHeight="1">
      <c r="A4" s="38"/>
      <c r="B4" s="38"/>
      <c r="C4" s="70"/>
      <c r="D4" s="70"/>
      <c r="E4" s="70"/>
      <c r="F4" s="70"/>
      <c r="G4" s="70"/>
      <c r="H4" s="70"/>
      <c r="I4" s="70"/>
      <c r="J4" s="70"/>
      <c r="K4" s="70"/>
      <c r="L4" s="70"/>
      <c r="M4" s="70"/>
      <c r="N4" s="70"/>
      <c r="O4" s="70"/>
      <c r="P4" s="70"/>
      <c r="Q4" s="70"/>
      <c r="R4" s="70"/>
      <c r="S4" s="70"/>
      <c r="T4" s="70"/>
      <c r="U4" s="70"/>
      <c r="V4" s="70"/>
      <c r="W4" s="70"/>
    </row>
    <row r="5" spans="1:33" ht="12.9" customHeight="1">
      <c r="A5" s="347" t="s">
        <v>458</v>
      </c>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9"/>
    </row>
    <row r="6" spans="1:33" s="291" customFormat="1" ht="12.9" customHeight="1">
      <c r="A6" s="294" t="s">
        <v>432</v>
      </c>
      <c r="B6" s="294" t="s">
        <v>429</v>
      </c>
      <c r="C6" s="294">
        <v>2020</v>
      </c>
      <c r="D6" s="294">
        <v>2021</v>
      </c>
      <c r="E6" s="294">
        <v>2022</v>
      </c>
      <c r="F6" s="294">
        <v>2023</v>
      </c>
      <c r="G6" s="294">
        <v>2024</v>
      </c>
      <c r="H6" s="294">
        <v>2025</v>
      </c>
      <c r="I6" s="294">
        <v>2026</v>
      </c>
      <c r="J6" s="294">
        <v>2027</v>
      </c>
      <c r="K6" s="294">
        <v>2028</v>
      </c>
      <c r="L6" s="294">
        <v>2029</v>
      </c>
      <c r="M6" s="294">
        <v>2030</v>
      </c>
      <c r="N6" s="294">
        <v>2031</v>
      </c>
      <c r="O6" s="294">
        <v>2032</v>
      </c>
      <c r="P6" s="294">
        <v>2033</v>
      </c>
      <c r="Q6" s="294">
        <v>2034</v>
      </c>
      <c r="R6" s="294">
        <v>2035</v>
      </c>
      <c r="S6" s="294">
        <v>2036</v>
      </c>
      <c r="T6" s="294">
        <v>2037</v>
      </c>
      <c r="U6" s="294">
        <v>2038</v>
      </c>
      <c r="V6" s="294">
        <v>2039</v>
      </c>
      <c r="W6" s="294">
        <v>2040</v>
      </c>
      <c r="X6" s="294">
        <v>2041</v>
      </c>
      <c r="Y6" s="294">
        <v>2042</v>
      </c>
      <c r="Z6" s="294">
        <v>2043</v>
      </c>
      <c r="AA6" s="294">
        <v>2044</v>
      </c>
      <c r="AB6" s="294">
        <v>2045</v>
      </c>
      <c r="AC6" s="294">
        <v>2046</v>
      </c>
      <c r="AD6" s="294">
        <v>2047</v>
      </c>
      <c r="AE6" s="294">
        <v>2048</v>
      </c>
      <c r="AF6" s="294">
        <v>2049</v>
      </c>
      <c r="AG6" s="294">
        <v>2050</v>
      </c>
    </row>
    <row r="7" spans="1:33" ht="12.9" customHeight="1">
      <c r="A7" s="38" t="s">
        <v>912</v>
      </c>
      <c r="B7" s="38" t="s">
        <v>465</v>
      </c>
      <c r="C7" s="350">
        <f>MAX(0,C6+1-parameters!$B$9)</f>
        <v>1</v>
      </c>
      <c r="D7" s="350">
        <f>MAX(0,D6+1-parameters!$B$9)</f>
        <v>2</v>
      </c>
      <c r="E7" s="350">
        <f>MAX(0,E6+1-parameters!$B$9)</f>
        <v>3</v>
      </c>
      <c r="F7" s="350">
        <f>MAX(0,F6+1-parameters!$B$9)</f>
        <v>4</v>
      </c>
      <c r="G7" s="350">
        <f>MAX(0,G6+1-parameters!$B$9)</f>
        <v>5</v>
      </c>
      <c r="H7" s="350">
        <f>MAX(0,H6+1-parameters!$B$9)</f>
        <v>6</v>
      </c>
      <c r="I7" s="350">
        <f>MAX(0,I6+1-parameters!$B$9)</f>
        <v>7</v>
      </c>
      <c r="J7" s="350">
        <f>MAX(0,J6+1-parameters!$B$9)</f>
        <v>8</v>
      </c>
      <c r="K7" s="350">
        <f>MAX(0,K6+1-parameters!$B$9)</f>
        <v>9</v>
      </c>
      <c r="L7" s="350">
        <f>MAX(0,L6+1-parameters!$B$9)</f>
        <v>10</v>
      </c>
      <c r="M7" s="350">
        <f>MAX(0,M6+1-parameters!$B$9)</f>
        <v>11</v>
      </c>
      <c r="N7" s="350">
        <f>MAX(0,N6+1-parameters!$B$9)</f>
        <v>12</v>
      </c>
      <c r="O7" s="350">
        <f>MAX(0,O6+1-parameters!$B$9)</f>
        <v>13</v>
      </c>
      <c r="P7" s="350">
        <f>MAX(0,P6+1-parameters!$B$9)</f>
        <v>14</v>
      </c>
      <c r="Q7" s="350">
        <f>MAX(0,Q6+1-parameters!$B$9)</f>
        <v>15</v>
      </c>
      <c r="R7" s="350">
        <f>MAX(0,R6+1-parameters!$B$9)</f>
        <v>16</v>
      </c>
      <c r="S7" s="350">
        <f>MAX(0,S6+1-parameters!$B$9)</f>
        <v>17</v>
      </c>
      <c r="T7" s="350">
        <f>MAX(0,T6+1-parameters!$B$9)</f>
        <v>18</v>
      </c>
      <c r="U7" s="350">
        <f>MAX(0,U6+1-parameters!$B$9)</f>
        <v>19</v>
      </c>
      <c r="V7" s="350">
        <f>MAX(0,V6+1-parameters!$B$9)</f>
        <v>20</v>
      </c>
      <c r="W7" s="350">
        <f>MAX(0,W6+1-parameters!$B$9)</f>
        <v>21</v>
      </c>
      <c r="X7" s="350">
        <f>MAX(0,X6+1-parameters!$B$9)</f>
        <v>22</v>
      </c>
      <c r="Y7" s="350">
        <f>MAX(0,Y6+1-parameters!$B$9)</f>
        <v>23</v>
      </c>
      <c r="Z7" s="350">
        <f>MAX(0,Z6+1-parameters!$B$9)</f>
        <v>24</v>
      </c>
      <c r="AA7" s="350">
        <f>MAX(0,AA6+1-parameters!$B$9)</f>
        <v>25</v>
      </c>
      <c r="AB7" s="350">
        <f>MAX(0,AB6+1-parameters!$B$9)</f>
        <v>26</v>
      </c>
      <c r="AC7" s="350">
        <f>MAX(0,AC6+1-parameters!$B$9)</f>
        <v>27</v>
      </c>
      <c r="AD7" s="350">
        <f>MAX(0,AD6+1-parameters!$B$9)</f>
        <v>28</v>
      </c>
      <c r="AE7" s="350">
        <f>MAX(0,AE6+1-parameters!$B$9)</f>
        <v>29</v>
      </c>
      <c r="AF7" s="350">
        <f>MAX(0,AF6+1-parameters!$B$9)</f>
        <v>30</v>
      </c>
      <c r="AG7" s="350">
        <f>MAX(0,AG6+1-parameters!$B$9)</f>
        <v>31</v>
      </c>
    </row>
    <row r="8" spans="1:33" ht="12.9" customHeight="1">
      <c r="A8" s="38" t="s">
        <v>1011</v>
      </c>
      <c r="B8" s="38" t="s">
        <v>459</v>
      </c>
      <c r="C8" s="351">
        <f>IF(C7&gt;0,MIN(parameters!$B$10+(C7-1)*parameters!$B$11,parameters!$B$12),0)</f>
        <v>10</v>
      </c>
      <c r="D8" s="351">
        <f>IF(D7&gt;0,MIN(parameters!$B$10+(D7-1)*parameters!$B$11,parameters!$B$12),0)</f>
        <v>13</v>
      </c>
      <c r="E8" s="351">
        <f>IF(E7&gt;0,MIN(parameters!$B$10+(E7-1)*parameters!$B$11,parameters!$B$12),0)</f>
        <v>16</v>
      </c>
      <c r="F8" s="351">
        <f>IF(F7&gt;0,MIN(parameters!$B$10+(F7-1)*parameters!$B$11,parameters!$B$12),0)</f>
        <v>19</v>
      </c>
      <c r="G8" s="351">
        <f>IF(G7&gt;0,MIN(parameters!$B$10+(G7-1)*parameters!$B$11,parameters!$B$12),0)</f>
        <v>22</v>
      </c>
      <c r="H8" s="351">
        <f>IF(H7&gt;0,MIN(parameters!$B$10+(H7-1)*parameters!$B$11,parameters!$B$12),0)</f>
        <v>25</v>
      </c>
      <c r="I8" s="351">
        <f>IF(I7&gt;0,MIN(parameters!$B$10+(I7-1)*parameters!$B$11,parameters!$B$12),0)</f>
        <v>28</v>
      </c>
      <c r="J8" s="351">
        <f>IF(J7&gt;0,MIN(parameters!$B$10+(J7-1)*parameters!$B$11,parameters!$B$12),0)</f>
        <v>31</v>
      </c>
      <c r="K8" s="351">
        <f>IF(K7&gt;0,MIN(parameters!$B$10+(K7-1)*parameters!$B$11,parameters!$B$12),0)</f>
        <v>34</v>
      </c>
      <c r="L8" s="351">
        <f>IF(L7&gt;0,MIN(parameters!$B$10+(L7-1)*parameters!$B$11,parameters!$B$12),0)</f>
        <v>37</v>
      </c>
      <c r="M8" s="351">
        <f>IF(M7&gt;0,MIN(parameters!$B$10+(M7-1)*parameters!$B$11,parameters!$B$12),0)</f>
        <v>40</v>
      </c>
      <c r="N8" s="351">
        <f>IF(N7&gt;0,MIN(parameters!$B$10+(N7-1)*parameters!$B$11,parameters!$B$12),0)</f>
        <v>43</v>
      </c>
      <c r="O8" s="351">
        <f>IF(O7&gt;0,MIN(parameters!$B$10+(O7-1)*parameters!$B$11,parameters!$B$12),0)</f>
        <v>46</v>
      </c>
      <c r="P8" s="351">
        <f>IF(P7&gt;0,MIN(parameters!$B$10+(P7-1)*parameters!$B$11,parameters!$B$12),0)</f>
        <v>49</v>
      </c>
      <c r="Q8" s="351">
        <f>IF(Q7&gt;0,MIN(parameters!$B$10+(Q7-1)*parameters!$B$11,parameters!$B$12),0)</f>
        <v>50</v>
      </c>
      <c r="R8" s="351">
        <f>IF(R7&gt;0,MIN(parameters!$B$10+(R7-1)*parameters!$B$11,parameters!$B$12),0)</f>
        <v>50</v>
      </c>
      <c r="S8" s="351">
        <f>IF(S7&gt;0,MIN(parameters!$B$10+(S7-1)*parameters!$B$11,parameters!$B$12),0)</f>
        <v>50</v>
      </c>
      <c r="T8" s="351">
        <f>IF(T7&gt;0,MIN(parameters!$B$10+(T7-1)*parameters!$B$11,parameters!$B$12),0)</f>
        <v>50</v>
      </c>
      <c r="U8" s="351">
        <f>IF(U7&gt;0,MIN(parameters!$B$10+(U7-1)*parameters!$B$11,parameters!$B$12),0)</f>
        <v>50</v>
      </c>
      <c r="V8" s="351">
        <f>IF(V7&gt;0,MIN(parameters!$B$10+(V7-1)*parameters!$B$11,parameters!$B$12),0)</f>
        <v>50</v>
      </c>
      <c r="W8" s="351">
        <f>IF(W7&gt;0,MIN(parameters!$B$10+(W7-1)*parameters!$B$11,parameters!$B$12),0)</f>
        <v>50</v>
      </c>
      <c r="X8" s="351">
        <f>IF(X7&gt;0,MIN(parameters!$B$10+(X7-1)*parameters!$B$11,parameters!$B$12),0)</f>
        <v>50</v>
      </c>
      <c r="Y8" s="351">
        <f>IF(Y7&gt;0,MIN(parameters!$B$10+(Y7-1)*parameters!$B$11,parameters!$B$12),0)</f>
        <v>50</v>
      </c>
      <c r="Z8" s="351">
        <f>IF(Z7&gt;0,MIN(parameters!$B$10+(Z7-1)*parameters!$B$11,parameters!$B$12),0)</f>
        <v>50</v>
      </c>
      <c r="AA8" s="351">
        <f>IF(AA7&gt;0,MIN(parameters!$B$10+(AA7-1)*parameters!$B$11,parameters!$B$12),0)</f>
        <v>50</v>
      </c>
      <c r="AB8" s="351">
        <f>IF(AB7&gt;0,MIN(parameters!$B$10+(AB7-1)*parameters!$B$11,parameters!$B$12),0)</f>
        <v>50</v>
      </c>
      <c r="AC8" s="351">
        <f>IF(AC7&gt;0,MIN(parameters!$B$10+(AC7-1)*parameters!$B$11,parameters!$B$12),0)</f>
        <v>50</v>
      </c>
      <c r="AD8" s="351">
        <f>IF(AD7&gt;0,MIN(parameters!$B$10+(AD7-1)*parameters!$B$11,parameters!$B$12),0)</f>
        <v>50</v>
      </c>
      <c r="AE8" s="351">
        <f>IF(AE7&gt;0,MIN(parameters!$B$10+(AE7-1)*parameters!$B$11,parameters!$B$12),0)</f>
        <v>50</v>
      </c>
      <c r="AF8" s="351">
        <f>IF(AF7&gt;0,MIN(parameters!$B$10+(AF7-1)*parameters!$B$11,parameters!$B$12),0)</f>
        <v>50</v>
      </c>
      <c r="AG8" s="351">
        <f>IF(AG7&gt;0,MIN(parameters!$B$10+(AG7-1)*parameters!$B$11,parameters!$B$12),0)</f>
        <v>50</v>
      </c>
    </row>
    <row r="9" spans="1:33" s="150" customFormat="1" ht="12.9" customHeight="1">
      <c r="A9" s="452" t="s">
        <v>1012</v>
      </c>
      <c r="B9" s="38" t="s">
        <v>459</v>
      </c>
      <c r="C9" s="351">
        <f>IF(parameters!$B13&gt;0,IF(C7&gt;0,MIN(parameters!$B$10*(1+parameters!$B$13)^(C7-1),parameters!$B$12),0),0)</f>
        <v>0</v>
      </c>
      <c r="D9" s="351">
        <f>IF(parameters!$B13&gt;0,IF(D7&gt;0,MIN(parameters!$B$10*(1+parameters!$B$13)^(D7-1),parameters!$B$12),0),0)</f>
        <v>0</v>
      </c>
      <c r="E9" s="351">
        <f>IF(parameters!$B13&gt;0,IF(E7&gt;0,MIN(parameters!$B$10*(1+parameters!$B$13)^(E7-1),parameters!$B$12),0),0)</f>
        <v>0</v>
      </c>
      <c r="F9" s="351">
        <f>IF(parameters!$B13&gt;0,IF(F7&gt;0,MIN(parameters!$B$10*(1+parameters!$B$13)^(F7-1),parameters!$B$12),0),0)</f>
        <v>0</v>
      </c>
      <c r="G9" s="351">
        <f>IF(parameters!$B13&gt;0,IF(G7&gt;0,MIN(parameters!$B$10*(1+parameters!$B$13)^(G7-1),parameters!$B$12),0),0)</f>
        <v>0</v>
      </c>
      <c r="H9" s="351">
        <f>IF(parameters!$B13&gt;0,IF(H7&gt;0,MIN(parameters!$B$10*(1+parameters!$B$13)^(H7-1),parameters!$B$12),0),0)</f>
        <v>0</v>
      </c>
      <c r="I9" s="351">
        <f>IF(parameters!$B13&gt;0,IF(I7&gt;0,MIN(parameters!$B$10*(1+parameters!$B$13)^(I7-1),parameters!$B$12),0),0)</f>
        <v>0</v>
      </c>
      <c r="J9" s="351">
        <f>IF(parameters!$B13&gt;0,IF(J7&gt;0,MIN(parameters!$B$10*(1+parameters!$B$13)^(J7-1),parameters!$B$12),0),0)</f>
        <v>0</v>
      </c>
      <c r="K9" s="351">
        <f>IF(parameters!$B13&gt;0,IF(K7&gt;0,MIN(parameters!$B$10*(1+parameters!$B$13)^(K7-1),parameters!$B$12),0),0)</f>
        <v>0</v>
      </c>
      <c r="L9" s="351">
        <f>IF(parameters!$B13&gt;0,IF(L7&gt;0,MIN(parameters!$B$10*(1+parameters!$B$13)^(L7-1),parameters!$B$12),0),0)</f>
        <v>0</v>
      </c>
      <c r="M9" s="351">
        <f>IF(parameters!$B13&gt;0,IF(M7&gt;0,MIN(parameters!$B$10*(1+parameters!$B$13)^(M7-1),parameters!$B$12),0),0)</f>
        <v>0</v>
      </c>
      <c r="N9" s="351">
        <f>IF(parameters!$B13&gt;0,IF(N7&gt;0,MIN(parameters!$B$10*(1+parameters!$B$13)^(N7-1),parameters!$B$12),0),0)</f>
        <v>0</v>
      </c>
      <c r="O9" s="351">
        <f>IF(parameters!$B13&gt;0,IF(O7&gt;0,MIN(parameters!$B$10*(1+parameters!$B$13)^(O7-1),parameters!$B$12),0),0)</f>
        <v>0</v>
      </c>
      <c r="P9" s="351">
        <f>IF(parameters!$B13&gt;0,IF(P7&gt;0,MIN(parameters!$B$10*(1+parameters!$B$13)^(P7-1),parameters!$B$12),0),0)</f>
        <v>0</v>
      </c>
      <c r="Q9" s="351">
        <f>IF(parameters!$B13&gt;0,IF(Q7&gt;0,MIN(parameters!$B$10*(1+parameters!$B$13)^(Q7-1),parameters!$B$12),0),0)</f>
        <v>0</v>
      </c>
      <c r="R9" s="351">
        <f>IF(parameters!$B13&gt;0,IF(R7&gt;0,MIN(parameters!$B$10*(1+parameters!$B$13)^(R7-1),parameters!$B$12),0),0)</f>
        <v>0</v>
      </c>
      <c r="S9" s="351">
        <f>IF(parameters!$B13&gt;0,IF(S7&gt;0,MIN(parameters!$B$10*(1+parameters!$B$13)^(S7-1),parameters!$B$12),0),0)</f>
        <v>0</v>
      </c>
      <c r="T9" s="351">
        <f>IF(parameters!$B13&gt;0,IF(T7&gt;0,MIN(parameters!$B$10*(1+parameters!$B$13)^(T7-1),parameters!$B$12),0),0)</f>
        <v>0</v>
      </c>
      <c r="U9" s="351">
        <f>IF(parameters!$B13&gt;0,IF(U7&gt;0,MIN(parameters!$B$10*(1+parameters!$B$13)^(U7-1),parameters!$B$12),0),0)</f>
        <v>0</v>
      </c>
      <c r="V9" s="351">
        <f>IF(parameters!$B13&gt;0,IF(V7&gt;0,MIN(parameters!$B$10*(1+parameters!$B$13)^(V7-1),parameters!$B$12),0),0)</f>
        <v>0</v>
      </c>
      <c r="W9" s="351">
        <f>IF(parameters!$B13&gt;0,IF(W7&gt;0,MIN(parameters!$B$10*(1+parameters!$B$13)^(W7-1),parameters!$B$12),0),0)</f>
        <v>0</v>
      </c>
      <c r="X9" s="351">
        <f>IF(parameters!$B13&gt;0,IF(X7&gt;0,MIN(parameters!$B$10*(1+parameters!$B$13)^(X7-1),parameters!$B$12),0),0)</f>
        <v>0</v>
      </c>
      <c r="Y9" s="351">
        <f>IF(parameters!$B13&gt;0,IF(Y7&gt;0,MIN(parameters!$B$10*(1+parameters!$B$13)^(Y7-1),parameters!$B$12),0),0)</f>
        <v>0</v>
      </c>
      <c r="Z9" s="351">
        <f>IF(parameters!$B13&gt;0,IF(Z7&gt;0,MIN(parameters!$B$10*(1+parameters!$B$13)^(Z7-1),parameters!$B$12),0),0)</f>
        <v>0</v>
      </c>
      <c r="AA9" s="351">
        <f>IF(parameters!$B13&gt;0,IF(AA7&gt;0,MIN(parameters!$B$10*(1+parameters!$B$13)^(AA7-1),parameters!$B$12),0),0)</f>
        <v>0</v>
      </c>
      <c r="AB9" s="351">
        <f>IF(parameters!$B13&gt;0,IF(AB7&gt;0,MIN(parameters!$B$10*(1+parameters!$B$13)^(AB7-1),parameters!$B$12),0),0)</f>
        <v>0</v>
      </c>
      <c r="AC9" s="351">
        <f>IF(parameters!$B13&gt;0,IF(AC7&gt;0,MIN(parameters!$B$10*(1+parameters!$B$13)^(AC7-1),parameters!$B$12),0),0)</f>
        <v>0</v>
      </c>
      <c r="AD9" s="351">
        <f>IF(parameters!$B13&gt;0,IF(AD7&gt;0,MIN(parameters!$B$10*(1+parameters!$B$13)^(AD7-1),parameters!$B$12),0),0)</f>
        <v>0</v>
      </c>
      <c r="AE9" s="351">
        <f>IF(parameters!$B13&gt;0,IF(AE7&gt;0,MIN(parameters!$B$10*(1+parameters!$B$13)^(AE7-1),parameters!$B$12),0),0)</f>
        <v>0</v>
      </c>
      <c r="AF9" s="351">
        <f>IF(parameters!$B13&gt;0,IF(AF7&gt;0,MIN(parameters!$B$10*(1+parameters!$B$13)^(AF7-1),parameters!$B$12),0),0)</f>
        <v>0</v>
      </c>
      <c r="AG9" s="351">
        <f>IF(parameters!$B13&gt;0,IF(AG7&gt;0,MIN(parameters!$B$10*(1+parameters!$B$13)^(AG7-1),parameters!$B$12),0),0)</f>
        <v>0</v>
      </c>
    </row>
    <row r="10" spans="1:33" ht="12.9" customHeight="1">
      <c r="A10" s="453" t="s">
        <v>914</v>
      </c>
      <c r="B10" s="38" t="s">
        <v>913</v>
      </c>
      <c r="C10" s="351">
        <f>IF(dashboard!$F77="o.k.",IF(C$6&lt;=dashboard!$D77,MAX(dashboard!$E77*(1-(dashboard!$D77-C$6)/dashboard!$C77),0),dashboard!$E77),0)</f>
        <v>0</v>
      </c>
      <c r="D10" s="351">
        <f>IF(dashboard!$F77="o.k.",IF(D$6&lt;=dashboard!$D77,MAX(dashboard!$E77*(1-(dashboard!$D77-D$6)/dashboard!$C77),0),dashboard!$E77),0)</f>
        <v>0</v>
      </c>
      <c r="E10" s="351">
        <f>IF(dashboard!$F77="o.k.",IF(E$6&lt;=dashboard!$D77,MAX(dashboard!$E77*(1-(dashboard!$D77-E$6)/dashboard!$C77),0),dashboard!$E77),0)</f>
        <v>0</v>
      </c>
      <c r="F10" s="351">
        <f>IF(dashboard!$F77="o.k.",IF(F$6&lt;=dashboard!$D77,MAX(dashboard!$E77*(1-(dashboard!$D77-F$6)/dashboard!$C77),0),dashboard!$E77),0)</f>
        <v>0</v>
      </c>
      <c r="G10" s="351">
        <f>IF(dashboard!$F77="o.k.",IF(G$6&lt;=dashboard!$D77,MAX(dashboard!$E77*(1-(dashboard!$D77-G$6)/dashboard!$C77),0),dashboard!$E77),0)</f>
        <v>0</v>
      </c>
      <c r="H10" s="351">
        <f>IF(dashboard!$F77="o.k.",IF(H$6&lt;=dashboard!$D77,MAX(dashboard!$E77*(1-(dashboard!$D77-H$6)/dashboard!$C77),0),dashboard!$E77),0)</f>
        <v>0</v>
      </c>
      <c r="I10" s="351">
        <f>IF(dashboard!$F77="o.k.",IF(I$6&lt;=dashboard!$D77,MAX(dashboard!$E77*(1-(dashboard!$D77-I$6)/dashboard!$C77),0),dashboard!$E77),0)</f>
        <v>0</v>
      </c>
      <c r="J10" s="351">
        <f>IF(dashboard!$F77="o.k.",IF(J$6&lt;=dashboard!$D77,MAX(dashboard!$E77*(1-(dashboard!$D77-J$6)/dashboard!$C77),0),dashboard!$E77),0)</f>
        <v>0</v>
      </c>
      <c r="K10" s="351">
        <f>IF(dashboard!$F77="o.k.",IF(K$6&lt;=dashboard!$D77,MAX(dashboard!$E77*(1-(dashboard!$D77-K$6)/dashboard!$C77),0),dashboard!$E77),0)</f>
        <v>0</v>
      </c>
      <c r="L10" s="351">
        <f>IF(dashboard!$F77="o.k.",IF(L$6&lt;=dashboard!$D77,MAX(dashboard!$E77*(1-(dashboard!$D77-L$6)/dashboard!$C77),0),dashboard!$E77),0)</f>
        <v>0</v>
      </c>
      <c r="M10" s="351">
        <f>IF(dashboard!$F77="o.k.",IF(M$6&lt;=dashboard!$D77,MAX(dashboard!$E77*(1-(dashboard!$D77-M$6)/dashboard!$C77),0),dashboard!$E77),0)</f>
        <v>0</v>
      </c>
      <c r="N10" s="351">
        <f>IF(dashboard!$F77="o.k.",IF(N$6&lt;=dashboard!$D77,MAX(dashboard!$E77*(1-(dashboard!$D77-N$6)/dashboard!$C77),0),dashboard!$E77),0)</f>
        <v>0</v>
      </c>
      <c r="O10" s="351">
        <f>IF(dashboard!$F77="o.k.",IF(O$6&lt;=dashboard!$D77,MAX(dashboard!$E77*(1-(dashboard!$D77-O$6)/dashboard!$C77),0),dashboard!$E77),0)</f>
        <v>0</v>
      </c>
      <c r="P10" s="351">
        <f>IF(dashboard!$F77="o.k.",IF(P$6&lt;=dashboard!$D77,MAX(dashboard!$E77*(1-(dashboard!$D77-P$6)/dashboard!$C77),0),dashboard!$E77),0)</f>
        <v>0</v>
      </c>
      <c r="Q10" s="351">
        <f>IF(dashboard!$F77="o.k.",IF(Q$6&lt;=dashboard!$D77,MAX(dashboard!$E77*(1-(dashboard!$D77-Q$6)/dashboard!$C77),0),dashboard!$E77),0)</f>
        <v>0</v>
      </c>
      <c r="R10" s="351">
        <f>IF(dashboard!$F77="o.k.",IF(R$6&lt;=dashboard!$D77,MAX(dashboard!$E77*(1-(dashboard!$D77-R$6)/dashboard!$C77),0),dashboard!$E77),0)</f>
        <v>0</v>
      </c>
      <c r="S10" s="351">
        <f>IF(dashboard!$F77="o.k.",IF(S$6&lt;=dashboard!$D77,MAX(dashboard!$E77*(1-(dashboard!$D77-S$6)/dashboard!$C77),0),dashboard!$E77),0)</f>
        <v>0</v>
      </c>
      <c r="T10" s="351">
        <f>IF(dashboard!$F77="o.k.",IF(T$6&lt;=dashboard!$D77,MAX(dashboard!$E77*(1-(dashboard!$D77-T$6)/dashboard!$C77),0),dashboard!$E77),0)</f>
        <v>0</v>
      </c>
      <c r="U10" s="351">
        <f>IF(dashboard!$F77="o.k.",IF(U$6&lt;=dashboard!$D77,MAX(dashboard!$E77*(1-(dashboard!$D77-U$6)/dashboard!$C77),0),dashboard!$E77),0)</f>
        <v>0</v>
      </c>
      <c r="V10" s="351">
        <f>IF(dashboard!$F77="o.k.",IF(V$6&lt;=dashboard!$D77,MAX(dashboard!$E77*(1-(dashboard!$D77-V$6)/dashboard!$C77),0),dashboard!$E77),0)</f>
        <v>0</v>
      </c>
      <c r="W10" s="351">
        <f>IF(dashboard!$F77="o.k.",IF(W$6&lt;=dashboard!$D77,MAX(dashboard!$E77*(1-(dashboard!$D77-W$6)/dashboard!$C77),0),dashboard!$E77),0)</f>
        <v>0</v>
      </c>
      <c r="X10" s="351">
        <f>IF(dashboard!$F77="o.k.",IF(X$6&lt;=dashboard!$D77,MAX(dashboard!$E77*(1-(dashboard!$D77-X$6)/dashboard!$C77),0),dashboard!$E77),0)</f>
        <v>0</v>
      </c>
      <c r="Y10" s="351">
        <f>IF(dashboard!$F77="o.k.",IF(Y$6&lt;=dashboard!$D77,MAX(dashboard!$E77*(1-(dashboard!$D77-Y$6)/dashboard!$C77),0),dashboard!$E77),0)</f>
        <v>0</v>
      </c>
      <c r="Z10" s="351">
        <f>IF(dashboard!$F77="o.k.",IF(Z$6&lt;=dashboard!$D77,MAX(dashboard!$E77*(1-(dashboard!$D77-Z$6)/dashboard!$C77),0),dashboard!$E77),0)</f>
        <v>0</v>
      </c>
      <c r="AA10" s="351">
        <f>IF(dashboard!$F77="o.k.",IF(AA$6&lt;=dashboard!$D77,MAX(dashboard!$E77*(1-(dashboard!$D77-AA$6)/dashboard!$C77),0),dashboard!$E77),0)</f>
        <v>0</v>
      </c>
      <c r="AB10" s="351">
        <f>IF(dashboard!$F77="o.k.",IF(AB$6&lt;=dashboard!$D77,MAX(dashboard!$E77*(1-(dashboard!$D77-AB$6)/dashboard!$C77),0),dashboard!$E77),0)</f>
        <v>0</v>
      </c>
      <c r="AC10" s="351">
        <f>IF(dashboard!$F77="o.k.",IF(AC$6&lt;=dashboard!$D77,MAX(dashboard!$E77*(1-(dashboard!$D77-AC$6)/dashboard!$C77),0),dashboard!$E77),0)</f>
        <v>0</v>
      </c>
      <c r="AD10" s="351">
        <f>IF(dashboard!$F77="o.k.",IF(AD$6&lt;=dashboard!$D77,MAX(dashboard!$E77*(1-(dashboard!$D77-AD$6)/dashboard!$C77),0),dashboard!$E77),0)</f>
        <v>0</v>
      </c>
      <c r="AE10" s="351">
        <f>IF(dashboard!$F77="o.k.",IF(AE$6&lt;=dashboard!$D77,MAX(dashboard!$E77*(1-(dashboard!$D77-AE$6)/dashboard!$C77),0),dashboard!$E77),0)</f>
        <v>0</v>
      </c>
      <c r="AF10" s="351">
        <f>IF(dashboard!$F77="o.k.",IF(AF$6&lt;=dashboard!$D77,MAX(dashboard!$E77*(1-(dashboard!$D77-AF$6)/dashboard!$C77),0),dashboard!$E77),0)</f>
        <v>0</v>
      </c>
      <c r="AG10" s="351">
        <f>IF(dashboard!$F77="o.k.",IF(AG$6&lt;=dashboard!$D77,MAX(dashboard!$E77*(1-(dashboard!$D77-AG$6)/dashboard!$C77),0),dashboard!$E77),0)</f>
        <v>0</v>
      </c>
    </row>
    <row r="11" spans="1:33" s="119" customFormat="1" ht="12.9" customHeight="1">
      <c r="A11" s="453" t="s">
        <v>915</v>
      </c>
      <c r="B11" s="38" t="s">
        <v>913</v>
      </c>
      <c r="C11" s="351">
        <f>IF(dashboard!$F78="o.k.",IF(C$6&lt;=dashboard!$D78,MAX(dashboard!$E78*(1-(dashboard!$D78-C$6)/dashboard!$C78),0),dashboard!$E78),0)</f>
        <v>0</v>
      </c>
      <c r="D11" s="351">
        <f>IF(dashboard!$F78="o.k.",IF(D$6&lt;=dashboard!$D78,MAX(dashboard!$E78*(1-(dashboard!$D78-D$6)/dashboard!$C78),0),dashboard!$E78),0)</f>
        <v>0</v>
      </c>
      <c r="E11" s="351">
        <f>IF(dashboard!$F78="o.k.",IF(E$6&lt;=dashboard!$D78,MAX(dashboard!$E78*(1-(dashboard!$D78-E$6)/dashboard!$C78),0),dashboard!$E78),0)</f>
        <v>0</v>
      </c>
      <c r="F11" s="351">
        <f>IF(dashboard!$F78="o.k.",IF(F$6&lt;=dashboard!$D78,MAX(dashboard!$E78*(1-(dashboard!$D78-F$6)/dashboard!$C78),0),dashboard!$E78),0)</f>
        <v>0</v>
      </c>
      <c r="G11" s="351">
        <f>IF(dashboard!$F78="o.k.",IF(G$6&lt;=dashboard!$D78,MAX(dashboard!$E78*(1-(dashboard!$D78-G$6)/dashboard!$C78),0),dashboard!$E78),0)</f>
        <v>0</v>
      </c>
      <c r="H11" s="351">
        <f>IF(dashboard!$F78="o.k.",IF(H$6&lt;=dashboard!$D78,MAX(dashboard!$E78*(1-(dashboard!$D78-H$6)/dashboard!$C78),0),dashboard!$E78),0)</f>
        <v>0</v>
      </c>
      <c r="I11" s="351">
        <f>IF(dashboard!$F78="o.k.",IF(I$6&lt;=dashboard!$D78,MAX(dashboard!$E78*(1-(dashboard!$D78-I$6)/dashboard!$C78),0),dashboard!$E78),0)</f>
        <v>0</v>
      </c>
      <c r="J11" s="351">
        <f>IF(dashboard!$F78="o.k.",IF(J$6&lt;=dashboard!$D78,MAX(dashboard!$E78*(1-(dashboard!$D78-J$6)/dashboard!$C78),0),dashboard!$E78),0)</f>
        <v>0</v>
      </c>
      <c r="K11" s="351">
        <f>IF(dashboard!$F78="o.k.",IF(K$6&lt;=dashboard!$D78,MAX(dashboard!$E78*(1-(dashboard!$D78-K$6)/dashboard!$C78),0),dashboard!$E78),0)</f>
        <v>0</v>
      </c>
      <c r="L11" s="351">
        <f>IF(dashboard!$F78="o.k.",IF(L$6&lt;=dashboard!$D78,MAX(dashboard!$E78*(1-(dashboard!$D78-L$6)/dashboard!$C78),0),dashboard!$E78),0)</f>
        <v>0</v>
      </c>
      <c r="M11" s="351">
        <f>IF(dashboard!$F78="o.k.",IF(M$6&lt;=dashboard!$D78,MAX(dashboard!$E78*(1-(dashboard!$D78-M$6)/dashboard!$C78),0),dashboard!$E78),0)</f>
        <v>0</v>
      </c>
      <c r="N11" s="351">
        <f>IF(dashboard!$F78="o.k.",IF(N$6&lt;=dashboard!$D78,MAX(dashboard!$E78*(1-(dashboard!$D78-N$6)/dashboard!$C78),0),dashboard!$E78),0)</f>
        <v>0</v>
      </c>
      <c r="O11" s="351">
        <f>IF(dashboard!$F78="o.k.",IF(O$6&lt;=dashboard!$D78,MAX(dashboard!$E78*(1-(dashboard!$D78-O$6)/dashboard!$C78),0),dashboard!$E78),0)</f>
        <v>0</v>
      </c>
      <c r="P11" s="351">
        <f>IF(dashboard!$F78="o.k.",IF(P$6&lt;=dashboard!$D78,MAX(dashboard!$E78*(1-(dashboard!$D78-P$6)/dashboard!$C78),0),dashboard!$E78),0)</f>
        <v>0</v>
      </c>
      <c r="Q11" s="351">
        <f>IF(dashboard!$F78="o.k.",IF(Q$6&lt;=dashboard!$D78,MAX(dashboard!$E78*(1-(dashboard!$D78-Q$6)/dashboard!$C78),0),dashboard!$E78),0)</f>
        <v>0</v>
      </c>
      <c r="R11" s="351">
        <f>IF(dashboard!$F78="o.k.",IF(R$6&lt;=dashboard!$D78,MAX(dashboard!$E78*(1-(dashboard!$D78-R$6)/dashboard!$C78),0),dashboard!$E78),0)</f>
        <v>0</v>
      </c>
      <c r="S11" s="351">
        <f>IF(dashboard!$F78="o.k.",IF(S$6&lt;=dashboard!$D78,MAX(dashboard!$E78*(1-(dashboard!$D78-S$6)/dashboard!$C78),0),dashboard!$E78),0)</f>
        <v>0</v>
      </c>
      <c r="T11" s="351">
        <f>IF(dashboard!$F78="o.k.",IF(T$6&lt;=dashboard!$D78,MAX(dashboard!$E78*(1-(dashboard!$D78-T$6)/dashboard!$C78),0),dashboard!$E78),0)</f>
        <v>0</v>
      </c>
      <c r="U11" s="351">
        <f>IF(dashboard!$F78="o.k.",IF(U$6&lt;=dashboard!$D78,MAX(dashboard!$E78*(1-(dashboard!$D78-U$6)/dashboard!$C78),0),dashboard!$E78),0)</f>
        <v>0</v>
      </c>
      <c r="V11" s="351">
        <f>IF(dashboard!$F78="o.k.",IF(V$6&lt;=dashboard!$D78,MAX(dashboard!$E78*(1-(dashboard!$D78-V$6)/dashboard!$C78),0),dashboard!$E78),0)</f>
        <v>0</v>
      </c>
      <c r="W11" s="351">
        <f>IF(dashboard!$F78="o.k.",IF(W$6&lt;=dashboard!$D78,MAX(dashboard!$E78*(1-(dashboard!$D78-W$6)/dashboard!$C78),0),dashboard!$E78),0)</f>
        <v>0</v>
      </c>
      <c r="X11" s="351">
        <f>IF(dashboard!$F78="o.k.",IF(X$6&lt;=dashboard!$D78,MAX(dashboard!$E78*(1-(dashboard!$D78-X$6)/dashboard!$C78),0),dashboard!$E78),0)</f>
        <v>0</v>
      </c>
      <c r="Y11" s="351">
        <f>IF(dashboard!$F78="o.k.",IF(Y$6&lt;=dashboard!$D78,MAX(dashboard!$E78*(1-(dashboard!$D78-Y$6)/dashboard!$C78),0),dashboard!$E78),0)</f>
        <v>0</v>
      </c>
      <c r="Z11" s="351">
        <f>IF(dashboard!$F78="o.k.",IF(Z$6&lt;=dashboard!$D78,MAX(dashboard!$E78*(1-(dashboard!$D78-Z$6)/dashboard!$C78),0),dashboard!$E78),0)</f>
        <v>0</v>
      </c>
      <c r="AA11" s="351">
        <f>IF(dashboard!$F78="o.k.",IF(AA$6&lt;=dashboard!$D78,MAX(dashboard!$E78*(1-(dashboard!$D78-AA$6)/dashboard!$C78),0),dashboard!$E78),0)</f>
        <v>0</v>
      </c>
      <c r="AB11" s="351">
        <f>IF(dashboard!$F78="o.k.",IF(AB$6&lt;=dashboard!$D78,MAX(dashboard!$E78*(1-(dashboard!$D78-AB$6)/dashboard!$C78),0),dashboard!$E78),0)</f>
        <v>0</v>
      </c>
      <c r="AC11" s="351">
        <f>IF(dashboard!$F78="o.k.",IF(AC$6&lt;=dashboard!$D78,MAX(dashboard!$E78*(1-(dashboard!$D78-AC$6)/dashboard!$C78),0),dashboard!$E78),0)</f>
        <v>0</v>
      </c>
      <c r="AD11" s="351">
        <f>IF(dashboard!$F78="o.k.",IF(AD$6&lt;=dashboard!$D78,MAX(dashboard!$E78*(1-(dashboard!$D78-AD$6)/dashboard!$C78),0),dashboard!$E78),0)</f>
        <v>0</v>
      </c>
      <c r="AE11" s="351">
        <f>IF(dashboard!$F78="o.k.",IF(AE$6&lt;=dashboard!$D78,MAX(dashboard!$E78*(1-(dashboard!$D78-AE$6)/dashboard!$C78),0),dashboard!$E78),0)</f>
        <v>0</v>
      </c>
      <c r="AF11" s="351">
        <f>IF(dashboard!$F78="o.k.",IF(AF$6&lt;=dashboard!$D78,MAX(dashboard!$E78*(1-(dashboard!$D78-AF$6)/dashboard!$C78),0),dashboard!$E78),0)</f>
        <v>0</v>
      </c>
      <c r="AG11" s="351">
        <f>IF(dashboard!$F78="o.k.",IF(AG$6&lt;=dashboard!$D78,MAX(dashboard!$E78*(1-(dashboard!$D78-AG$6)/dashboard!$C78),0),dashboard!$E78),0)</f>
        <v>0</v>
      </c>
    </row>
    <row r="12" spans="1:33" ht="12.9" customHeight="1">
      <c r="A12" s="38"/>
      <c r="B12" s="38"/>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row>
    <row r="13" spans="1:33" s="291" customFormat="1" ht="12.9" customHeight="1">
      <c r="A13" s="347" t="s">
        <v>1038</v>
      </c>
      <c r="B13" s="348"/>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9"/>
    </row>
    <row r="14" spans="1:33" s="377" customFormat="1" ht="12.9" customHeight="1">
      <c r="A14" s="379" t="s">
        <v>432</v>
      </c>
      <c r="B14" s="379" t="s">
        <v>429</v>
      </c>
      <c r="C14" s="379">
        <v>2020</v>
      </c>
      <c r="D14" s="379">
        <v>2021</v>
      </c>
      <c r="E14" s="379">
        <v>2022</v>
      </c>
      <c r="F14" s="379">
        <v>2023</v>
      </c>
      <c r="G14" s="379">
        <v>2024</v>
      </c>
      <c r="H14" s="379">
        <v>2025</v>
      </c>
      <c r="I14" s="379">
        <v>2026</v>
      </c>
      <c r="J14" s="379">
        <v>2027</v>
      </c>
      <c r="K14" s="379">
        <v>2028</v>
      </c>
      <c r="L14" s="379">
        <v>2029</v>
      </c>
      <c r="M14" s="379">
        <v>2030</v>
      </c>
      <c r="N14" s="379">
        <v>2031</v>
      </c>
      <c r="O14" s="379">
        <v>2032</v>
      </c>
      <c r="P14" s="379">
        <v>2033</v>
      </c>
      <c r="Q14" s="379">
        <v>2034</v>
      </c>
      <c r="R14" s="379">
        <v>2035</v>
      </c>
      <c r="S14" s="379">
        <v>2036</v>
      </c>
      <c r="T14" s="379">
        <v>2037</v>
      </c>
      <c r="U14" s="379">
        <v>2038</v>
      </c>
      <c r="V14" s="379">
        <v>2039</v>
      </c>
      <c r="W14" s="379">
        <v>2040</v>
      </c>
      <c r="X14" s="379">
        <v>2041</v>
      </c>
      <c r="Y14" s="379">
        <v>2042</v>
      </c>
      <c r="Z14" s="379">
        <v>2043</v>
      </c>
      <c r="AA14" s="379">
        <v>2044</v>
      </c>
      <c r="AB14" s="379">
        <v>2045</v>
      </c>
      <c r="AC14" s="379">
        <v>2046</v>
      </c>
      <c r="AD14" s="379">
        <v>2047</v>
      </c>
      <c r="AE14" s="379">
        <v>2048</v>
      </c>
      <c r="AF14" s="379">
        <v>2049</v>
      </c>
      <c r="AG14" s="379">
        <v>2050</v>
      </c>
    </row>
    <row r="15" spans="1:33" ht="12.9" customHeight="1">
      <c r="A15" s="453" t="s">
        <v>1040</v>
      </c>
      <c r="B15" s="38" t="s">
        <v>460</v>
      </c>
      <c r="C15" s="352">
        <f>IF(parameters!$B$13=0,C8*parameters!$B$71/1000+C10/parameters!$B$74, C9*parameters!$B$71/1000+C10/parameters!$B$74)</f>
        <v>0.70876666666666654</v>
      </c>
      <c r="D15" s="352">
        <f>IF(parameters!$B$13=0,D8*parameters!$B$71/1000+D10/parameters!$B$74, D9*parameters!$B$71/1000+D10/parameters!$B$74)</f>
        <v>0.92139666666666642</v>
      </c>
      <c r="E15" s="352">
        <f>IF(parameters!$B$13=0,E8*parameters!$B$71/1000+E10/parameters!$B$74, E9*parameters!$B$71/1000+E10/parameters!$B$74)</f>
        <v>1.1340266666666665</v>
      </c>
      <c r="F15" s="352">
        <f>IF(parameters!$B$13=0,F8*parameters!$B$71/1000+F10/parameters!$B$74, F9*parameters!$B$71/1000+F10/parameters!$B$74)</f>
        <v>1.3466566666666664</v>
      </c>
      <c r="G15" s="352">
        <f>IF(parameters!$B$13=0,G8*parameters!$B$71/1000+G10/parameters!$B$74, G9*parameters!$B$71/1000+G10/parameters!$B$74)</f>
        <v>1.5592866666666665</v>
      </c>
      <c r="H15" s="352">
        <f>IF(parameters!$B$13=0,H8*parameters!$B$71/1000+H10/parameters!$B$74, H9*parameters!$B$71/1000+H10/parameters!$B$74)</f>
        <v>1.7719166666666664</v>
      </c>
      <c r="I15" s="352">
        <f>IF(parameters!$B$13=0,I8*parameters!$B$71/1000+I10/parameters!$B$74, I9*parameters!$B$71/1000+I10/parameters!$B$74)</f>
        <v>1.9845466666666662</v>
      </c>
      <c r="J15" s="352">
        <f>IF(parameters!$B$13=0,J8*parameters!$B$71/1000+J10/parameters!$B$74, J9*parameters!$B$71/1000+J10/parameters!$B$74)</f>
        <v>2.1971766666666661</v>
      </c>
      <c r="K15" s="352">
        <f>IF(parameters!$B$13=0,K8*parameters!$B$71/1000+K10/parameters!$B$74, K9*parameters!$B$71/1000+K10/parameters!$B$74)</f>
        <v>2.409806666666666</v>
      </c>
      <c r="L15" s="352">
        <f>IF(parameters!$B$13=0,L8*parameters!$B$71/1000+L10/parameters!$B$74, L9*parameters!$B$71/1000+L10/parameters!$B$74)</f>
        <v>2.6224366666666659</v>
      </c>
      <c r="M15" s="352">
        <f>IF(parameters!$B$13=0,M8*parameters!$B$71/1000+M10/parameters!$B$74, M9*parameters!$B$71/1000+M10/parameters!$B$74)</f>
        <v>2.8350666666666662</v>
      </c>
      <c r="N15" s="352">
        <f>IF(parameters!$B$13=0,N8*parameters!$B$71/1000+N10/parameters!$B$74, N9*parameters!$B$71/1000+N10/parameters!$B$74)</f>
        <v>3.0476966666666656</v>
      </c>
      <c r="O15" s="352">
        <f>IF(parameters!$B$13=0,O8*parameters!$B$71/1000+O10/parameters!$B$74, O9*parameters!$B$71/1000+O10/parameters!$B$74)</f>
        <v>3.2603266666666659</v>
      </c>
      <c r="P15" s="352">
        <f>IF(parameters!$B$13=0,P8*parameters!$B$71/1000+P10/parameters!$B$74, P9*parameters!$B$71/1000+P10/parameters!$B$74)</f>
        <v>3.4729566666666658</v>
      </c>
      <c r="Q15" s="352">
        <f>IF(parameters!$B$13=0,Q8*parameters!$B$71/1000+Q10/parameters!$B$74, Q9*parameters!$B$71/1000+Q10/parameters!$B$74)</f>
        <v>3.5438333333333327</v>
      </c>
      <c r="R15" s="352">
        <f>IF(parameters!$B$13=0,R8*parameters!$B$71/1000+R10/parameters!$B$74, R9*parameters!$B$71/1000+R10/parameters!$B$74)</f>
        <v>3.5438333333333327</v>
      </c>
      <c r="S15" s="352">
        <f>IF(parameters!$B$13=0,S8*parameters!$B$71/1000+S10/parameters!$B$74, S9*parameters!$B$71/1000+S10/parameters!$B$74)</f>
        <v>3.5438333333333327</v>
      </c>
      <c r="T15" s="352">
        <f>IF(parameters!$B$13=0,T8*parameters!$B$71/1000+T10/parameters!$B$74, T9*parameters!$B$71/1000+T10/parameters!$B$74)</f>
        <v>3.5438333333333327</v>
      </c>
      <c r="U15" s="352">
        <f>IF(parameters!$B$13=0,U8*parameters!$B$71/1000+U10/parameters!$B$74, U9*parameters!$B$71/1000+U10/parameters!$B$74)</f>
        <v>3.5438333333333327</v>
      </c>
      <c r="V15" s="352">
        <f>IF(parameters!$B$13=0,V8*parameters!$B$71/1000+V10/parameters!$B$74, V9*parameters!$B$71/1000+V10/parameters!$B$74)</f>
        <v>3.5438333333333327</v>
      </c>
      <c r="W15" s="352">
        <f>IF(parameters!$B$13=0,W8*parameters!$B$71/1000+W10/parameters!$B$74, W9*parameters!$B$71/1000+W10/parameters!$B$74)</f>
        <v>3.5438333333333327</v>
      </c>
      <c r="X15" s="352">
        <f>IF(parameters!$B$13=0,X8*parameters!$B$71/1000+X10/parameters!$B$74, X9*parameters!$B$71/1000+X10/parameters!$B$74)</f>
        <v>3.5438333333333327</v>
      </c>
      <c r="Y15" s="352">
        <f>IF(parameters!$B$13=0,Y8*parameters!$B$71/1000+Y10/parameters!$B$74, Y9*parameters!$B$71/1000+Y10/parameters!$B$74)</f>
        <v>3.5438333333333327</v>
      </c>
      <c r="Z15" s="352">
        <f>IF(parameters!$B$13=0,Z8*parameters!$B$71/1000+Z10/parameters!$B$74, Z9*parameters!$B$71/1000+Z10/parameters!$B$74)</f>
        <v>3.5438333333333327</v>
      </c>
      <c r="AA15" s="352">
        <f>IF(parameters!$B$13=0,AA8*parameters!$B$71/1000+AA10/parameters!$B$74, AA9*parameters!$B$71/1000+AA10/parameters!$B$74)</f>
        <v>3.5438333333333327</v>
      </c>
      <c r="AB15" s="352">
        <f>IF(parameters!$B$13=0,AB8*parameters!$B$71/1000+AB10/parameters!$B$74, AB9*parameters!$B$71/1000+AB10/parameters!$B$74)</f>
        <v>3.5438333333333327</v>
      </c>
      <c r="AC15" s="352">
        <f>IF(parameters!$B$13=0,AC8*parameters!$B$71/1000+AC10/parameters!$B$74, AC9*parameters!$B$71/1000+AC10/parameters!$B$74)</f>
        <v>3.5438333333333327</v>
      </c>
      <c r="AD15" s="352">
        <f>IF(parameters!$B$13=0,AD8*parameters!$B$71/1000+AD10/parameters!$B$74, AD9*parameters!$B$71/1000+AD10/parameters!$B$74)</f>
        <v>3.5438333333333327</v>
      </c>
      <c r="AE15" s="352">
        <f>IF(parameters!$B$13=0,AE8*parameters!$B$71/1000+AE10/parameters!$B$74, AE9*parameters!$B$71/1000+AE10/parameters!$B$74)</f>
        <v>3.5438333333333327</v>
      </c>
      <c r="AF15" s="352">
        <f>IF(parameters!$B$13=0,AF8*parameters!$B$71/1000+AF10/parameters!$B$74, AF9*parameters!$B$71/1000+AF10/parameters!$B$74)</f>
        <v>3.5438333333333327</v>
      </c>
      <c r="AG15" s="352">
        <f>IF(parameters!$B$13=0,AG8*parameters!$B$71/1000+AG10/parameters!$B$74, AG9*parameters!$B$71/1000+AG10/parameters!$B$74)</f>
        <v>3.5438333333333327</v>
      </c>
    </row>
    <row r="16" spans="1:33" ht="12.9" customHeight="1">
      <c r="A16" s="454" t="s">
        <v>1</v>
      </c>
      <c r="B16" s="38" t="s">
        <v>460</v>
      </c>
      <c r="C16" s="352">
        <f>IF(parameters!$B$13=0,C8*parameters!$B$76/1000,C9*parameters!$B$76/1000)</f>
        <v>0.53056666666666707</v>
      </c>
      <c r="D16" s="352">
        <f>IF(parameters!$B$13=0,D8*parameters!$B$76/1000,D9*parameters!$B$76/1000)</f>
        <v>0.68973666666666711</v>
      </c>
      <c r="E16" s="352">
        <f>IF(parameters!$B$13=0,E8*parameters!$B$76/1000,E9*parameters!$B$76/1000)</f>
        <v>0.84890666666666725</v>
      </c>
      <c r="F16" s="352">
        <f>IF(parameters!$B$13=0,F8*parameters!$B$76/1000,F9*parameters!$B$76/1000)</f>
        <v>1.0080766666666672</v>
      </c>
      <c r="G16" s="352">
        <f>IF(parameters!$B$13=0,G8*parameters!$B$76/1000,G9*parameters!$B$76/1000)</f>
        <v>1.1672466666666674</v>
      </c>
      <c r="H16" s="352">
        <f>IF(parameters!$B$13=0,H8*parameters!$B$76/1000,H9*parameters!$B$76/1000)</f>
        <v>1.3264166666666675</v>
      </c>
      <c r="I16" s="352">
        <f>IF(parameters!$B$13=0,I8*parameters!$B$76/1000,I9*parameters!$B$76/1000)</f>
        <v>1.4855866666666675</v>
      </c>
      <c r="J16" s="352">
        <f>IF(parameters!$B$13=0,J8*parameters!$B$76/1000,J9*parameters!$B$76/1000)</f>
        <v>1.6447566666666678</v>
      </c>
      <c r="K16" s="352">
        <f>IF(parameters!$B$13=0,K8*parameters!$B$76/1000,K9*parameters!$B$76/1000)</f>
        <v>1.8039266666666678</v>
      </c>
      <c r="L16" s="352">
        <f>IF(parameters!$B$13=0,L8*parameters!$B$76/1000,L9*parameters!$B$76/1000)</f>
        <v>1.963096666666668</v>
      </c>
      <c r="M16" s="352">
        <f>IF(parameters!$B$13=0,M8*parameters!$B$76/1000,M9*parameters!$B$76/1000)</f>
        <v>2.1222666666666683</v>
      </c>
      <c r="N16" s="352">
        <f>IF(parameters!$B$13=0,N8*parameters!$B$76/1000,N9*parameters!$B$76/1000)</f>
        <v>2.2814366666666683</v>
      </c>
      <c r="O16" s="352">
        <f>IF(parameters!$B$13=0,O8*parameters!$B$76/1000,O9*parameters!$B$76/1000)</f>
        <v>2.4406066666666684</v>
      </c>
      <c r="P16" s="352">
        <f>IF(parameters!$B$13=0,P8*parameters!$B$76/1000,P9*parameters!$B$76/1000)</f>
        <v>2.5997766666666684</v>
      </c>
      <c r="Q16" s="352">
        <f>IF(parameters!$B$13=0,Q8*parameters!$B$76/1000,Q9*parameters!$B$76/1000)</f>
        <v>2.6528333333333349</v>
      </c>
      <c r="R16" s="352">
        <f>IF(parameters!$B$13=0,R8*parameters!$B$76/1000,R9*parameters!$B$76/1000)</f>
        <v>2.6528333333333349</v>
      </c>
      <c r="S16" s="352">
        <f>IF(parameters!$B$13=0,S8*parameters!$B$76/1000,S9*parameters!$B$76/1000)</f>
        <v>2.6528333333333349</v>
      </c>
      <c r="T16" s="352">
        <f>IF(parameters!$B$13=0,T8*parameters!$B$76/1000,T9*parameters!$B$76/1000)</f>
        <v>2.6528333333333349</v>
      </c>
      <c r="U16" s="352">
        <f>IF(parameters!$B$13=0,U8*parameters!$B$76/1000,U9*parameters!$B$76/1000)</f>
        <v>2.6528333333333349</v>
      </c>
      <c r="V16" s="352">
        <f>IF(parameters!$B$13=0,V8*parameters!$B$76/1000,V9*parameters!$B$76/1000)</f>
        <v>2.6528333333333349</v>
      </c>
      <c r="W16" s="352">
        <f>IF(parameters!$B$13=0,W8*parameters!$B$76/1000,W9*parameters!$B$76/1000)</f>
        <v>2.6528333333333349</v>
      </c>
      <c r="X16" s="352">
        <f>IF(parameters!$B$13=0,X8*parameters!$B$76/1000,X9*parameters!$B$76/1000)</f>
        <v>2.6528333333333349</v>
      </c>
      <c r="Y16" s="352">
        <f>IF(parameters!$B$13=0,Y8*parameters!$B$76/1000,Y9*parameters!$B$76/1000)</f>
        <v>2.6528333333333349</v>
      </c>
      <c r="Z16" s="352">
        <f>IF(parameters!$B$13=0,Z8*parameters!$B$76/1000,Z9*parameters!$B$76/1000)</f>
        <v>2.6528333333333349</v>
      </c>
      <c r="AA16" s="352">
        <f>IF(parameters!$B$13=0,AA8*parameters!$B$76/1000,AA9*parameters!$B$76/1000)</f>
        <v>2.6528333333333349</v>
      </c>
      <c r="AB16" s="352">
        <f>IF(parameters!$B$13=0,AB8*parameters!$B$76/1000,AB9*parameters!$B$76/1000)</f>
        <v>2.6528333333333349</v>
      </c>
      <c r="AC16" s="352">
        <f>IF(parameters!$B$13=0,AC8*parameters!$B$76/1000,AC9*parameters!$B$76/1000)</f>
        <v>2.6528333333333349</v>
      </c>
      <c r="AD16" s="352">
        <f>IF(parameters!$B$13=0,AD8*parameters!$B$76/1000,AD9*parameters!$B$76/1000)</f>
        <v>2.6528333333333349</v>
      </c>
      <c r="AE16" s="352">
        <f>IF(parameters!$B$13=0,AE8*parameters!$B$76/1000,AE9*parameters!$B$76/1000)</f>
        <v>2.6528333333333349</v>
      </c>
      <c r="AF16" s="352">
        <f>IF(parameters!$B$13=0,AF8*parameters!$B$76/1000,AF9*parameters!$B$76/1000)</f>
        <v>2.6528333333333349</v>
      </c>
      <c r="AG16" s="352">
        <f>IF(parameters!$B$13=0,AG8*parameters!$B$76/1000,AG9*parameters!$B$76/1000)</f>
        <v>2.6528333333333349</v>
      </c>
    </row>
    <row r="17" spans="1:33" ht="12.9" customHeight="1">
      <c r="A17" s="92" t="s">
        <v>2</v>
      </c>
      <c r="B17" s="38" t="s">
        <v>460</v>
      </c>
      <c r="C17" s="352">
        <f>IF(parameters!$B$13=0,C8*parameters!$B$79/1000,C9*parameters!$B$79/1000)</f>
        <v>0.94699999999999995</v>
      </c>
      <c r="D17" s="352">
        <f>IF(parameters!$B$13=0,D8*parameters!$B$79/1000,D9*parameters!$B$79/1000)</f>
        <v>1.2311000000000001</v>
      </c>
      <c r="E17" s="352">
        <f>IF(parameters!$B$13=0,E8*parameters!$B$79/1000,E9*parameters!$B$79/1000)</f>
        <v>1.5152000000000001</v>
      </c>
      <c r="F17" s="352">
        <f>IF(parameters!$B$13=0,F8*parameters!$B$79/1000,F9*parameters!$B$79/1000)</f>
        <v>1.7992999999999999</v>
      </c>
      <c r="G17" s="352">
        <f>IF(parameters!$B$13=0,G8*parameters!$B$79/1000,G9*parameters!$B$79/1000)</f>
        <v>2.0834000000000001</v>
      </c>
      <c r="H17" s="352">
        <f>IF(parameters!$B$13=0,H8*parameters!$B$79/1000,H9*parameters!$B$79/1000)</f>
        <v>2.3675000000000002</v>
      </c>
      <c r="I17" s="352">
        <f>IF(parameters!$B$13=0,I8*parameters!$B$79/1000,I9*parameters!$B$79/1000)</f>
        <v>2.6515999999999997</v>
      </c>
      <c r="J17" s="352">
        <f>IF(parameters!$B$13=0,J8*parameters!$B$79/1000,J9*parameters!$B$79/1000)</f>
        <v>2.9357000000000002</v>
      </c>
      <c r="K17" s="352">
        <f>IF(parameters!$B$13=0,K8*parameters!$B$79/1000,K9*parameters!$B$79/1000)</f>
        <v>3.2198000000000002</v>
      </c>
      <c r="L17" s="352">
        <f>IF(parameters!$B$13=0,L8*parameters!$B$79/1000,L9*parameters!$B$79/1000)</f>
        <v>3.5039000000000002</v>
      </c>
      <c r="M17" s="352">
        <f>IF(parameters!$B$13=0,M8*parameters!$B$79/1000,M9*parameters!$B$79/1000)</f>
        <v>3.7879999999999998</v>
      </c>
      <c r="N17" s="352">
        <f>IF(parameters!$B$13=0,N8*parameters!$B$79/1000,N9*parameters!$B$79/1000)</f>
        <v>4.0720999999999998</v>
      </c>
      <c r="O17" s="352">
        <f>IF(parameters!$B$13=0,O8*parameters!$B$79/1000,O9*parameters!$B$79/1000)</f>
        <v>4.3561999999999994</v>
      </c>
      <c r="P17" s="352">
        <f>IF(parameters!$B$13=0,P8*parameters!$B$79/1000,P9*parameters!$B$79/1000)</f>
        <v>4.6402999999999999</v>
      </c>
      <c r="Q17" s="352">
        <f>IF(parameters!$B$13=0,Q8*parameters!$B$79/1000,Q9*parameters!$B$79/1000)</f>
        <v>4.7350000000000003</v>
      </c>
      <c r="R17" s="352">
        <f>IF(parameters!$B$13=0,R8*parameters!$B$79/1000,R9*parameters!$B$79/1000)</f>
        <v>4.7350000000000003</v>
      </c>
      <c r="S17" s="352">
        <f>IF(parameters!$B$13=0,S8*parameters!$B$79/1000,S9*parameters!$B$79/1000)</f>
        <v>4.7350000000000003</v>
      </c>
      <c r="T17" s="352">
        <f>IF(parameters!$B$13=0,T8*parameters!$B$79/1000,T9*parameters!$B$79/1000)</f>
        <v>4.7350000000000003</v>
      </c>
      <c r="U17" s="352">
        <f>IF(parameters!$B$13=0,U8*parameters!$B$79/1000,U9*parameters!$B$79/1000)</f>
        <v>4.7350000000000003</v>
      </c>
      <c r="V17" s="352">
        <f>IF(parameters!$B$13=0,V8*parameters!$B$79/1000,V9*parameters!$B$79/1000)</f>
        <v>4.7350000000000003</v>
      </c>
      <c r="W17" s="352">
        <f>IF(parameters!$B$13=0,W8*parameters!$B$79/1000,W9*parameters!$B$79/1000)</f>
        <v>4.7350000000000003</v>
      </c>
      <c r="X17" s="352">
        <f>IF(parameters!$B$13=0,X8*parameters!$B$79/1000,X9*parameters!$B$79/1000)</f>
        <v>4.7350000000000003</v>
      </c>
      <c r="Y17" s="352">
        <f>IF(parameters!$B$13=0,Y8*parameters!$B$79/1000,Y9*parameters!$B$79/1000)</f>
        <v>4.7350000000000003</v>
      </c>
      <c r="Z17" s="352">
        <f>IF(parameters!$B$13=0,Z8*parameters!$B$79/1000,Z9*parameters!$B$79/1000)</f>
        <v>4.7350000000000003</v>
      </c>
      <c r="AA17" s="352">
        <f>IF(parameters!$B$13=0,AA8*parameters!$B$79/1000,AA9*parameters!$B$79/1000)</f>
        <v>4.7350000000000003</v>
      </c>
      <c r="AB17" s="352">
        <f>IF(parameters!$B$13=0,AB8*parameters!$B$79/1000,AB9*parameters!$B$79/1000)</f>
        <v>4.7350000000000003</v>
      </c>
      <c r="AC17" s="352">
        <f>IF(parameters!$B$13=0,AC8*parameters!$B$79/1000,AC9*parameters!$B$79/1000)</f>
        <v>4.7350000000000003</v>
      </c>
      <c r="AD17" s="352">
        <f>IF(parameters!$B$13=0,AD8*parameters!$B$79/1000,AD9*parameters!$B$79/1000)</f>
        <v>4.7350000000000003</v>
      </c>
      <c r="AE17" s="352">
        <f>IF(parameters!$B$13=0,AE8*parameters!$B$79/1000,AE9*parameters!$B$79/1000)</f>
        <v>4.7350000000000003</v>
      </c>
      <c r="AF17" s="352">
        <f>IF(parameters!$B$13=0,AF8*parameters!$B$79/1000,AF9*parameters!$B$79/1000)</f>
        <v>4.7350000000000003</v>
      </c>
      <c r="AG17" s="352">
        <f>IF(parameters!$B$13=0,AG8*parameters!$B$79/1000,AG9*parameters!$B$79/1000)</f>
        <v>4.7350000000000003</v>
      </c>
    </row>
    <row r="18" spans="1:33" ht="12.9" customHeight="1">
      <c r="A18" s="453" t="s">
        <v>1039</v>
      </c>
      <c r="B18" s="38" t="s">
        <v>460</v>
      </c>
      <c r="C18" s="352">
        <f>IF(parameters!$B$13=0,C8*parameters!$B$80/1000+C11/parameters!$B$83, C9*parameters!$B$80/1000+C11/parameters!$B$83)</f>
        <v>0.73150000000000004</v>
      </c>
      <c r="D18" s="352">
        <f>IF(parameters!$B$13=0,D8*parameters!$B$80/1000+D11/parameters!$B$83, D9*parameters!$B$80/1000+D11/parameters!$B$83)</f>
        <v>0.95095000000000007</v>
      </c>
      <c r="E18" s="352">
        <f>IF(parameters!$B$13=0,E8*parameters!$B$80/1000+E11/parameters!$B$83, E9*parameters!$B$80/1000+E11/parameters!$B$83)</f>
        <v>1.1704000000000001</v>
      </c>
      <c r="F18" s="352">
        <f>IF(parameters!$B$13=0,F8*parameters!$B$80/1000+F11/parameters!$B$83, F9*parameters!$B$80/1000+F11/parameters!$B$83)</f>
        <v>1.38985</v>
      </c>
      <c r="G18" s="352">
        <f>IF(parameters!$B$13=0,G8*parameters!$B$80/1000+G11/parameters!$B$83, G9*parameters!$B$80/1000+G11/parameters!$B$83)</f>
        <v>1.6093000000000002</v>
      </c>
      <c r="H18" s="352">
        <f>IF(parameters!$B$13=0,H8*parameters!$B$80/1000+H11/parameters!$B$83, H9*parameters!$B$80/1000+H11/parameters!$B$83)</f>
        <v>1.8287500000000003</v>
      </c>
      <c r="I18" s="352">
        <f>IF(parameters!$B$13=0,I8*parameters!$B$80/1000+I11/parameters!$B$83, I9*parameters!$B$80/1000+I11/parameters!$B$83)</f>
        <v>2.0482000000000005</v>
      </c>
      <c r="J18" s="352">
        <f>IF(parameters!$B$13=0,J8*parameters!$B$80/1000+J11/parameters!$B$83, J9*parameters!$B$80/1000+J11/parameters!$B$83)</f>
        <v>2.2676500000000002</v>
      </c>
      <c r="K18" s="352">
        <f>IF(parameters!$B$13=0,K8*parameters!$B$80/1000+K11/parameters!$B$83, K9*parameters!$B$80/1000+K11/parameters!$B$83)</f>
        <v>2.4871000000000003</v>
      </c>
      <c r="L18" s="352">
        <f>IF(parameters!$B$13=0,L8*parameters!$B$80/1000+L11/parameters!$B$83, L9*parameters!$B$80/1000+L11/parameters!$B$83)</f>
        <v>2.70655</v>
      </c>
      <c r="M18" s="352">
        <f>IF(parameters!$B$13=0,M8*parameters!$B$80/1000+M11/parameters!$B$83, M9*parameters!$B$80/1000+M11/parameters!$B$83)</f>
        <v>2.9260000000000002</v>
      </c>
      <c r="N18" s="352">
        <f>IF(parameters!$B$13=0,N8*parameters!$B$80/1000+N11/parameters!$B$83, N9*parameters!$B$80/1000+N11/parameters!$B$83)</f>
        <v>3.1454500000000003</v>
      </c>
      <c r="O18" s="352">
        <f>IF(parameters!$B$13=0,O8*parameters!$B$80/1000+O11/parameters!$B$83, O9*parameters!$B$80/1000+O11/parameters!$B$83)</f>
        <v>3.3649</v>
      </c>
      <c r="P18" s="352">
        <f>IF(parameters!$B$13=0,P8*parameters!$B$80/1000+P11/parameters!$B$83, P9*parameters!$B$80/1000+P11/parameters!$B$83)</f>
        <v>3.5843500000000001</v>
      </c>
      <c r="Q18" s="352">
        <f>IF(parameters!$B$13=0,Q8*parameters!$B$80/1000+Q11/parameters!$B$83, Q9*parameters!$B$80/1000+Q11/parameters!$B$83)</f>
        <v>3.6575000000000006</v>
      </c>
      <c r="R18" s="352">
        <f>IF(parameters!$B$13=0,R8*parameters!$B$80/1000+R11/parameters!$B$83, R9*parameters!$B$80/1000+R11/parameters!$B$83)</f>
        <v>3.6575000000000006</v>
      </c>
      <c r="S18" s="352">
        <f>IF(parameters!$B$13=0,S8*parameters!$B$80/1000+S11/parameters!$B$83, S9*parameters!$B$80/1000+S11/parameters!$B$83)</f>
        <v>3.6575000000000006</v>
      </c>
      <c r="T18" s="352">
        <f>IF(parameters!$B$13=0,T8*parameters!$B$80/1000+T11/parameters!$B$83, T9*parameters!$B$80/1000+T11/parameters!$B$83)</f>
        <v>3.6575000000000006</v>
      </c>
      <c r="U18" s="352">
        <f>IF(parameters!$B$13=0,U8*parameters!$B$80/1000+U11/parameters!$B$83, U9*parameters!$B$80/1000+U11/parameters!$B$83)</f>
        <v>3.6575000000000006</v>
      </c>
      <c r="V18" s="352">
        <f>IF(parameters!$B$13=0,V8*parameters!$B$80/1000+V11/parameters!$B$83, V9*parameters!$B$80/1000+V11/parameters!$B$83)</f>
        <v>3.6575000000000006</v>
      </c>
      <c r="W18" s="352">
        <f>IF(parameters!$B$13=0,W8*parameters!$B$80/1000+W11/parameters!$B$83, W9*parameters!$B$80/1000+W11/parameters!$B$83)</f>
        <v>3.6575000000000006</v>
      </c>
      <c r="X18" s="352">
        <f>IF(parameters!$B$13=0,X8*parameters!$B$80/1000+X11/parameters!$B$83, X9*parameters!$B$80/1000+X11/parameters!$B$83)</f>
        <v>3.6575000000000006</v>
      </c>
      <c r="Y18" s="352">
        <f>IF(parameters!$B$13=0,Y8*parameters!$B$80/1000+Y11/parameters!$B$83, Y9*parameters!$B$80/1000+Y11/parameters!$B$83)</f>
        <v>3.6575000000000006</v>
      </c>
      <c r="Z18" s="352">
        <f>IF(parameters!$B$13=0,Z8*parameters!$B$80/1000+Z11/parameters!$B$83, Z9*parameters!$B$80/1000+Z11/parameters!$B$83)</f>
        <v>3.6575000000000006</v>
      </c>
      <c r="AA18" s="352">
        <f>IF(parameters!$B$13=0,AA8*parameters!$B$80/1000+AA11/parameters!$B$83, AA9*parameters!$B$80/1000+AA11/parameters!$B$83)</f>
        <v>3.6575000000000006</v>
      </c>
      <c r="AB18" s="352">
        <f>IF(parameters!$B$13=0,AB8*parameters!$B$80/1000+AB11/parameters!$B$83, AB9*parameters!$B$80/1000+AB11/parameters!$B$83)</f>
        <v>3.6575000000000006</v>
      </c>
      <c r="AC18" s="352">
        <f>IF(parameters!$B$13=0,AC8*parameters!$B$80/1000+AC11/parameters!$B$83, AC9*parameters!$B$80/1000+AC11/parameters!$B$83)</f>
        <v>3.6575000000000006</v>
      </c>
      <c r="AD18" s="352">
        <f>IF(parameters!$B$13=0,AD8*parameters!$B$80/1000+AD11/parameters!$B$83, AD9*parameters!$B$80/1000+AD11/parameters!$B$83)</f>
        <v>3.6575000000000006</v>
      </c>
      <c r="AE18" s="352">
        <f>IF(parameters!$B$13=0,AE8*parameters!$B$80/1000+AE11/parameters!$B$83, AE9*parameters!$B$80/1000+AE11/parameters!$B$83)</f>
        <v>3.6575000000000006</v>
      </c>
      <c r="AF18" s="352">
        <f>IF(parameters!$B$13=0,AF8*parameters!$B$80/1000+AF11/parameters!$B$83, AF9*parameters!$B$80/1000+AF11/parameters!$B$83)</f>
        <v>3.6575000000000006</v>
      </c>
      <c r="AG18" s="352">
        <f>IF(parameters!$B$13=0,AG8*parameters!$B$80/1000+AG11/parameters!$B$83, AG9*parameters!$B$80/1000+AG11/parameters!$B$83)</f>
        <v>3.6575000000000006</v>
      </c>
    </row>
    <row r="19" spans="1:33" ht="12.9" customHeight="1">
      <c r="A19" s="92" t="s">
        <v>7</v>
      </c>
      <c r="B19" s="38" t="s">
        <v>460</v>
      </c>
      <c r="C19" s="352">
        <f>IF(parameters!$B$13=0,C8*parameters!$B$80/1000,C9*parameters!$B$80/1000)</f>
        <v>0.73150000000000004</v>
      </c>
      <c r="D19" s="352">
        <f>IF(parameters!$B$13=0,D8*parameters!$B$80/1000,D9*parameters!$B$80/1000)</f>
        <v>0.95095000000000007</v>
      </c>
      <c r="E19" s="352">
        <f>IF(parameters!$B$13=0,E8*parameters!$B$80/1000,E9*parameters!$B$80/1000)</f>
        <v>1.1704000000000001</v>
      </c>
      <c r="F19" s="352">
        <f>IF(parameters!$B$13=0,F8*parameters!$B$80/1000,F9*parameters!$B$80/1000)</f>
        <v>1.38985</v>
      </c>
      <c r="G19" s="352">
        <f>IF(parameters!$B$13=0,G8*parameters!$B$80/1000,G9*parameters!$B$80/1000)</f>
        <v>1.6093000000000002</v>
      </c>
      <c r="H19" s="352">
        <f>IF(parameters!$B$13=0,H8*parameters!$B$80/1000,H9*parameters!$B$80/1000)</f>
        <v>1.8287500000000003</v>
      </c>
      <c r="I19" s="352">
        <f>IF(parameters!$B$13=0,I8*parameters!$B$80/1000,I9*parameters!$B$80/1000)</f>
        <v>2.0482000000000005</v>
      </c>
      <c r="J19" s="352">
        <f>IF(parameters!$B$13=0,J8*parameters!$B$80/1000,J9*parameters!$B$80/1000)</f>
        <v>2.2676500000000002</v>
      </c>
      <c r="K19" s="352">
        <f>IF(parameters!$B$13=0,K8*parameters!$B$80/1000,K9*parameters!$B$80/1000)</f>
        <v>2.4871000000000003</v>
      </c>
      <c r="L19" s="352">
        <f>IF(parameters!$B$13=0,L8*parameters!$B$80/1000,L9*parameters!$B$80/1000)</f>
        <v>2.70655</v>
      </c>
      <c r="M19" s="352">
        <f>IF(parameters!$B$13=0,M8*parameters!$B$80/1000,M9*parameters!$B$80/1000)</f>
        <v>2.9260000000000002</v>
      </c>
      <c r="N19" s="352">
        <f>IF(parameters!$B$13=0,N8*parameters!$B$80/1000,N9*parameters!$B$80/1000)</f>
        <v>3.1454500000000003</v>
      </c>
      <c r="O19" s="352">
        <f>IF(parameters!$B$13=0,O8*parameters!$B$80/1000,O9*parameters!$B$80/1000)</f>
        <v>3.3649</v>
      </c>
      <c r="P19" s="352">
        <f>IF(parameters!$B$13=0,P8*parameters!$B$80/1000,P9*parameters!$B$80/1000)</f>
        <v>3.5843500000000001</v>
      </c>
      <c r="Q19" s="352">
        <f>IF(parameters!$B$13=0,Q8*parameters!$B$80/1000,Q9*parameters!$B$80/1000)</f>
        <v>3.6575000000000006</v>
      </c>
      <c r="R19" s="352">
        <f>IF(parameters!$B$13=0,R8*parameters!$B$80/1000,R9*parameters!$B$80/1000)</f>
        <v>3.6575000000000006</v>
      </c>
      <c r="S19" s="352">
        <f>IF(parameters!$B$13=0,S8*parameters!$B$80/1000,S9*parameters!$B$80/1000)</f>
        <v>3.6575000000000006</v>
      </c>
      <c r="T19" s="352">
        <f>IF(parameters!$B$13=0,T8*parameters!$B$80/1000,T9*parameters!$B$80/1000)</f>
        <v>3.6575000000000006</v>
      </c>
      <c r="U19" s="352">
        <f>IF(parameters!$B$13=0,U8*parameters!$B$80/1000,U9*parameters!$B$80/1000)</f>
        <v>3.6575000000000006</v>
      </c>
      <c r="V19" s="352">
        <f>IF(parameters!$B$13=0,V8*parameters!$B$80/1000,V9*parameters!$B$80/1000)</f>
        <v>3.6575000000000006</v>
      </c>
      <c r="W19" s="352">
        <f>IF(parameters!$B$13=0,W8*parameters!$B$80/1000,W9*parameters!$B$80/1000)</f>
        <v>3.6575000000000006</v>
      </c>
      <c r="X19" s="352">
        <f>IF(parameters!$B$13=0,X8*parameters!$B$80/1000,X9*parameters!$B$80/1000)</f>
        <v>3.6575000000000006</v>
      </c>
      <c r="Y19" s="352">
        <f>IF(parameters!$B$13=0,Y8*parameters!$B$80/1000,Y9*parameters!$B$80/1000)</f>
        <v>3.6575000000000006</v>
      </c>
      <c r="Z19" s="352">
        <f>IF(parameters!$B$13=0,Z8*parameters!$B$80/1000,Z9*parameters!$B$80/1000)</f>
        <v>3.6575000000000006</v>
      </c>
      <c r="AA19" s="352">
        <f>IF(parameters!$B$13=0,AA8*parameters!$B$80/1000,AA9*parameters!$B$80/1000)</f>
        <v>3.6575000000000006</v>
      </c>
      <c r="AB19" s="352">
        <f>IF(parameters!$B$13=0,AB8*parameters!$B$80/1000,AB9*parameters!$B$80/1000)</f>
        <v>3.6575000000000006</v>
      </c>
      <c r="AC19" s="352">
        <f>IF(parameters!$B$13=0,AC8*parameters!$B$80/1000,AC9*parameters!$B$80/1000)</f>
        <v>3.6575000000000006</v>
      </c>
      <c r="AD19" s="352">
        <f>IF(parameters!$B$13=0,AD8*parameters!$B$80/1000,AD9*parameters!$B$80/1000)</f>
        <v>3.6575000000000006</v>
      </c>
      <c r="AE19" s="352">
        <f>IF(parameters!$B$13=0,AE8*parameters!$B$80/1000,AE9*parameters!$B$80/1000)</f>
        <v>3.6575000000000006</v>
      </c>
      <c r="AF19" s="352">
        <f>IF(parameters!$B$13=0,AF8*parameters!$B$80/1000,AF9*parameters!$B$80/1000)</f>
        <v>3.6575000000000006</v>
      </c>
      <c r="AG19" s="352">
        <f>IF(parameters!$B$13=0,AG8*parameters!$B$80/1000,AG9*parameters!$B$80/1000)</f>
        <v>3.6575000000000006</v>
      </c>
    </row>
    <row r="20" spans="1:33" ht="12.9" customHeight="1">
      <c r="A20" s="38" t="s">
        <v>3</v>
      </c>
      <c r="B20" s="38" t="s">
        <v>460</v>
      </c>
      <c r="C20" s="352">
        <f>IF(parameters!$B$29="No", IF(parameters!$B$13=0,C8*parameters!$B$84/1000,C9*parameters!$B$84/1000), 0)</f>
        <v>0</v>
      </c>
      <c r="D20" s="352">
        <f>IF(parameters!$B$29="No", IF(parameters!$B$13=0,D8*parameters!$B$84/1000,D9*parameters!$B$84/1000), 0)</f>
        <v>0</v>
      </c>
      <c r="E20" s="352">
        <f>IF(parameters!$B$29="No", IF(parameters!$B$13=0,E8*parameters!$B$84/1000,E9*parameters!$B$84/1000), 0)</f>
        <v>0</v>
      </c>
      <c r="F20" s="352">
        <f>IF(parameters!$B$29="No", IF(parameters!$B$13=0,F8*parameters!$B$84/1000,F9*parameters!$B$84/1000), 0)</f>
        <v>0</v>
      </c>
      <c r="G20" s="352">
        <f>IF(parameters!$B$29="No", IF(parameters!$B$13=0,G8*parameters!$B$84/1000,G9*parameters!$B$84/1000), 0)</f>
        <v>0</v>
      </c>
      <c r="H20" s="352">
        <f>IF(parameters!$B$29="No", IF(parameters!$B$13=0,H8*parameters!$B$84/1000,H9*parameters!$B$84/1000), 0)</f>
        <v>0</v>
      </c>
      <c r="I20" s="352">
        <f>IF(parameters!$B$29="No", IF(parameters!$B$13=0,I8*parameters!$B$84/1000,I9*parameters!$B$84/1000), 0)</f>
        <v>0</v>
      </c>
      <c r="J20" s="352">
        <f>IF(parameters!$B$29="No", IF(parameters!$B$13=0,J8*parameters!$B$84/1000,J9*parameters!$B$84/1000), 0)</f>
        <v>0</v>
      </c>
      <c r="K20" s="352">
        <f>IF(parameters!$B$29="No", IF(parameters!$B$13=0,K8*parameters!$B$84/1000,K9*parameters!$B$84/1000), 0)</f>
        <v>0</v>
      </c>
      <c r="L20" s="352">
        <f>IF(parameters!$B$29="No", IF(parameters!$B$13=0,L8*parameters!$B$84/1000,L9*parameters!$B$84/1000), 0)</f>
        <v>0</v>
      </c>
      <c r="M20" s="352">
        <f>IF(parameters!$B$29="No", IF(parameters!$B$13=0,M8*parameters!$B$84/1000,M9*parameters!$B$84/1000), 0)</f>
        <v>0</v>
      </c>
      <c r="N20" s="352">
        <f>IF(parameters!$B$29="No", IF(parameters!$B$13=0,N8*parameters!$B$84/1000,N9*parameters!$B$84/1000), 0)</f>
        <v>0</v>
      </c>
      <c r="O20" s="352">
        <f>IF(parameters!$B$29="No", IF(parameters!$B$13=0,O8*parameters!$B$84/1000,O9*parameters!$B$84/1000), 0)</f>
        <v>0</v>
      </c>
      <c r="P20" s="352">
        <f>IF(parameters!$B$29="No", IF(parameters!$B$13=0,P8*parameters!$B$84/1000,P9*parameters!$B$84/1000), 0)</f>
        <v>0</v>
      </c>
      <c r="Q20" s="352">
        <f>IF(parameters!$B$29="No", IF(parameters!$B$13=0,Q8*parameters!$B$84/1000,Q9*parameters!$B$84/1000), 0)</f>
        <v>0</v>
      </c>
      <c r="R20" s="352">
        <f>IF(parameters!$B$29="No", IF(parameters!$B$13=0,R8*parameters!$B$84/1000,R9*parameters!$B$84/1000), 0)</f>
        <v>0</v>
      </c>
      <c r="S20" s="352">
        <f>IF(parameters!$B$29="No", IF(parameters!$B$13=0,S8*parameters!$B$84/1000,S9*parameters!$B$84/1000), 0)</f>
        <v>0</v>
      </c>
      <c r="T20" s="352">
        <f>IF(parameters!$B$29="No", IF(parameters!$B$13=0,T8*parameters!$B$84/1000,T9*parameters!$B$84/1000), 0)</f>
        <v>0</v>
      </c>
      <c r="U20" s="352">
        <f>IF(parameters!$B$29="No", IF(parameters!$B$13=0,U8*parameters!$B$84/1000,U9*parameters!$B$84/1000), 0)</f>
        <v>0</v>
      </c>
      <c r="V20" s="352">
        <f>IF(parameters!$B$29="No", IF(parameters!$B$13=0,V8*parameters!$B$84/1000,V9*parameters!$B$84/1000), 0)</f>
        <v>0</v>
      </c>
      <c r="W20" s="352">
        <f>IF(parameters!$B$29="No", IF(parameters!$B$13=0,W8*parameters!$B$84/1000,W9*parameters!$B$84/1000), 0)</f>
        <v>0</v>
      </c>
      <c r="X20" s="352">
        <f>IF(parameters!$B$29="No", IF(parameters!$B$13=0,X8*parameters!$B$84/1000,X9*parameters!$B$84/1000), 0)</f>
        <v>0</v>
      </c>
      <c r="Y20" s="352">
        <f>IF(parameters!$B$29="No", IF(parameters!$B$13=0,Y8*parameters!$B$84/1000,Y9*parameters!$B$84/1000), 0)</f>
        <v>0</v>
      </c>
      <c r="Z20" s="352">
        <f>IF(parameters!$B$29="No", IF(parameters!$B$13=0,Z8*parameters!$B$84/1000,Z9*parameters!$B$84/1000), 0)</f>
        <v>0</v>
      </c>
      <c r="AA20" s="352">
        <f>IF(parameters!$B$29="No", IF(parameters!$B$13=0,AA8*parameters!$B$84/1000,AA9*parameters!$B$84/1000), 0)</f>
        <v>0</v>
      </c>
      <c r="AB20" s="352">
        <f>IF(parameters!$B$29="No", IF(parameters!$B$13=0,AB8*parameters!$B$84/1000,AB9*parameters!$B$84/1000), 0)</f>
        <v>0</v>
      </c>
      <c r="AC20" s="352">
        <f>IF(parameters!$B$29="No", IF(parameters!$B$13=0,AC8*parameters!$B$84/1000,AC9*parameters!$B$84/1000), 0)</f>
        <v>0</v>
      </c>
      <c r="AD20" s="352">
        <f>IF(parameters!$B$29="No", IF(parameters!$B$13=0,AD8*parameters!$B$84/1000,AD9*parameters!$B$84/1000), 0)</f>
        <v>0</v>
      </c>
      <c r="AE20" s="352">
        <f>IF(parameters!$B$29="No", IF(parameters!$B$13=0,AE8*parameters!$B$84/1000,AE9*parameters!$B$84/1000), 0)</f>
        <v>0</v>
      </c>
      <c r="AF20" s="352">
        <f>IF(parameters!$B$29="No", IF(parameters!$B$13=0,AF8*parameters!$B$84/1000,AF9*parameters!$B$84/1000), 0)</f>
        <v>0</v>
      </c>
      <c r="AG20" s="352">
        <f>IF(parameters!$B$29="No", IF(parameters!$B$13=0,AG8*parameters!$B$84/1000,AG9*parameters!$B$84/1000), 0)</f>
        <v>0</v>
      </c>
    </row>
    <row r="21" spans="1:33" ht="12.9" customHeight="1">
      <c r="A21" s="38" t="s">
        <v>73</v>
      </c>
      <c r="B21" s="38" t="s">
        <v>460</v>
      </c>
      <c r="C21" s="352">
        <f>IF(parameters!$B$13=0,C8*parameters!$B$87/1000,C9*parameters!$B$87/1000)</f>
        <v>0.62279999999999991</v>
      </c>
      <c r="D21" s="352">
        <f>IF(parameters!$B$13=0,D8*parameters!$B$87/1000,D9*parameters!$B$87/1000)</f>
        <v>0.80964000000000003</v>
      </c>
      <c r="E21" s="352">
        <f>IF(parameters!$B$13=0,E8*parameters!$B$87/1000,E9*parameters!$B$87/1000)</f>
        <v>0.99648000000000003</v>
      </c>
      <c r="F21" s="352">
        <f>IF(parameters!$B$13=0,F8*parameters!$B$87/1000,F9*parameters!$B$87/1000)</f>
        <v>1.1833199999999999</v>
      </c>
      <c r="G21" s="352">
        <f>IF(parameters!$B$13=0,G8*parameters!$B$87/1000,G9*parameters!$B$87/1000)</f>
        <v>1.37016</v>
      </c>
      <c r="H21" s="352">
        <f>IF(parameters!$B$13=0,H8*parameters!$B$87/1000,H9*parameters!$B$87/1000)</f>
        <v>1.5569999999999999</v>
      </c>
      <c r="I21" s="352">
        <f>IF(parameters!$B$13=0,I8*parameters!$B$87/1000,I9*parameters!$B$87/1000)</f>
        <v>1.7438400000000001</v>
      </c>
      <c r="J21" s="352">
        <f>IF(parameters!$B$13=0,J8*parameters!$B$87/1000,J9*parameters!$B$87/1000)</f>
        <v>1.9306800000000002</v>
      </c>
      <c r="K21" s="352">
        <f>IF(parameters!$B$13=0,K8*parameters!$B$87/1000,K9*parameters!$B$87/1000)</f>
        <v>2.1175199999999998</v>
      </c>
      <c r="L21" s="352">
        <f>IF(parameters!$B$13=0,L8*parameters!$B$87/1000,L9*parameters!$B$87/1000)</f>
        <v>2.30436</v>
      </c>
      <c r="M21" s="352">
        <f>IF(parameters!$B$13=0,M8*parameters!$B$87/1000,M9*parameters!$B$87/1000)</f>
        <v>2.4911999999999996</v>
      </c>
      <c r="N21" s="352">
        <f>IF(parameters!$B$13=0,N8*parameters!$B$87/1000,N9*parameters!$B$87/1000)</f>
        <v>2.6780399999999998</v>
      </c>
      <c r="O21" s="352">
        <f>IF(parameters!$B$13=0,O8*parameters!$B$87/1000,O9*parameters!$B$87/1000)</f>
        <v>2.8648800000000003</v>
      </c>
      <c r="P21" s="352">
        <f>IF(parameters!$B$13=0,P8*parameters!$B$87/1000,P9*parameters!$B$87/1000)</f>
        <v>3.0517200000000004</v>
      </c>
      <c r="Q21" s="352">
        <f>IF(parameters!$B$13=0,Q8*parameters!$B$87/1000,Q9*parameters!$B$87/1000)</f>
        <v>3.1139999999999999</v>
      </c>
      <c r="R21" s="352">
        <f>IF(parameters!$B$13=0,R8*parameters!$B$87/1000,R9*parameters!$B$87/1000)</f>
        <v>3.1139999999999999</v>
      </c>
      <c r="S21" s="352">
        <f>IF(parameters!$B$13=0,S8*parameters!$B$87/1000,S9*parameters!$B$87/1000)</f>
        <v>3.1139999999999999</v>
      </c>
      <c r="T21" s="352">
        <f>IF(parameters!$B$13=0,T8*parameters!$B$87/1000,T9*parameters!$B$87/1000)</f>
        <v>3.1139999999999999</v>
      </c>
      <c r="U21" s="352">
        <f>IF(parameters!$B$13=0,U8*parameters!$B$87/1000,U9*parameters!$B$87/1000)</f>
        <v>3.1139999999999999</v>
      </c>
      <c r="V21" s="352">
        <f>IF(parameters!$B$13=0,V8*parameters!$B$87/1000,V9*parameters!$B$87/1000)</f>
        <v>3.1139999999999999</v>
      </c>
      <c r="W21" s="352">
        <f>IF(parameters!$B$13=0,W8*parameters!$B$87/1000,W9*parameters!$B$87/1000)</f>
        <v>3.1139999999999999</v>
      </c>
      <c r="X21" s="352">
        <f>IF(parameters!$B$13=0,X8*parameters!$B$87/1000,X9*parameters!$B$87/1000)</f>
        <v>3.1139999999999999</v>
      </c>
      <c r="Y21" s="352">
        <f>IF(parameters!$B$13=0,Y8*parameters!$B$87/1000,Y9*parameters!$B$87/1000)</f>
        <v>3.1139999999999999</v>
      </c>
      <c r="Z21" s="352">
        <f>IF(parameters!$B$13=0,Z8*parameters!$B$87/1000,Z9*parameters!$B$87/1000)</f>
        <v>3.1139999999999999</v>
      </c>
      <c r="AA21" s="352">
        <f>IF(parameters!$B$13=0,AA8*parameters!$B$87/1000,AA9*parameters!$B$87/1000)</f>
        <v>3.1139999999999999</v>
      </c>
      <c r="AB21" s="352">
        <f>IF(parameters!$B$13=0,AB8*parameters!$B$87/1000,AB9*parameters!$B$87/1000)</f>
        <v>3.1139999999999999</v>
      </c>
      <c r="AC21" s="352">
        <f>IF(parameters!$B$13=0,AC8*parameters!$B$87/1000,AC9*parameters!$B$87/1000)</f>
        <v>3.1139999999999999</v>
      </c>
      <c r="AD21" s="352">
        <f>IF(parameters!$B$13=0,AD8*parameters!$B$87/1000,AD9*parameters!$B$87/1000)</f>
        <v>3.1139999999999999</v>
      </c>
      <c r="AE21" s="352">
        <f>IF(parameters!$B$13=0,AE8*parameters!$B$87/1000,AE9*parameters!$B$87/1000)</f>
        <v>3.1139999999999999</v>
      </c>
      <c r="AF21" s="352">
        <f>IF(parameters!$B$13=0,AF8*parameters!$B$87/1000,AF9*parameters!$B$87/1000)</f>
        <v>3.1139999999999999</v>
      </c>
      <c r="AG21" s="352">
        <f>IF(parameters!$B$13=0,AG8*parameters!$B$87/1000,AG9*parameters!$B$87/1000)</f>
        <v>3.1139999999999999</v>
      </c>
    </row>
    <row r="22" spans="1:33" ht="12.9" customHeight="1">
      <c r="A22" s="38" t="s">
        <v>74</v>
      </c>
      <c r="B22" s="38" t="s">
        <v>460</v>
      </c>
      <c r="C22" s="352">
        <f>IF(parameters!$B$13=0,C8*parameters!$B$92/1000,C9*parameters!$B$92/1000)</f>
        <v>0.14789999999999998</v>
      </c>
      <c r="D22" s="352">
        <f>IF(parameters!$B$13=0,D8*parameters!$B$92/1000,D9*parameters!$B$92/1000)</f>
        <v>0.19226999999999997</v>
      </c>
      <c r="E22" s="352">
        <f>IF(parameters!$B$13=0,E8*parameters!$B$92/1000,E9*parameters!$B$92/1000)</f>
        <v>0.23663999999999999</v>
      </c>
      <c r="F22" s="352">
        <f>IF(parameters!$B$13=0,F8*parameters!$B$92/1000,F9*parameters!$B$92/1000)</f>
        <v>0.28100999999999998</v>
      </c>
      <c r="G22" s="352">
        <f>IF(parameters!$B$13=0,G8*parameters!$B$92/1000,G9*parameters!$B$92/1000)</f>
        <v>0.32538</v>
      </c>
      <c r="H22" s="352">
        <f>IF(parameters!$B$13=0,H8*parameters!$B$92/1000,H9*parameters!$B$92/1000)</f>
        <v>0.36975000000000002</v>
      </c>
      <c r="I22" s="352">
        <f>IF(parameters!$B$13=0,I8*parameters!$B$92/1000,I9*parameters!$B$92/1000)</f>
        <v>0.41411999999999999</v>
      </c>
      <c r="J22" s="352">
        <f>IF(parameters!$B$13=0,J8*parameters!$B$92/1000,J9*parameters!$B$92/1000)</f>
        <v>0.45848999999999995</v>
      </c>
      <c r="K22" s="352">
        <f>IF(parameters!$B$13=0,K8*parameters!$B$92/1000,K9*parameters!$B$92/1000)</f>
        <v>0.50285999999999997</v>
      </c>
      <c r="L22" s="352">
        <f>IF(parameters!$B$13=0,L8*parameters!$B$92/1000,L9*parameters!$B$92/1000)</f>
        <v>0.54722999999999999</v>
      </c>
      <c r="M22" s="352">
        <f>IF(parameters!$B$13=0,M8*parameters!$B$92/1000,M9*parameters!$B$92/1000)</f>
        <v>0.5915999999999999</v>
      </c>
      <c r="N22" s="352">
        <f>IF(parameters!$B$13=0,N8*parameters!$B$92/1000,N9*parameters!$B$92/1000)</f>
        <v>0.63596999999999992</v>
      </c>
      <c r="O22" s="352">
        <f>IF(parameters!$B$13=0,O8*parameters!$B$92/1000,O9*parameters!$B$92/1000)</f>
        <v>0.68033999999999994</v>
      </c>
      <c r="P22" s="352">
        <f>IF(parameters!$B$13=0,P8*parameters!$B$92/1000,P9*parameters!$B$92/1000)</f>
        <v>0.72470999999999997</v>
      </c>
      <c r="Q22" s="352">
        <f>IF(parameters!$B$13=0,Q8*parameters!$B$92/1000,Q9*parameters!$B$92/1000)</f>
        <v>0.73950000000000005</v>
      </c>
      <c r="R22" s="352">
        <f>IF(parameters!$B$13=0,R8*parameters!$B$92/1000,R9*parameters!$B$92/1000)</f>
        <v>0.73950000000000005</v>
      </c>
      <c r="S22" s="352">
        <f>IF(parameters!$B$13=0,S8*parameters!$B$92/1000,S9*parameters!$B$92/1000)</f>
        <v>0.73950000000000005</v>
      </c>
      <c r="T22" s="352">
        <f>IF(parameters!$B$13=0,T8*parameters!$B$92/1000,T9*parameters!$B$92/1000)</f>
        <v>0.73950000000000005</v>
      </c>
      <c r="U22" s="352">
        <f>IF(parameters!$B$13=0,U8*parameters!$B$92/1000,U9*parameters!$B$92/1000)</f>
        <v>0.73950000000000005</v>
      </c>
      <c r="V22" s="352">
        <f>IF(parameters!$B$13=0,V8*parameters!$B$92/1000,V9*parameters!$B$92/1000)</f>
        <v>0.73950000000000005</v>
      </c>
      <c r="W22" s="352">
        <f>IF(parameters!$B$13=0,W8*parameters!$B$92/1000,W9*parameters!$B$92/1000)</f>
        <v>0.73950000000000005</v>
      </c>
      <c r="X22" s="352">
        <f>IF(parameters!$B$13=0,X8*parameters!$B$92/1000,X9*parameters!$B$92/1000)</f>
        <v>0.73950000000000005</v>
      </c>
      <c r="Y22" s="352">
        <f>IF(parameters!$B$13=0,Y8*parameters!$B$92/1000,Y9*parameters!$B$92/1000)</f>
        <v>0.73950000000000005</v>
      </c>
      <c r="Z22" s="352">
        <f>IF(parameters!$B$13=0,Z8*parameters!$B$92/1000,Z9*parameters!$B$92/1000)</f>
        <v>0.73950000000000005</v>
      </c>
      <c r="AA22" s="352">
        <f>IF(parameters!$B$13=0,AA8*parameters!$B$92/1000,AA9*parameters!$B$92/1000)</f>
        <v>0.73950000000000005</v>
      </c>
      <c r="AB22" s="352">
        <f>IF(parameters!$B$13=0,AB8*parameters!$B$92/1000,AB9*parameters!$B$92/1000)</f>
        <v>0.73950000000000005</v>
      </c>
      <c r="AC22" s="352">
        <f>IF(parameters!$B$13=0,AC8*parameters!$B$92/1000,AC9*parameters!$B$92/1000)</f>
        <v>0.73950000000000005</v>
      </c>
      <c r="AD22" s="352">
        <f>IF(parameters!$B$13=0,AD8*parameters!$B$92/1000,AD9*parameters!$B$92/1000)</f>
        <v>0.73950000000000005</v>
      </c>
      <c r="AE22" s="352">
        <f>IF(parameters!$B$13=0,AE8*parameters!$B$92/1000,AE9*parameters!$B$92/1000)</f>
        <v>0.73950000000000005</v>
      </c>
      <c r="AF22" s="352">
        <f>IF(parameters!$B$13=0,AF8*parameters!$B$92/1000,AF9*parameters!$B$92/1000)</f>
        <v>0.73950000000000005</v>
      </c>
      <c r="AG22" s="352">
        <f>IF(parameters!$B$13=0,AG8*parameters!$B$92/1000,AG9*parameters!$B$92/1000)</f>
        <v>0.73950000000000005</v>
      </c>
    </row>
    <row r="23" spans="1:33" s="209" customFormat="1" ht="12.9" customHeight="1">
      <c r="A23" s="38" t="s">
        <v>1119</v>
      </c>
      <c r="B23" s="38" t="s">
        <v>460</v>
      </c>
      <c r="C23" s="352">
        <f>IF(parameters!$B$13=0,C8*parameters!$B$94/1000,C9*parameters!$B$94/1000)</f>
        <v>0.78800000000000003</v>
      </c>
      <c r="D23" s="352">
        <f>IF(parameters!$B$13=0,D8*parameters!$B$94/1000,D9*parameters!$B$94/1000)</f>
        <v>1.0243999999999998</v>
      </c>
      <c r="E23" s="352">
        <f>IF(parameters!$B$13=0,E8*parameters!$B$94/1000,E9*parameters!$B$94/1000)</f>
        <v>1.2607999999999999</v>
      </c>
      <c r="F23" s="352">
        <f>IF(parameters!$B$13=0,F8*parameters!$B$94/1000,F9*parameters!$B$94/1000)</f>
        <v>1.4972000000000001</v>
      </c>
      <c r="G23" s="352">
        <f>IF(parameters!$B$13=0,G8*parameters!$B$94/1000,G9*parameters!$B$94/1000)</f>
        <v>1.7335999999999998</v>
      </c>
      <c r="H23" s="352">
        <f>IF(parameters!$B$13=0,H8*parameters!$B$94/1000,H9*parameters!$B$94/1000)</f>
        <v>1.97</v>
      </c>
      <c r="I23" s="352">
        <f>IF(parameters!$B$13=0,I8*parameters!$B$94/1000,I9*parameters!$B$94/1000)</f>
        <v>2.2063999999999999</v>
      </c>
      <c r="J23" s="352">
        <f>IF(parameters!$B$13=0,J8*parameters!$B$94/1000,J9*parameters!$B$94/1000)</f>
        <v>2.4427999999999996</v>
      </c>
      <c r="K23" s="352">
        <f>IF(parameters!$B$13=0,K8*parameters!$B$94/1000,K9*parameters!$B$94/1000)</f>
        <v>2.6791999999999998</v>
      </c>
      <c r="L23" s="352">
        <f>IF(parameters!$B$13=0,L8*parameters!$B$94/1000,L9*parameters!$B$94/1000)</f>
        <v>2.9156</v>
      </c>
      <c r="M23" s="352">
        <f>IF(parameters!$B$13=0,M8*parameters!$B$94/1000,M9*parameters!$B$94/1000)</f>
        <v>3.1520000000000001</v>
      </c>
      <c r="N23" s="352">
        <f>IF(parameters!$B$13=0,N8*parameters!$B$94/1000,N9*parameters!$B$94/1000)</f>
        <v>3.3884000000000003</v>
      </c>
      <c r="O23" s="352">
        <f>IF(parameters!$B$13=0,O8*parameters!$B$94/1000,O9*parameters!$B$94/1000)</f>
        <v>3.6247999999999996</v>
      </c>
      <c r="P23" s="352">
        <f>IF(parameters!$B$13=0,P8*parameters!$B$94/1000,P9*parameters!$B$94/1000)</f>
        <v>3.8611999999999997</v>
      </c>
      <c r="Q23" s="352">
        <f>IF(parameters!$B$13=0,Q8*parameters!$B$94/1000,Q9*parameters!$B$94/1000)</f>
        <v>3.94</v>
      </c>
      <c r="R23" s="352">
        <f>IF(parameters!$B$13=0,R8*parameters!$B$94/1000,R9*parameters!$B$94/1000)</f>
        <v>3.94</v>
      </c>
      <c r="S23" s="352">
        <f>IF(parameters!$B$13=0,S8*parameters!$B$94/1000,S9*parameters!$B$94/1000)</f>
        <v>3.94</v>
      </c>
      <c r="T23" s="352">
        <f>IF(parameters!$B$13=0,T8*parameters!$B$94/1000,T9*parameters!$B$94/1000)</f>
        <v>3.94</v>
      </c>
      <c r="U23" s="352">
        <f>IF(parameters!$B$13=0,U8*parameters!$B$94/1000,U9*parameters!$B$94/1000)</f>
        <v>3.94</v>
      </c>
      <c r="V23" s="352">
        <f>IF(parameters!$B$13=0,V8*parameters!$B$94/1000,V9*parameters!$B$94/1000)</f>
        <v>3.94</v>
      </c>
      <c r="W23" s="352">
        <f>IF(parameters!$B$13=0,W8*parameters!$B$94/1000,W9*parameters!$B$94/1000)</f>
        <v>3.94</v>
      </c>
      <c r="X23" s="352">
        <f>IF(parameters!$B$13=0,X8*parameters!$B$94/1000,X9*parameters!$B$94/1000)</f>
        <v>3.94</v>
      </c>
      <c r="Y23" s="352">
        <f>IF(parameters!$B$13=0,Y8*parameters!$B$94/1000,Y9*parameters!$B$94/1000)</f>
        <v>3.94</v>
      </c>
      <c r="Z23" s="352">
        <f>IF(parameters!$B$13=0,Z8*parameters!$B$94/1000,Z9*parameters!$B$94/1000)</f>
        <v>3.94</v>
      </c>
      <c r="AA23" s="352">
        <f>IF(parameters!$B$13=0,AA8*parameters!$B$94/1000,AA9*parameters!$B$94/1000)</f>
        <v>3.94</v>
      </c>
      <c r="AB23" s="352">
        <f>IF(parameters!$B$13=0,AB8*parameters!$B$94/1000,AB9*parameters!$B$94/1000)</f>
        <v>3.94</v>
      </c>
      <c r="AC23" s="352">
        <f>IF(parameters!$B$13=0,AC8*parameters!$B$94/1000,AC9*parameters!$B$94/1000)</f>
        <v>3.94</v>
      </c>
      <c r="AD23" s="352">
        <f>IF(parameters!$B$13=0,AD8*parameters!$B$94/1000,AD9*parameters!$B$94/1000)</f>
        <v>3.94</v>
      </c>
      <c r="AE23" s="352">
        <f>IF(parameters!$B$13=0,AE8*parameters!$B$94/1000,AE9*parameters!$B$94/1000)</f>
        <v>3.94</v>
      </c>
      <c r="AF23" s="352">
        <f>IF(parameters!$B$13=0,AF8*parameters!$B$94/1000,AF9*parameters!$B$94/1000)</f>
        <v>3.94</v>
      </c>
      <c r="AG23" s="352">
        <f>IF(parameters!$B$13=0,AG8*parameters!$B$94/1000,AG9*parameters!$B$94/1000)</f>
        <v>3.94</v>
      </c>
    </row>
    <row r="24" spans="1:33" ht="12.9" customHeight="1">
      <c r="A24" s="38" t="s">
        <v>42</v>
      </c>
      <c r="B24" s="38" t="s">
        <v>460</v>
      </c>
      <c r="C24" s="352">
        <f>IF(parameters!$B$30="No", IF(parameters!$B$13=0,C8*parameters!$B$94/1000,C9*parameters!$B$94/1000), 0)</f>
        <v>0</v>
      </c>
      <c r="D24" s="352">
        <f>IF(parameters!$B$30="No", IF(parameters!$B$13=0,D8*parameters!$B$94/1000,D9*parameters!$B$94/1000), 0)</f>
        <v>0</v>
      </c>
      <c r="E24" s="352">
        <f>IF(parameters!$B$30="No", IF(parameters!$B$13=0,E8*parameters!$B$94/1000,E9*parameters!$B$94/1000), 0)</f>
        <v>0</v>
      </c>
      <c r="F24" s="352">
        <f>IF(parameters!$B$30="No", IF(parameters!$B$13=0,F8*parameters!$B$94/1000,F9*parameters!$B$94/1000), 0)</f>
        <v>0</v>
      </c>
      <c r="G24" s="352">
        <f>IF(parameters!$B$30="No", IF(parameters!$B$13=0,G8*parameters!$B$94/1000,G9*parameters!$B$94/1000), 0)</f>
        <v>0</v>
      </c>
      <c r="H24" s="352">
        <f>IF(parameters!$B$30="No", IF(parameters!$B$13=0,H8*parameters!$B$94/1000,H9*parameters!$B$94/1000), 0)</f>
        <v>0</v>
      </c>
      <c r="I24" s="352">
        <f>IF(parameters!$B$30="No", IF(parameters!$B$13=0,I8*parameters!$B$94/1000,I9*parameters!$B$94/1000), 0)</f>
        <v>0</v>
      </c>
      <c r="J24" s="352">
        <f>IF(parameters!$B$30="No", IF(parameters!$B$13=0,J8*parameters!$B$94/1000,J9*parameters!$B$94/1000), 0)</f>
        <v>0</v>
      </c>
      <c r="K24" s="352">
        <f>IF(parameters!$B$30="No", IF(parameters!$B$13=0,K8*parameters!$B$94/1000,K9*parameters!$B$94/1000), 0)</f>
        <v>0</v>
      </c>
      <c r="L24" s="352">
        <f>IF(parameters!$B$30="No", IF(parameters!$B$13=0,L8*parameters!$B$94/1000,L9*parameters!$B$94/1000), 0)</f>
        <v>0</v>
      </c>
      <c r="M24" s="352">
        <f>IF(parameters!$B$30="No", IF(parameters!$B$13=0,M8*parameters!$B$94/1000,M9*parameters!$B$94/1000), 0)</f>
        <v>0</v>
      </c>
      <c r="N24" s="352">
        <f>IF(parameters!$B$30="No", IF(parameters!$B$13=0,N8*parameters!$B$94/1000,N9*parameters!$B$94/1000), 0)</f>
        <v>0</v>
      </c>
      <c r="O24" s="352">
        <f>IF(parameters!$B$30="No", IF(parameters!$B$13=0,O8*parameters!$B$94/1000,O9*parameters!$B$94/1000), 0)</f>
        <v>0</v>
      </c>
      <c r="P24" s="352">
        <f>IF(parameters!$B$30="No", IF(parameters!$B$13=0,P8*parameters!$B$94/1000,P9*parameters!$B$94/1000), 0)</f>
        <v>0</v>
      </c>
      <c r="Q24" s="352">
        <f>IF(parameters!$B$30="No", IF(parameters!$B$13=0,Q8*parameters!$B$94/1000,Q9*parameters!$B$94/1000), 0)</f>
        <v>0</v>
      </c>
      <c r="R24" s="352">
        <f>IF(parameters!$B$30="No", IF(parameters!$B$13=0,R8*parameters!$B$94/1000,R9*parameters!$B$94/1000), 0)</f>
        <v>0</v>
      </c>
      <c r="S24" s="352">
        <f>IF(parameters!$B$30="No", IF(parameters!$B$13=0,S8*parameters!$B$94/1000,S9*parameters!$B$94/1000), 0)</f>
        <v>0</v>
      </c>
      <c r="T24" s="352">
        <f>IF(parameters!$B$30="No", IF(parameters!$B$13=0,T8*parameters!$B$94/1000,T9*parameters!$B$94/1000), 0)</f>
        <v>0</v>
      </c>
      <c r="U24" s="352">
        <f>IF(parameters!$B$30="No", IF(parameters!$B$13=0,U8*parameters!$B$94/1000,U9*parameters!$B$94/1000), 0)</f>
        <v>0</v>
      </c>
      <c r="V24" s="352">
        <f>IF(parameters!$B$30="No", IF(parameters!$B$13=0,V8*parameters!$B$94/1000,V9*parameters!$B$94/1000), 0)</f>
        <v>0</v>
      </c>
      <c r="W24" s="352">
        <f>IF(parameters!$B$30="No", IF(parameters!$B$13=0,W8*parameters!$B$94/1000,W9*parameters!$B$94/1000), 0)</f>
        <v>0</v>
      </c>
      <c r="X24" s="352">
        <f>IF(parameters!$B$30="No", IF(parameters!$B$13=0,X8*parameters!$B$94/1000,X9*parameters!$B$94/1000), 0)</f>
        <v>0</v>
      </c>
      <c r="Y24" s="352">
        <f>IF(parameters!$B$30="No", IF(parameters!$B$13=0,Y8*parameters!$B$94/1000,Y9*parameters!$B$94/1000), 0)</f>
        <v>0</v>
      </c>
      <c r="Z24" s="352">
        <f>IF(parameters!$B$30="No", IF(parameters!$B$13=0,Z8*parameters!$B$94/1000,Z9*parameters!$B$94/1000), 0)</f>
        <v>0</v>
      </c>
      <c r="AA24" s="352">
        <f>IF(parameters!$B$30="No", IF(parameters!$B$13=0,AA8*parameters!$B$94/1000,AA9*parameters!$B$94/1000), 0)</f>
        <v>0</v>
      </c>
      <c r="AB24" s="352">
        <f>IF(parameters!$B$30="No", IF(parameters!$B$13=0,AB8*parameters!$B$94/1000,AB9*parameters!$B$94/1000), 0)</f>
        <v>0</v>
      </c>
      <c r="AC24" s="352">
        <f>IF(parameters!$B$30="No", IF(parameters!$B$13=0,AC8*parameters!$B$94/1000,AC9*parameters!$B$94/1000), 0)</f>
        <v>0</v>
      </c>
      <c r="AD24" s="352">
        <f>IF(parameters!$B$30="No", IF(parameters!$B$13=0,AD8*parameters!$B$94/1000,AD9*parameters!$B$94/1000), 0)</f>
        <v>0</v>
      </c>
      <c r="AE24" s="352">
        <f>IF(parameters!$B$30="No", IF(parameters!$B$13=0,AE8*parameters!$B$94/1000,AE9*parameters!$B$94/1000), 0)</f>
        <v>0</v>
      </c>
      <c r="AF24" s="352">
        <f>IF(parameters!$B$30="No", IF(parameters!$B$13=0,AF8*parameters!$B$94/1000,AF9*parameters!$B$94/1000), 0)</f>
        <v>0</v>
      </c>
      <c r="AG24" s="352">
        <f>IF(parameters!$B$30="No", IF(parameters!$B$13=0,AG8*parameters!$B$94/1000,AG9*parameters!$B$94/1000), 0)</f>
        <v>0</v>
      </c>
    </row>
    <row r="25" spans="1:33" ht="12.9" customHeight="1">
      <c r="A25" s="38"/>
      <c r="B25" s="38"/>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row>
    <row r="26" spans="1:33" s="291" customFormat="1" ht="12.9" customHeight="1">
      <c r="A26" s="347" t="s">
        <v>461</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c r="AG26" s="349"/>
    </row>
    <row r="27" spans="1:33" s="377" customFormat="1" ht="12.9" customHeight="1">
      <c r="A27" s="379" t="s">
        <v>432</v>
      </c>
      <c r="B27" s="379" t="s">
        <v>429</v>
      </c>
      <c r="C27" s="379">
        <v>2020</v>
      </c>
      <c r="D27" s="379">
        <v>2021</v>
      </c>
      <c r="E27" s="379">
        <v>2022</v>
      </c>
      <c r="F27" s="379">
        <v>2023</v>
      </c>
      <c r="G27" s="379">
        <v>2024</v>
      </c>
      <c r="H27" s="379">
        <v>2025</v>
      </c>
      <c r="I27" s="379">
        <v>2026</v>
      </c>
      <c r="J27" s="379">
        <v>2027</v>
      </c>
      <c r="K27" s="379">
        <v>2028</v>
      </c>
      <c r="L27" s="379">
        <v>2029</v>
      </c>
      <c r="M27" s="379">
        <v>2030</v>
      </c>
      <c r="N27" s="379">
        <v>2031</v>
      </c>
      <c r="O27" s="379">
        <v>2032</v>
      </c>
      <c r="P27" s="379">
        <v>2033</v>
      </c>
      <c r="Q27" s="379">
        <v>2034</v>
      </c>
      <c r="R27" s="379">
        <v>2035</v>
      </c>
      <c r="S27" s="379">
        <v>2036</v>
      </c>
      <c r="T27" s="379">
        <v>2037</v>
      </c>
      <c r="U27" s="379">
        <v>2038</v>
      </c>
      <c r="V27" s="379">
        <v>2039</v>
      </c>
      <c r="W27" s="379">
        <v>2040</v>
      </c>
      <c r="X27" s="379">
        <v>2041</v>
      </c>
      <c r="Y27" s="379">
        <v>2042</v>
      </c>
      <c r="Z27" s="379">
        <v>2043</v>
      </c>
      <c r="AA27" s="379">
        <v>2044</v>
      </c>
      <c r="AB27" s="379">
        <v>2045</v>
      </c>
      <c r="AC27" s="379">
        <v>2046</v>
      </c>
      <c r="AD27" s="379">
        <v>2047</v>
      </c>
      <c r="AE27" s="379">
        <v>2048</v>
      </c>
      <c r="AF27" s="379">
        <v>2049</v>
      </c>
      <c r="AG27" s="379">
        <v>2050</v>
      </c>
    </row>
    <row r="28" spans="1:33" ht="12.9" customHeight="1">
      <c r="A28" s="38"/>
      <c r="B28" s="38"/>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row>
    <row r="29" spans="1:33" ht="12.9" customHeight="1">
      <c r="A29" s="407" t="s">
        <v>467</v>
      </c>
      <c r="C29" s="45"/>
      <c r="D29" s="45"/>
      <c r="E29" s="45"/>
      <c r="F29" s="45"/>
      <c r="G29" s="45"/>
      <c r="H29" s="45"/>
      <c r="I29" s="45"/>
      <c r="J29" s="45"/>
      <c r="K29" s="45"/>
      <c r="L29" s="45"/>
      <c r="M29" s="45"/>
      <c r="N29" s="45"/>
      <c r="O29" s="45"/>
      <c r="P29" s="45"/>
      <c r="Q29" s="45"/>
      <c r="R29" s="45"/>
      <c r="S29" s="45"/>
      <c r="T29" s="45"/>
      <c r="U29" s="45"/>
      <c r="V29" s="45"/>
      <c r="W29" s="45"/>
      <c r="X29" s="130"/>
      <c r="Y29" s="130"/>
      <c r="Z29" s="130"/>
      <c r="AA29" s="130"/>
      <c r="AB29" s="130"/>
      <c r="AC29" s="130"/>
      <c r="AD29" s="130"/>
      <c r="AE29" s="130"/>
      <c r="AF29" s="130"/>
      <c r="AG29" s="130"/>
    </row>
    <row r="30" spans="1:33" s="408" customFormat="1" ht="12.9" customHeight="1">
      <c r="A30" s="122" t="s">
        <v>1359</v>
      </c>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row>
    <row r="31" spans="1:33" ht="12.9" customHeight="1">
      <c r="A31" s="385" t="s">
        <v>82</v>
      </c>
      <c r="B31" s="38" t="s">
        <v>464</v>
      </c>
      <c r="C31" s="310">
        <f>MIN(1,C$7/elasticities!$I$6)</f>
        <v>0.1</v>
      </c>
      <c r="D31" s="310">
        <f>MIN(1,D$7/elasticities!$I$6)</f>
        <v>0.2</v>
      </c>
      <c r="E31" s="310">
        <f>MIN(1,E$7/elasticities!$I$6)</f>
        <v>0.3</v>
      </c>
      <c r="F31" s="310">
        <f>MIN(1,F$7/elasticities!$I$6)</f>
        <v>0.4</v>
      </c>
      <c r="G31" s="310">
        <f>MIN(1,G$7/elasticities!$I$6)</f>
        <v>0.5</v>
      </c>
      <c r="H31" s="310">
        <f>MIN(1,H$7/elasticities!$I$6)</f>
        <v>0.6</v>
      </c>
      <c r="I31" s="310">
        <f>MIN(1,I$7/elasticities!$I$6)</f>
        <v>0.7</v>
      </c>
      <c r="J31" s="310">
        <f>MIN(1,J$7/elasticities!$I$6)</f>
        <v>0.8</v>
      </c>
      <c r="K31" s="310">
        <f>MIN(1,K$7/elasticities!$I$6)</f>
        <v>0.9</v>
      </c>
      <c r="L31" s="310">
        <f>MIN(1,L$7/elasticities!$I$6)</f>
        <v>1</v>
      </c>
      <c r="M31" s="310">
        <f>MIN(1,M$7/elasticities!$I$6)</f>
        <v>1</v>
      </c>
      <c r="N31" s="310">
        <f>MIN(1,N$7/elasticities!$I$6)</f>
        <v>1</v>
      </c>
      <c r="O31" s="310">
        <f>MIN(1,O$7/elasticities!$I$6)</f>
        <v>1</v>
      </c>
      <c r="P31" s="310">
        <f>MIN(1,P$7/elasticities!$I$6)</f>
        <v>1</v>
      </c>
      <c r="Q31" s="310">
        <f>MIN(1,Q$7/elasticities!$I$6)</f>
        <v>1</v>
      </c>
      <c r="R31" s="310">
        <f>MIN(1,R$7/elasticities!$I$6)</f>
        <v>1</v>
      </c>
      <c r="S31" s="310">
        <f>MIN(1,S$7/elasticities!$I$6)</f>
        <v>1</v>
      </c>
      <c r="T31" s="310">
        <f>MIN(1,T$7/elasticities!$I$6)</f>
        <v>1</v>
      </c>
      <c r="U31" s="310">
        <f>MIN(1,U$7/elasticities!$I$6)</f>
        <v>1</v>
      </c>
      <c r="V31" s="310">
        <f>MIN(1,V$7/elasticities!$I$6)</f>
        <v>1</v>
      </c>
      <c r="W31" s="310">
        <f>MIN(1,W$7/elasticities!$I$6)</f>
        <v>1</v>
      </c>
      <c r="X31" s="310">
        <f>MIN(1,X$7/elasticities!$I$6)</f>
        <v>1</v>
      </c>
      <c r="Y31" s="310">
        <f>MIN(1,Y$7/elasticities!$I$6)</f>
        <v>1</v>
      </c>
      <c r="Z31" s="310">
        <f>MIN(1,Z$7/elasticities!$I$6)</f>
        <v>1</v>
      </c>
      <c r="AA31" s="310">
        <f>MIN(1,AA$7/elasticities!$I$6)</f>
        <v>1</v>
      </c>
      <c r="AB31" s="310">
        <f>MIN(1,AB$7/elasticities!$I$6)</f>
        <v>1</v>
      </c>
      <c r="AC31" s="310">
        <f>MIN(1,AC$7/elasticities!$I$6)</f>
        <v>1</v>
      </c>
      <c r="AD31" s="310">
        <f>MIN(1,AD$7/elasticities!$I$6)</f>
        <v>1</v>
      </c>
      <c r="AE31" s="310">
        <f>MIN(1,AE$7/elasticities!$I$6)</f>
        <v>1</v>
      </c>
      <c r="AF31" s="310">
        <f>MIN(1,AF$7/elasticities!$I$6)</f>
        <v>1</v>
      </c>
      <c r="AG31" s="310">
        <f>MIN(1,AG$7/elasticities!$I$6)</f>
        <v>1</v>
      </c>
    </row>
    <row r="32" spans="1:33" ht="12.9" customHeight="1">
      <c r="A32" s="385" t="s">
        <v>233</v>
      </c>
      <c r="B32" s="38" t="s">
        <v>464</v>
      </c>
      <c r="C32" s="310">
        <f>MIN(1,C$7/elasticities!$I$8)</f>
        <v>0.33333333333333331</v>
      </c>
      <c r="D32" s="310">
        <f>MIN(1,D$7/elasticities!$I$8)</f>
        <v>0.66666666666666663</v>
      </c>
      <c r="E32" s="310">
        <f>MIN(1,E$7/elasticities!$I$8)</f>
        <v>1</v>
      </c>
      <c r="F32" s="310">
        <f>MIN(1,F$7/elasticities!$I$8)</f>
        <v>1</v>
      </c>
      <c r="G32" s="310">
        <f>MIN(1,G$7/elasticities!$I$8)</f>
        <v>1</v>
      </c>
      <c r="H32" s="310">
        <f>MIN(1,H$7/elasticities!$I$8)</f>
        <v>1</v>
      </c>
      <c r="I32" s="310">
        <f>MIN(1,I$7/elasticities!$I$8)</f>
        <v>1</v>
      </c>
      <c r="J32" s="310">
        <f>MIN(1,J$7/elasticities!$I$8)</f>
        <v>1</v>
      </c>
      <c r="K32" s="310">
        <f>MIN(1,K$7/elasticities!$I$8)</f>
        <v>1</v>
      </c>
      <c r="L32" s="310">
        <f>MIN(1,L$7/elasticities!$I$8)</f>
        <v>1</v>
      </c>
      <c r="M32" s="310">
        <f>MIN(1,M$7/elasticities!$I$8)</f>
        <v>1</v>
      </c>
      <c r="N32" s="310">
        <f>MIN(1,N$7/elasticities!$I$8)</f>
        <v>1</v>
      </c>
      <c r="O32" s="310">
        <f>MIN(1,O$7/elasticities!$I$8)</f>
        <v>1</v>
      </c>
      <c r="P32" s="310">
        <f>MIN(1,P$7/elasticities!$I$8)</f>
        <v>1</v>
      </c>
      <c r="Q32" s="310">
        <f>MIN(1,Q$7/elasticities!$I$8)</f>
        <v>1</v>
      </c>
      <c r="R32" s="310">
        <f>MIN(1,R$7/elasticities!$I$8)</f>
        <v>1</v>
      </c>
      <c r="S32" s="310">
        <f>MIN(1,S$7/elasticities!$I$8)</f>
        <v>1</v>
      </c>
      <c r="T32" s="310">
        <f>MIN(1,T$7/elasticities!$I$8)</f>
        <v>1</v>
      </c>
      <c r="U32" s="310">
        <f>MIN(1,U$7/elasticities!$I$8)</f>
        <v>1</v>
      </c>
      <c r="V32" s="310">
        <f>MIN(1,V$7/elasticities!$I$8)</f>
        <v>1</v>
      </c>
      <c r="W32" s="310">
        <f>MIN(1,W$7/elasticities!$I$8)</f>
        <v>1</v>
      </c>
      <c r="X32" s="310">
        <f>MIN(1,X$7/elasticities!$I$8)</f>
        <v>1</v>
      </c>
      <c r="Y32" s="310">
        <f>MIN(1,Y$7/elasticities!$I$8)</f>
        <v>1</v>
      </c>
      <c r="Z32" s="310">
        <f>MIN(1,Z$7/elasticities!$I$8)</f>
        <v>1</v>
      </c>
      <c r="AA32" s="310">
        <f>MIN(1,AA$7/elasticities!$I$8)</f>
        <v>1</v>
      </c>
      <c r="AB32" s="310">
        <f>MIN(1,AB$7/elasticities!$I$8)</f>
        <v>1</v>
      </c>
      <c r="AC32" s="310">
        <f>MIN(1,AC$7/elasticities!$I$8)</f>
        <v>1</v>
      </c>
      <c r="AD32" s="310">
        <f>MIN(1,AD$7/elasticities!$I$8)</f>
        <v>1</v>
      </c>
      <c r="AE32" s="310">
        <f>MIN(1,AE$7/elasticities!$I$8)</f>
        <v>1</v>
      </c>
      <c r="AF32" s="310">
        <f>MIN(1,AF$7/elasticities!$I$8)</f>
        <v>1</v>
      </c>
      <c r="AG32" s="310">
        <f>MIN(1,AG$7/elasticities!$I$8)</f>
        <v>1</v>
      </c>
    </row>
    <row r="33" spans="1:33" ht="12.9" customHeight="1">
      <c r="A33" s="385" t="s">
        <v>232</v>
      </c>
      <c r="B33" s="38" t="s">
        <v>464</v>
      </c>
      <c r="C33" s="310">
        <f>MIN(1,C$7/elasticities!$I$9)</f>
        <v>0.1</v>
      </c>
      <c r="D33" s="310">
        <f>MIN(1,D$7/elasticities!$I$9)</f>
        <v>0.2</v>
      </c>
      <c r="E33" s="310">
        <f>MIN(1,E$7/elasticities!$I$9)</f>
        <v>0.3</v>
      </c>
      <c r="F33" s="310">
        <f>MIN(1,F$7/elasticities!$I$9)</f>
        <v>0.4</v>
      </c>
      <c r="G33" s="310">
        <f>MIN(1,G$7/elasticities!$I$9)</f>
        <v>0.5</v>
      </c>
      <c r="H33" s="310">
        <f>MIN(1,H$7/elasticities!$I$9)</f>
        <v>0.6</v>
      </c>
      <c r="I33" s="310">
        <f>MIN(1,I$7/elasticities!$I$9)</f>
        <v>0.7</v>
      </c>
      <c r="J33" s="310">
        <f>MIN(1,J$7/elasticities!$I$9)</f>
        <v>0.8</v>
      </c>
      <c r="K33" s="310">
        <f>MIN(1,K$7/elasticities!$I$9)</f>
        <v>0.9</v>
      </c>
      <c r="L33" s="310">
        <f>MIN(1,L$7/elasticities!$I$9)</f>
        <v>1</v>
      </c>
      <c r="M33" s="310">
        <f>MIN(1,M$7/elasticities!$I$9)</f>
        <v>1</v>
      </c>
      <c r="N33" s="310">
        <f>MIN(1,N$7/elasticities!$I$9)</f>
        <v>1</v>
      </c>
      <c r="O33" s="310">
        <f>MIN(1,O$7/elasticities!$I$9)</f>
        <v>1</v>
      </c>
      <c r="P33" s="310">
        <f>MIN(1,P$7/elasticities!$I$9)</f>
        <v>1</v>
      </c>
      <c r="Q33" s="310">
        <f>MIN(1,Q$7/elasticities!$I$9)</f>
        <v>1</v>
      </c>
      <c r="R33" s="310">
        <f>MIN(1,R$7/elasticities!$I$9)</f>
        <v>1</v>
      </c>
      <c r="S33" s="310">
        <f>MIN(1,S$7/elasticities!$I$9)</f>
        <v>1</v>
      </c>
      <c r="T33" s="310">
        <f>MIN(1,T$7/elasticities!$I$9)</f>
        <v>1</v>
      </c>
      <c r="U33" s="310">
        <f>MIN(1,U$7/elasticities!$I$9)</f>
        <v>1</v>
      </c>
      <c r="V33" s="310">
        <f>MIN(1,V$7/elasticities!$I$9)</f>
        <v>1</v>
      </c>
      <c r="W33" s="310">
        <f>MIN(1,W$7/elasticities!$I$9)</f>
        <v>1</v>
      </c>
      <c r="X33" s="310">
        <f>MIN(1,X$7/elasticities!$I$9)</f>
        <v>1</v>
      </c>
      <c r="Y33" s="310">
        <f>MIN(1,Y$7/elasticities!$I$9)</f>
        <v>1</v>
      </c>
      <c r="Z33" s="310">
        <f>MIN(1,Z$7/elasticities!$I$9)</f>
        <v>1</v>
      </c>
      <c r="AA33" s="310">
        <f>MIN(1,AA$7/elasticities!$I$9)</f>
        <v>1</v>
      </c>
      <c r="AB33" s="310">
        <f>MIN(1,AB$7/elasticities!$I$9)</f>
        <v>1</v>
      </c>
      <c r="AC33" s="310">
        <f>MIN(1,AC$7/elasticities!$I$9)</f>
        <v>1</v>
      </c>
      <c r="AD33" s="310">
        <f>MIN(1,AD$7/elasticities!$I$9)</f>
        <v>1</v>
      </c>
      <c r="AE33" s="310">
        <f>MIN(1,AE$7/elasticities!$I$9)</f>
        <v>1</v>
      </c>
      <c r="AF33" s="310">
        <f>MIN(1,AF$7/elasticities!$I$9)</f>
        <v>1</v>
      </c>
      <c r="AG33" s="310">
        <f>MIN(1,AG$7/elasticities!$I$9)</f>
        <v>1</v>
      </c>
    </row>
    <row r="34" spans="1:33" ht="12.9" customHeight="1">
      <c r="A34" s="385" t="s">
        <v>189</v>
      </c>
      <c r="B34" s="38" t="s">
        <v>464</v>
      </c>
      <c r="C34" s="310">
        <f>MIN(1,C$7/elasticities!$I$10)</f>
        <v>0.1</v>
      </c>
      <c r="D34" s="310">
        <f>MIN(1,D$7/elasticities!$I$10)</f>
        <v>0.2</v>
      </c>
      <c r="E34" s="310">
        <f>MIN(1,E$7/elasticities!$I$10)</f>
        <v>0.3</v>
      </c>
      <c r="F34" s="310">
        <f>MIN(1,F$7/elasticities!$I$10)</f>
        <v>0.4</v>
      </c>
      <c r="G34" s="310">
        <f>MIN(1,G$7/elasticities!$I$10)</f>
        <v>0.5</v>
      </c>
      <c r="H34" s="310">
        <f>MIN(1,H$7/elasticities!$I$10)</f>
        <v>0.6</v>
      </c>
      <c r="I34" s="310">
        <f>MIN(1,I$7/elasticities!$I$10)</f>
        <v>0.7</v>
      </c>
      <c r="J34" s="310">
        <f>MIN(1,J$7/elasticities!$I$10)</f>
        <v>0.8</v>
      </c>
      <c r="K34" s="310">
        <f>MIN(1,K$7/elasticities!$I$10)</f>
        <v>0.9</v>
      </c>
      <c r="L34" s="310">
        <f>MIN(1,L$7/elasticities!$I$10)</f>
        <v>1</v>
      </c>
      <c r="M34" s="310">
        <f>MIN(1,M$7/elasticities!$I$10)</f>
        <v>1</v>
      </c>
      <c r="N34" s="310">
        <f>MIN(1,N$7/elasticities!$I$10)</f>
        <v>1</v>
      </c>
      <c r="O34" s="310">
        <f>MIN(1,O$7/elasticities!$I$10)</f>
        <v>1</v>
      </c>
      <c r="P34" s="310">
        <f>MIN(1,P$7/elasticities!$I$10)</f>
        <v>1</v>
      </c>
      <c r="Q34" s="310">
        <f>MIN(1,Q$7/elasticities!$I$10)</f>
        <v>1</v>
      </c>
      <c r="R34" s="310">
        <f>MIN(1,R$7/elasticities!$I$10)</f>
        <v>1</v>
      </c>
      <c r="S34" s="310">
        <f>MIN(1,S$7/elasticities!$I$10)</f>
        <v>1</v>
      </c>
      <c r="T34" s="310">
        <f>MIN(1,T$7/elasticities!$I$10)</f>
        <v>1</v>
      </c>
      <c r="U34" s="310">
        <f>MIN(1,U$7/elasticities!$I$10)</f>
        <v>1</v>
      </c>
      <c r="V34" s="310">
        <f>MIN(1,V$7/elasticities!$I$10)</f>
        <v>1</v>
      </c>
      <c r="W34" s="310">
        <f>MIN(1,W$7/elasticities!$I$10)</f>
        <v>1</v>
      </c>
      <c r="X34" s="310">
        <f>MIN(1,X$7/elasticities!$I$10)</f>
        <v>1</v>
      </c>
      <c r="Y34" s="310">
        <f>MIN(1,Y$7/elasticities!$I$10)</f>
        <v>1</v>
      </c>
      <c r="Z34" s="310">
        <f>MIN(1,Z$7/elasticities!$I$10)</f>
        <v>1</v>
      </c>
      <c r="AA34" s="310">
        <f>MIN(1,AA$7/elasticities!$I$10)</f>
        <v>1</v>
      </c>
      <c r="AB34" s="310">
        <f>MIN(1,AB$7/elasticities!$I$10)</f>
        <v>1</v>
      </c>
      <c r="AC34" s="310">
        <f>MIN(1,AC$7/elasticities!$I$10)</f>
        <v>1</v>
      </c>
      <c r="AD34" s="310">
        <f>MIN(1,AD$7/elasticities!$I$10)</f>
        <v>1</v>
      </c>
      <c r="AE34" s="310">
        <f>MIN(1,AE$7/elasticities!$I$10)</f>
        <v>1</v>
      </c>
      <c r="AF34" s="310">
        <f>MIN(1,AF$7/elasticities!$I$10)</f>
        <v>1</v>
      </c>
      <c r="AG34" s="310">
        <f>MIN(1,AG$7/elasticities!$I$10)</f>
        <v>1</v>
      </c>
    </row>
    <row r="35" spans="1:33" ht="12.9" customHeight="1">
      <c r="A35" s="385" t="s">
        <v>3</v>
      </c>
      <c r="B35" s="38" t="s">
        <v>464</v>
      </c>
      <c r="C35" s="310">
        <f>MIN(1,C$7/elasticities!$I$11)</f>
        <v>0.1</v>
      </c>
      <c r="D35" s="310">
        <f>MIN(1,D$7/elasticities!$I$11)</f>
        <v>0.2</v>
      </c>
      <c r="E35" s="310">
        <f>MIN(1,E$7/elasticities!$I$11)</f>
        <v>0.3</v>
      </c>
      <c r="F35" s="310">
        <f>MIN(1,F$7/elasticities!$I$11)</f>
        <v>0.4</v>
      </c>
      <c r="G35" s="310">
        <f>MIN(1,G$7/elasticities!$I$11)</f>
        <v>0.5</v>
      </c>
      <c r="H35" s="310">
        <f>MIN(1,H$7/elasticities!$I$11)</f>
        <v>0.6</v>
      </c>
      <c r="I35" s="310">
        <f>MIN(1,I$7/elasticities!$I$11)</f>
        <v>0.7</v>
      </c>
      <c r="J35" s="310">
        <f>MIN(1,J$7/elasticities!$I$11)</f>
        <v>0.8</v>
      </c>
      <c r="K35" s="310">
        <f>MIN(1,K$7/elasticities!$I$11)</f>
        <v>0.9</v>
      </c>
      <c r="L35" s="310">
        <f>MIN(1,L$7/elasticities!$I$11)</f>
        <v>1</v>
      </c>
      <c r="M35" s="310">
        <f>MIN(1,M$7/elasticities!$I$11)</f>
        <v>1</v>
      </c>
      <c r="N35" s="310">
        <f>MIN(1,N$7/elasticities!$I$11)</f>
        <v>1</v>
      </c>
      <c r="O35" s="310">
        <f>MIN(1,O$7/elasticities!$I$11)</f>
        <v>1</v>
      </c>
      <c r="P35" s="310">
        <f>MIN(1,P$7/elasticities!$I$11)</f>
        <v>1</v>
      </c>
      <c r="Q35" s="310">
        <f>MIN(1,Q$7/elasticities!$I$11)</f>
        <v>1</v>
      </c>
      <c r="R35" s="310">
        <f>MIN(1,R$7/elasticities!$I$11)</f>
        <v>1</v>
      </c>
      <c r="S35" s="310">
        <f>MIN(1,S$7/elasticities!$I$11)</f>
        <v>1</v>
      </c>
      <c r="T35" s="310">
        <f>MIN(1,T$7/elasticities!$I$11)</f>
        <v>1</v>
      </c>
      <c r="U35" s="310">
        <f>MIN(1,U$7/elasticities!$I$11)</f>
        <v>1</v>
      </c>
      <c r="V35" s="310">
        <f>MIN(1,V$7/elasticities!$I$11)</f>
        <v>1</v>
      </c>
      <c r="W35" s="310">
        <f>MIN(1,W$7/elasticities!$I$11)</f>
        <v>1</v>
      </c>
      <c r="X35" s="310">
        <f>MIN(1,X$7/elasticities!$I$11)</f>
        <v>1</v>
      </c>
      <c r="Y35" s="310">
        <f>MIN(1,Y$7/elasticities!$I$11)</f>
        <v>1</v>
      </c>
      <c r="Z35" s="310">
        <f>MIN(1,Z$7/elasticities!$I$11)</f>
        <v>1</v>
      </c>
      <c r="AA35" s="310">
        <f>MIN(1,AA$7/elasticities!$I$11)</f>
        <v>1</v>
      </c>
      <c r="AB35" s="310">
        <f>MIN(1,AB$7/elasticities!$I$11)</f>
        <v>1</v>
      </c>
      <c r="AC35" s="310">
        <f>MIN(1,AC$7/elasticities!$I$11)</f>
        <v>1</v>
      </c>
      <c r="AD35" s="310">
        <f>MIN(1,AD$7/elasticities!$I$11)</f>
        <v>1</v>
      </c>
      <c r="AE35" s="310">
        <f>MIN(1,AE$7/elasticities!$I$11)</f>
        <v>1</v>
      </c>
      <c r="AF35" s="310">
        <f>MIN(1,AF$7/elasticities!$I$11)</f>
        <v>1</v>
      </c>
      <c r="AG35" s="310">
        <f>MIN(1,AG$7/elasticities!$I$11)</f>
        <v>1</v>
      </c>
    </row>
    <row r="36" spans="1:33" ht="12.9" customHeight="1">
      <c r="A36" s="385" t="s">
        <v>227</v>
      </c>
      <c r="B36" s="38" t="s">
        <v>464</v>
      </c>
      <c r="C36" s="310">
        <f>MIN(1,C$7/elasticities!$I$13)</f>
        <v>0.05</v>
      </c>
      <c r="D36" s="310">
        <f>MIN(1,D$7/elasticities!$I$13)</f>
        <v>0.1</v>
      </c>
      <c r="E36" s="310">
        <f>MIN(1,E$7/elasticities!$I$13)</f>
        <v>0.15</v>
      </c>
      <c r="F36" s="310">
        <f>MIN(1,F$7/elasticities!$I$13)</f>
        <v>0.2</v>
      </c>
      <c r="G36" s="310">
        <f>MIN(1,G$7/elasticities!$I$13)</f>
        <v>0.25</v>
      </c>
      <c r="H36" s="310">
        <f>MIN(1,H$7/elasticities!$I$13)</f>
        <v>0.3</v>
      </c>
      <c r="I36" s="310">
        <f>MIN(1,I$7/elasticities!$I$13)</f>
        <v>0.35</v>
      </c>
      <c r="J36" s="310">
        <f>MIN(1,J$7/elasticities!$I$13)</f>
        <v>0.4</v>
      </c>
      <c r="K36" s="310">
        <f>MIN(1,K$7/elasticities!$I$13)</f>
        <v>0.45</v>
      </c>
      <c r="L36" s="310">
        <f>MIN(1,L$7/elasticities!$I$13)</f>
        <v>0.5</v>
      </c>
      <c r="M36" s="310">
        <f>MIN(1,M$7/elasticities!$I$13)</f>
        <v>0.55000000000000004</v>
      </c>
      <c r="N36" s="310">
        <f>MIN(1,N$7/elasticities!$I$13)</f>
        <v>0.6</v>
      </c>
      <c r="O36" s="310">
        <f>MIN(1,O$7/elasticities!$I$13)</f>
        <v>0.65</v>
      </c>
      <c r="P36" s="310">
        <f>MIN(1,P$7/elasticities!$I$13)</f>
        <v>0.7</v>
      </c>
      <c r="Q36" s="310">
        <f>MIN(1,Q$7/elasticities!$I$13)</f>
        <v>0.75</v>
      </c>
      <c r="R36" s="310">
        <f>MIN(1,R$7/elasticities!$I$13)</f>
        <v>0.8</v>
      </c>
      <c r="S36" s="310">
        <f>MIN(1,S$7/elasticities!$I$13)</f>
        <v>0.85</v>
      </c>
      <c r="T36" s="310">
        <f>MIN(1,T$7/elasticities!$I$13)</f>
        <v>0.9</v>
      </c>
      <c r="U36" s="310">
        <f>MIN(1,U$7/elasticities!$I$13)</f>
        <v>0.95</v>
      </c>
      <c r="V36" s="310">
        <f>MIN(1,V$7/elasticities!$I$13)</f>
        <v>1</v>
      </c>
      <c r="W36" s="310">
        <f>MIN(1,W$7/elasticities!$I$13)</f>
        <v>1</v>
      </c>
      <c r="X36" s="310">
        <f>MIN(1,X$7/elasticities!$I$13)</f>
        <v>1</v>
      </c>
      <c r="Y36" s="310">
        <f>MIN(1,Y$7/elasticities!$I$13)</f>
        <v>1</v>
      </c>
      <c r="Z36" s="310">
        <f>MIN(1,Z$7/elasticities!$I$13)</f>
        <v>1</v>
      </c>
      <c r="AA36" s="310">
        <f>MIN(1,AA$7/elasticities!$I$13)</f>
        <v>1</v>
      </c>
      <c r="AB36" s="310">
        <f>MIN(1,AB$7/elasticities!$I$13)</f>
        <v>1</v>
      </c>
      <c r="AC36" s="310">
        <f>MIN(1,AC$7/elasticities!$I$13)</f>
        <v>1</v>
      </c>
      <c r="AD36" s="310">
        <f>MIN(1,AD$7/elasticities!$I$13)</f>
        <v>1</v>
      </c>
      <c r="AE36" s="310">
        <f>MIN(1,AE$7/elasticities!$I$13)</f>
        <v>1</v>
      </c>
      <c r="AF36" s="310">
        <f>MIN(1,AF$7/elasticities!$I$13)</f>
        <v>1</v>
      </c>
      <c r="AG36" s="310">
        <f>MIN(1,AG$7/elasticities!$I$13)</f>
        <v>1</v>
      </c>
    </row>
    <row r="37" spans="1:33" ht="12.9" customHeight="1">
      <c r="A37" s="385" t="s">
        <v>228</v>
      </c>
      <c r="B37" s="38" t="s">
        <v>464</v>
      </c>
      <c r="C37" s="310">
        <f>MIN(1,C$7/elasticities!$I$15)</f>
        <v>0.05</v>
      </c>
      <c r="D37" s="310">
        <f>MIN(1,D$7/elasticities!$I$15)</f>
        <v>0.1</v>
      </c>
      <c r="E37" s="310">
        <f>MIN(1,E$7/elasticities!$I$15)</f>
        <v>0.15</v>
      </c>
      <c r="F37" s="310">
        <f>MIN(1,F$7/elasticities!$I$15)</f>
        <v>0.2</v>
      </c>
      <c r="G37" s="310">
        <f>MIN(1,G$7/elasticities!$I$15)</f>
        <v>0.25</v>
      </c>
      <c r="H37" s="310">
        <f>MIN(1,H$7/elasticities!$I$15)</f>
        <v>0.3</v>
      </c>
      <c r="I37" s="310">
        <f>MIN(1,I$7/elasticities!$I$15)</f>
        <v>0.35</v>
      </c>
      <c r="J37" s="310">
        <f>MIN(1,J$7/elasticities!$I$15)</f>
        <v>0.4</v>
      </c>
      <c r="K37" s="310">
        <f>MIN(1,K$7/elasticities!$I$15)</f>
        <v>0.45</v>
      </c>
      <c r="L37" s="310">
        <f>MIN(1,L$7/elasticities!$I$15)</f>
        <v>0.5</v>
      </c>
      <c r="M37" s="310">
        <f>MIN(1,M$7/elasticities!$I$15)</f>
        <v>0.55000000000000004</v>
      </c>
      <c r="N37" s="310">
        <f>MIN(1,N$7/elasticities!$I$15)</f>
        <v>0.6</v>
      </c>
      <c r="O37" s="310">
        <f>MIN(1,O$7/elasticities!$I$15)</f>
        <v>0.65</v>
      </c>
      <c r="P37" s="310">
        <f>MIN(1,P$7/elasticities!$I$15)</f>
        <v>0.7</v>
      </c>
      <c r="Q37" s="310">
        <f>MIN(1,Q$7/elasticities!$I$15)</f>
        <v>0.75</v>
      </c>
      <c r="R37" s="310">
        <f>MIN(1,R$7/elasticities!$I$15)</f>
        <v>0.8</v>
      </c>
      <c r="S37" s="310">
        <f>MIN(1,S$7/elasticities!$I$15)</f>
        <v>0.85</v>
      </c>
      <c r="T37" s="310">
        <f>MIN(1,T$7/elasticities!$I$15)</f>
        <v>0.9</v>
      </c>
      <c r="U37" s="310">
        <f>MIN(1,U$7/elasticities!$I$15)</f>
        <v>0.95</v>
      </c>
      <c r="V37" s="310">
        <f>MIN(1,V$7/elasticities!$I$15)</f>
        <v>1</v>
      </c>
      <c r="W37" s="310">
        <f>MIN(1,W$7/elasticities!$I$15)</f>
        <v>1</v>
      </c>
      <c r="X37" s="310">
        <f>MIN(1,X$7/elasticities!$I$15)</f>
        <v>1</v>
      </c>
      <c r="Y37" s="310">
        <f>MIN(1,Y$7/elasticities!$I$15)</f>
        <v>1</v>
      </c>
      <c r="Z37" s="310">
        <f>MIN(1,Z$7/elasticities!$I$15)</f>
        <v>1</v>
      </c>
      <c r="AA37" s="310">
        <f>MIN(1,AA$7/elasticities!$I$15)</f>
        <v>1</v>
      </c>
      <c r="AB37" s="310">
        <f>MIN(1,AB$7/elasticities!$I$15)</f>
        <v>1</v>
      </c>
      <c r="AC37" s="310">
        <f>MIN(1,AC$7/elasticities!$I$15)</f>
        <v>1</v>
      </c>
      <c r="AD37" s="310">
        <f>MIN(1,AD$7/elasticities!$I$15)</f>
        <v>1</v>
      </c>
      <c r="AE37" s="310">
        <f>MIN(1,AE$7/elasticities!$I$15)</f>
        <v>1</v>
      </c>
      <c r="AF37" s="310">
        <f>MIN(1,AF$7/elasticities!$I$15)</f>
        <v>1</v>
      </c>
      <c r="AG37" s="310">
        <f>MIN(1,AG$7/elasticities!$I$15)</f>
        <v>1</v>
      </c>
    </row>
    <row r="38" spans="1:33" ht="12.9" customHeight="1">
      <c r="A38" s="385" t="s">
        <v>316</v>
      </c>
      <c r="B38" s="38" t="s">
        <v>464</v>
      </c>
      <c r="C38" s="310">
        <f>MIN(1,C$7/elasticities!$I$17)</f>
        <v>0.1</v>
      </c>
      <c r="D38" s="310">
        <f>MIN(1,D$7/elasticities!$I$17)</f>
        <v>0.2</v>
      </c>
      <c r="E38" s="310">
        <f>MIN(1,E$7/elasticities!$I$17)</f>
        <v>0.3</v>
      </c>
      <c r="F38" s="310">
        <f>MIN(1,F$7/elasticities!$I$17)</f>
        <v>0.4</v>
      </c>
      <c r="G38" s="310">
        <f>MIN(1,G$7/elasticities!$I$17)</f>
        <v>0.5</v>
      </c>
      <c r="H38" s="310">
        <f>MIN(1,H$7/elasticities!$I$17)</f>
        <v>0.6</v>
      </c>
      <c r="I38" s="310">
        <f>MIN(1,I$7/elasticities!$I$17)</f>
        <v>0.7</v>
      </c>
      <c r="J38" s="310">
        <f>MIN(1,J$7/elasticities!$I$17)</f>
        <v>0.8</v>
      </c>
      <c r="K38" s="310">
        <f>MIN(1,K$7/elasticities!$I$17)</f>
        <v>0.9</v>
      </c>
      <c r="L38" s="310">
        <f>MIN(1,L$7/elasticities!$I$17)</f>
        <v>1</v>
      </c>
      <c r="M38" s="310">
        <f>MIN(1,M$7/elasticities!$I$17)</f>
        <v>1</v>
      </c>
      <c r="N38" s="310">
        <f>MIN(1,N$7/elasticities!$I$17)</f>
        <v>1</v>
      </c>
      <c r="O38" s="310">
        <f>MIN(1,O$7/elasticities!$I$17)</f>
        <v>1</v>
      </c>
      <c r="P38" s="310">
        <f>MIN(1,P$7/elasticities!$I$17)</f>
        <v>1</v>
      </c>
      <c r="Q38" s="310">
        <f>MIN(1,Q$7/elasticities!$I$17)</f>
        <v>1</v>
      </c>
      <c r="R38" s="310">
        <f>MIN(1,R$7/elasticities!$I$17)</f>
        <v>1</v>
      </c>
      <c r="S38" s="310">
        <f>MIN(1,S$7/elasticities!$I$17)</f>
        <v>1</v>
      </c>
      <c r="T38" s="310">
        <f>MIN(1,T$7/elasticities!$I$17)</f>
        <v>1</v>
      </c>
      <c r="U38" s="310">
        <f>MIN(1,U$7/elasticities!$I$17)</f>
        <v>1</v>
      </c>
      <c r="V38" s="310">
        <f>MIN(1,V$7/elasticities!$I$17)</f>
        <v>1</v>
      </c>
      <c r="W38" s="310">
        <f>MIN(1,W$7/elasticities!$I$17)</f>
        <v>1</v>
      </c>
      <c r="X38" s="310">
        <f>MIN(1,X$7/elasticities!$I$17)</f>
        <v>1</v>
      </c>
      <c r="Y38" s="310">
        <f>MIN(1,Y$7/elasticities!$I$17)</f>
        <v>1</v>
      </c>
      <c r="Z38" s="310">
        <f>MIN(1,Z$7/elasticities!$I$17)</f>
        <v>1</v>
      </c>
      <c r="AA38" s="310">
        <f>MIN(1,AA$7/elasticities!$I$17)</f>
        <v>1</v>
      </c>
      <c r="AB38" s="310">
        <f>MIN(1,AB$7/elasticities!$I$17)</f>
        <v>1</v>
      </c>
      <c r="AC38" s="310">
        <f>MIN(1,AC$7/elasticities!$I$17)</f>
        <v>1</v>
      </c>
      <c r="AD38" s="310">
        <f>MIN(1,AD$7/elasticities!$I$17)</f>
        <v>1</v>
      </c>
      <c r="AE38" s="310">
        <f>MIN(1,AE$7/elasticities!$I$17)</f>
        <v>1</v>
      </c>
      <c r="AF38" s="310">
        <f>MIN(1,AF$7/elasticities!$I$17)</f>
        <v>1</v>
      </c>
      <c r="AG38" s="310">
        <f>MIN(1,AG$7/elasticities!$I$17)</f>
        <v>1</v>
      </c>
    </row>
    <row r="39" spans="1:33" ht="12.9" customHeight="1">
      <c r="A39" s="385" t="s">
        <v>234</v>
      </c>
      <c r="B39" s="38" t="s">
        <v>464</v>
      </c>
      <c r="C39" s="310">
        <f>MIN(1,C$7/elasticities!$I$18)</f>
        <v>0.2</v>
      </c>
      <c r="D39" s="310">
        <f>MIN(1,D$7/elasticities!$I$18)</f>
        <v>0.4</v>
      </c>
      <c r="E39" s="310">
        <f>MIN(1,E$7/elasticities!$I$18)</f>
        <v>0.6</v>
      </c>
      <c r="F39" s="310">
        <f>MIN(1,F$7/elasticities!$I$18)</f>
        <v>0.8</v>
      </c>
      <c r="G39" s="310">
        <f>MIN(1,G$7/elasticities!$I$18)</f>
        <v>1</v>
      </c>
      <c r="H39" s="310">
        <f>MIN(1,H$7/elasticities!$I$18)</f>
        <v>1</v>
      </c>
      <c r="I39" s="310">
        <f>MIN(1,I$7/elasticities!$I$18)</f>
        <v>1</v>
      </c>
      <c r="J39" s="310">
        <f>MIN(1,J$7/elasticities!$I$18)</f>
        <v>1</v>
      </c>
      <c r="K39" s="310">
        <f>MIN(1,K$7/elasticities!$I$18)</f>
        <v>1</v>
      </c>
      <c r="L39" s="310">
        <f>MIN(1,L$7/elasticities!$I$18)</f>
        <v>1</v>
      </c>
      <c r="M39" s="310">
        <f>MIN(1,M$7/elasticities!$I$18)</f>
        <v>1</v>
      </c>
      <c r="N39" s="310">
        <f>MIN(1,N$7/elasticities!$I$18)</f>
        <v>1</v>
      </c>
      <c r="O39" s="310">
        <f>MIN(1,O$7/elasticities!$I$18)</f>
        <v>1</v>
      </c>
      <c r="P39" s="310">
        <f>MIN(1,P$7/elasticities!$I$18)</f>
        <v>1</v>
      </c>
      <c r="Q39" s="310">
        <f>MIN(1,Q$7/elasticities!$I$18)</f>
        <v>1</v>
      </c>
      <c r="R39" s="310">
        <f>MIN(1,R$7/elasticities!$I$18)</f>
        <v>1</v>
      </c>
      <c r="S39" s="310">
        <f>MIN(1,S$7/elasticities!$I$18)</f>
        <v>1</v>
      </c>
      <c r="T39" s="310">
        <f>MIN(1,T$7/elasticities!$I$18)</f>
        <v>1</v>
      </c>
      <c r="U39" s="310">
        <f>MIN(1,U$7/elasticities!$I$18)</f>
        <v>1</v>
      </c>
      <c r="V39" s="310">
        <f>MIN(1,V$7/elasticities!$I$18)</f>
        <v>1</v>
      </c>
      <c r="W39" s="310">
        <f>MIN(1,W$7/elasticities!$I$18)</f>
        <v>1</v>
      </c>
      <c r="X39" s="310">
        <f>MIN(1,X$7/elasticities!$I$18)</f>
        <v>1</v>
      </c>
      <c r="Y39" s="310">
        <f>MIN(1,Y$7/elasticities!$I$18)</f>
        <v>1</v>
      </c>
      <c r="Z39" s="310">
        <f>MIN(1,Z$7/elasticities!$I$18)</f>
        <v>1</v>
      </c>
      <c r="AA39" s="310">
        <f>MIN(1,AA$7/elasticities!$I$18)</f>
        <v>1</v>
      </c>
      <c r="AB39" s="310">
        <f>MIN(1,AB$7/elasticities!$I$18)</f>
        <v>1</v>
      </c>
      <c r="AC39" s="310">
        <f>MIN(1,AC$7/elasticities!$I$18)</f>
        <v>1</v>
      </c>
      <c r="AD39" s="310">
        <f>MIN(1,AD$7/elasticities!$I$18)</f>
        <v>1</v>
      </c>
      <c r="AE39" s="310">
        <f>MIN(1,AE$7/elasticities!$I$18)</f>
        <v>1</v>
      </c>
      <c r="AF39" s="310">
        <f>MIN(1,AF$7/elasticities!$I$18)</f>
        <v>1</v>
      </c>
      <c r="AG39" s="310">
        <f>MIN(1,AG$7/elasticities!$I$18)</f>
        <v>1</v>
      </c>
    </row>
    <row r="40" spans="1:33" ht="12.9" customHeight="1">
      <c r="A40" s="385" t="s">
        <v>235</v>
      </c>
      <c r="B40" s="38" t="s">
        <v>464</v>
      </c>
      <c r="C40" s="310">
        <f>MIN(1,C$7/elasticities!$I$20)</f>
        <v>0.33333333333333331</v>
      </c>
      <c r="D40" s="310">
        <f>MIN(1,D$7/elasticities!$I$20)</f>
        <v>0.66666666666666663</v>
      </c>
      <c r="E40" s="310">
        <f>MIN(1,E$7/elasticities!$I$20)</f>
        <v>1</v>
      </c>
      <c r="F40" s="310">
        <f>MIN(1,F$7/elasticities!$I$20)</f>
        <v>1</v>
      </c>
      <c r="G40" s="310">
        <f>MIN(1,G$7/elasticities!$I$20)</f>
        <v>1</v>
      </c>
      <c r="H40" s="310">
        <f>MIN(1,H$7/elasticities!$I$20)</f>
        <v>1</v>
      </c>
      <c r="I40" s="310">
        <f>MIN(1,I$7/elasticities!$I$20)</f>
        <v>1</v>
      </c>
      <c r="J40" s="310">
        <f>MIN(1,J$7/elasticities!$I$20)</f>
        <v>1</v>
      </c>
      <c r="K40" s="310">
        <f>MIN(1,K$7/elasticities!$I$20)</f>
        <v>1</v>
      </c>
      <c r="L40" s="310">
        <f>MIN(1,L$7/elasticities!$I$20)</f>
        <v>1</v>
      </c>
      <c r="M40" s="310">
        <f>MIN(1,M$7/elasticities!$I$20)</f>
        <v>1</v>
      </c>
      <c r="N40" s="310">
        <f>MIN(1,N$7/elasticities!$I$20)</f>
        <v>1</v>
      </c>
      <c r="O40" s="310">
        <f>MIN(1,O$7/elasticities!$I$20)</f>
        <v>1</v>
      </c>
      <c r="P40" s="310">
        <f>MIN(1,P$7/elasticities!$I$20)</f>
        <v>1</v>
      </c>
      <c r="Q40" s="310">
        <f>MIN(1,Q$7/elasticities!$I$20)</f>
        <v>1</v>
      </c>
      <c r="R40" s="310">
        <f>MIN(1,R$7/elasticities!$I$20)</f>
        <v>1</v>
      </c>
      <c r="S40" s="310">
        <f>MIN(1,S$7/elasticities!$I$20)</f>
        <v>1</v>
      </c>
      <c r="T40" s="310">
        <f>MIN(1,T$7/elasticities!$I$20)</f>
        <v>1</v>
      </c>
      <c r="U40" s="310">
        <f>MIN(1,U$7/elasticities!$I$20)</f>
        <v>1</v>
      </c>
      <c r="V40" s="310">
        <f>MIN(1,V$7/elasticities!$I$20)</f>
        <v>1</v>
      </c>
      <c r="W40" s="310">
        <f>MIN(1,W$7/elasticities!$I$20)</f>
        <v>1</v>
      </c>
      <c r="X40" s="310">
        <f>MIN(1,X$7/elasticities!$I$20)</f>
        <v>1</v>
      </c>
      <c r="Y40" s="310">
        <f>MIN(1,Y$7/elasticities!$I$20)</f>
        <v>1</v>
      </c>
      <c r="Z40" s="310">
        <f>MIN(1,Z$7/elasticities!$I$20)</f>
        <v>1</v>
      </c>
      <c r="AA40" s="310">
        <f>MIN(1,AA$7/elasticities!$I$20)</f>
        <v>1</v>
      </c>
      <c r="AB40" s="310">
        <f>MIN(1,AB$7/elasticities!$I$20)</f>
        <v>1</v>
      </c>
      <c r="AC40" s="310">
        <f>MIN(1,AC$7/elasticities!$I$20)</f>
        <v>1</v>
      </c>
      <c r="AD40" s="310">
        <f>MIN(1,AD$7/elasticities!$I$20)</f>
        <v>1</v>
      </c>
      <c r="AE40" s="310">
        <f>MIN(1,AE$7/elasticities!$I$20)</f>
        <v>1</v>
      </c>
      <c r="AF40" s="310">
        <f>MIN(1,AF$7/elasticities!$I$20)</f>
        <v>1</v>
      </c>
      <c r="AG40" s="310">
        <f>MIN(1,AG$7/elasticities!$I$20)</f>
        <v>1</v>
      </c>
    </row>
    <row r="41" spans="1:33" ht="12.9" customHeight="1">
      <c r="A41" s="385" t="s">
        <v>229</v>
      </c>
      <c r="B41" s="38" t="s">
        <v>464</v>
      </c>
      <c r="C41" s="310">
        <f>MIN(1,C$7/elasticities!$I$22)</f>
        <v>6.6666666666666666E-2</v>
      </c>
      <c r="D41" s="310">
        <f>MIN(1,D$7/elasticities!$I$22)</f>
        <v>0.13333333333333333</v>
      </c>
      <c r="E41" s="310">
        <f>MIN(1,E$7/elasticities!$I$22)</f>
        <v>0.2</v>
      </c>
      <c r="F41" s="310">
        <f>MIN(1,F$7/elasticities!$I$22)</f>
        <v>0.26666666666666666</v>
      </c>
      <c r="G41" s="310">
        <f>MIN(1,G$7/elasticities!$I$22)</f>
        <v>0.33333333333333331</v>
      </c>
      <c r="H41" s="310">
        <f>MIN(1,H$7/elasticities!$I$22)</f>
        <v>0.4</v>
      </c>
      <c r="I41" s="310">
        <f>MIN(1,I$7/elasticities!$I$22)</f>
        <v>0.46666666666666667</v>
      </c>
      <c r="J41" s="310">
        <f>MIN(1,J$7/elasticities!$I$22)</f>
        <v>0.53333333333333333</v>
      </c>
      <c r="K41" s="310">
        <f>MIN(1,K$7/elasticities!$I$22)</f>
        <v>0.6</v>
      </c>
      <c r="L41" s="310">
        <f>MIN(1,L$7/elasticities!$I$22)</f>
        <v>0.66666666666666663</v>
      </c>
      <c r="M41" s="310">
        <f>MIN(1,M$7/elasticities!$I$22)</f>
        <v>0.73333333333333328</v>
      </c>
      <c r="N41" s="310">
        <f>MIN(1,N$7/elasticities!$I$22)</f>
        <v>0.8</v>
      </c>
      <c r="O41" s="310">
        <f>MIN(1,O$7/elasticities!$I$22)</f>
        <v>0.8666666666666667</v>
      </c>
      <c r="P41" s="310">
        <f>MIN(1,P$7/elasticities!$I$22)</f>
        <v>0.93333333333333335</v>
      </c>
      <c r="Q41" s="310">
        <f>MIN(1,Q$7/elasticities!$I$22)</f>
        <v>1</v>
      </c>
      <c r="R41" s="310">
        <f>MIN(1,R$7/elasticities!$I$22)</f>
        <v>1</v>
      </c>
      <c r="S41" s="310">
        <f>MIN(1,S$7/elasticities!$I$22)</f>
        <v>1</v>
      </c>
      <c r="T41" s="310">
        <f>MIN(1,T$7/elasticities!$I$22)</f>
        <v>1</v>
      </c>
      <c r="U41" s="310">
        <f>MIN(1,U$7/elasticities!$I$22)</f>
        <v>1</v>
      </c>
      <c r="V41" s="310">
        <f>MIN(1,V$7/elasticities!$I$22)</f>
        <v>1</v>
      </c>
      <c r="W41" s="310">
        <f>MIN(1,W$7/elasticities!$I$22)</f>
        <v>1</v>
      </c>
      <c r="X41" s="310">
        <f>MIN(1,X$7/elasticities!$I$22)</f>
        <v>1</v>
      </c>
      <c r="Y41" s="310">
        <f>MIN(1,Y$7/elasticities!$I$22)</f>
        <v>1</v>
      </c>
      <c r="Z41" s="310">
        <f>MIN(1,Z$7/elasticities!$I$22)</f>
        <v>1</v>
      </c>
      <c r="AA41" s="310">
        <f>MIN(1,AA$7/elasticities!$I$22)</f>
        <v>1</v>
      </c>
      <c r="AB41" s="310">
        <f>MIN(1,AB$7/elasticities!$I$22)</f>
        <v>1</v>
      </c>
      <c r="AC41" s="310">
        <f>MIN(1,AC$7/elasticities!$I$22)</f>
        <v>1</v>
      </c>
      <c r="AD41" s="310">
        <f>MIN(1,AD$7/elasticities!$I$22)</f>
        <v>1</v>
      </c>
      <c r="AE41" s="310">
        <f>MIN(1,AE$7/elasticities!$I$22)</f>
        <v>1</v>
      </c>
      <c r="AF41" s="310">
        <f>MIN(1,AF$7/elasticities!$I$22)</f>
        <v>1</v>
      </c>
      <c r="AG41" s="310">
        <f>MIN(1,AG$7/elasticities!$I$22)</f>
        <v>1</v>
      </c>
    </row>
    <row r="42" spans="1:33" ht="12.9" customHeight="1">
      <c r="A42" s="385" t="s">
        <v>230</v>
      </c>
      <c r="B42" s="38" t="s">
        <v>464</v>
      </c>
      <c r="C42" s="310">
        <f>MIN(1,C$7/elasticities!$I$23)</f>
        <v>6.6666666666666666E-2</v>
      </c>
      <c r="D42" s="310">
        <f>MIN(1,D$7/elasticities!$I$23)</f>
        <v>0.13333333333333333</v>
      </c>
      <c r="E42" s="310">
        <f>MIN(1,E$7/elasticities!$I$23)</f>
        <v>0.2</v>
      </c>
      <c r="F42" s="310">
        <f>MIN(1,F$7/elasticities!$I$23)</f>
        <v>0.26666666666666666</v>
      </c>
      <c r="G42" s="310">
        <f>MIN(1,G$7/elasticities!$I$23)</f>
        <v>0.33333333333333331</v>
      </c>
      <c r="H42" s="310">
        <f>MIN(1,H$7/elasticities!$I$23)</f>
        <v>0.4</v>
      </c>
      <c r="I42" s="310">
        <f>MIN(1,I$7/elasticities!$I$23)</f>
        <v>0.46666666666666667</v>
      </c>
      <c r="J42" s="310">
        <f>MIN(1,J$7/elasticities!$I$23)</f>
        <v>0.53333333333333333</v>
      </c>
      <c r="K42" s="310">
        <f>MIN(1,K$7/elasticities!$I$23)</f>
        <v>0.6</v>
      </c>
      <c r="L42" s="310">
        <f>MIN(1,L$7/elasticities!$I$23)</f>
        <v>0.66666666666666663</v>
      </c>
      <c r="M42" s="310">
        <f>MIN(1,M$7/elasticities!$I$23)</f>
        <v>0.73333333333333328</v>
      </c>
      <c r="N42" s="310">
        <f>MIN(1,N$7/elasticities!$I$23)</f>
        <v>0.8</v>
      </c>
      <c r="O42" s="310">
        <f>MIN(1,O$7/elasticities!$I$23)</f>
        <v>0.8666666666666667</v>
      </c>
      <c r="P42" s="310">
        <f>MIN(1,P$7/elasticities!$I$23)</f>
        <v>0.93333333333333335</v>
      </c>
      <c r="Q42" s="310">
        <f>MIN(1,Q$7/elasticities!$I$23)</f>
        <v>1</v>
      </c>
      <c r="R42" s="310">
        <f>MIN(1,R$7/elasticities!$I$23)</f>
        <v>1</v>
      </c>
      <c r="S42" s="310">
        <f>MIN(1,S$7/elasticities!$I$23)</f>
        <v>1</v>
      </c>
      <c r="T42" s="310">
        <f>MIN(1,T$7/elasticities!$I$23)</f>
        <v>1</v>
      </c>
      <c r="U42" s="310">
        <f>MIN(1,U$7/elasticities!$I$23)</f>
        <v>1</v>
      </c>
      <c r="V42" s="310">
        <f>MIN(1,V$7/elasticities!$I$23)</f>
        <v>1</v>
      </c>
      <c r="W42" s="310">
        <f>MIN(1,W$7/elasticities!$I$23)</f>
        <v>1</v>
      </c>
      <c r="X42" s="310">
        <f>MIN(1,X$7/elasticities!$I$23)</f>
        <v>1</v>
      </c>
      <c r="Y42" s="310">
        <f>MIN(1,Y$7/elasticities!$I$23)</f>
        <v>1</v>
      </c>
      <c r="Z42" s="310">
        <f>MIN(1,Z$7/elasticities!$I$23)</f>
        <v>1</v>
      </c>
      <c r="AA42" s="310">
        <f>MIN(1,AA$7/elasticities!$I$23)</f>
        <v>1</v>
      </c>
      <c r="AB42" s="310">
        <f>MIN(1,AB$7/elasticities!$I$23)</f>
        <v>1</v>
      </c>
      <c r="AC42" s="310">
        <f>MIN(1,AC$7/elasticities!$I$23)</f>
        <v>1</v>
      </c>
      <c r="AD42" s="310">
        <f>MIN(1,AD$7/elasticities!$I$23)</f>
        <v>1</v>
      </c>
      <c r="AE42" s="310">
        <f>MIN(1,AE$7/elasticities!$I$23)</f>
        <v>1</v>
      </c>
      <c r="AF42" s="310">
        <f>MIN(1,AF$7/elasticities!$I$23)</f>
        <v>1</v>
      </c>
      <c r="AG42" s="310">
        <f>MIN(1,AG$7/elasticities!$I$23)</f>
        <v>1</v>
      </c>
    </row>
    <row r="43" spans="1:33" ht="12.9" customHeight="1">
      <c r="A43" s="385" t="s">
        <v>231</v>
      </c>
      <c r="B43" s="38" t="s">
        <v>464</v>
      </c>
      <c r="C43" s="310">
        <f>MIN(1,C$7/elasticities!$I$24)</f>
        <v>0.05</v>
      </c>
      <c r="D43" s="310">
        <f>MIN(1,D$7/elasticities!$I$24)</f>
        <v>0.1</v>
      </c>
      <c r="E43" s="310">
        <f>MIN(1,E$7/elasticities!$I$24)</f>
        <v>0.15</v>
      </c>
      <c r="F43" s="310">
        <f>MIN(1,F$7/elasticities!$I$24)</f>
        <v>0.2</v>
      </c>
      <c r="G43" s="310">
        <f>MIN(1,G$7/elasticities!$I$24)</f>
        <v>0.25</v>
      </c>
      <c r="H43" s="310">
        <f>MIN(1,H$7/elasticities!$I$24)</f>
        <v>0.3</v>
      </c>
      <c r="I43" s="310">
        <f>MIN(1,I$7/elasticities!$I$24)</f>
        <v>0.35</v>
      </c>
      <c r="J43" s="310">
        <f>MIN(1,J$7/elasticities!$I$24)</f>
        <v>0.4</v>
      </c>
      <c r="K43" s="310">
        <f>MIN(1,K$7/elasticities!$I$24)</f>
        <v>0.45</v>
      </c>
      <c r="L43" s="310">
        <f>MIN(1,L$7/elasticities!$I$24)</f>
        <v>0.5</v>
      </c>
      <c r="M43" s="310">
        <f>MIN(1,M$7/elasticities!$I$24)</f>
        <v>0.55000000000000004</v>
      </c>
      <c r="N43" s="310">
        <f>MIN(1,N$7/elasticities!$I$24)</f>
        <v>0.6</v>
      </c>
      <c r="O43" s="310">
        <f>MIN(1,O$7/elasticities!$I$24)</f>
        <v>0.65</v>
      </c>
      <c r="P43" s="310">
        <f>MIN(1,P$7/elasticities!$I$24)</f>
        <v>0.7</v>
      </c>
      <c r="Q43" s="310">
        <f>MIN(1,Q$7/elasticities!$I$24)</f>
        <v>0.75</v>
      </c>
      <c r="R43" s="310">
        <f>MIN(1,R$7/elasticities!$I$24)</f>
        <v>0.8</v>
      </c>
      <c r="S43" s="310">
        <f>MIN(1,S$7/elasticities!$I$24)</f>
        <v>0.85</v>
      </c>
      <c r="T43" s="310">
        <f>MIN(1,T$7/elasticities!$I$24)</f>
        <v>0.9</v>
      </c>
      <c r="U43" s="310">
        <f>MIN(1,U$7/elasticities!$I$24)</f>
        <v>0.95</v>
      </c>
      <c r="V43" s="310">
        <f>MIN(1,V$7/elasticities!$I$24)</f>
        <v>1</v>
      </c>
      <c r="W43" s="310">
        <f>MIN(1,W$7/elasticities!$I$24)</f>
        <v>1</v>
      </c>
      <c r="X43" s="310">
        <f>MIN(1,X$7/elasticities!$I$24)</f>
        <v>1</v>
      </c>
      <c r="Y43" s="310">
        <f>MIN(1,Y$7/elasticities!$I$24)</f>
        <v>1</v>
      </c>
      <c r="Z43" s="310">
        <f>MIN(1,Z$7/elasticities!$I$24)</f>
        <v>1</v>
      </c>
      <c r="AA43" s="310">
        <f>MIN(1,AA$7/elasticities!$I$24)</f>
        <v>1</v>
      </c>
      <c r="AB43" s="310">
        <f>MIN(1,AB$7/elasticities!$I$24)</f>
        <v>1</v>
      </c>
      <c r="AC43" s="310">
        <f>MIN(1,AC$7/elasticities!$I$24)</f>
        <v>1</v>
      </c>
      <c r="AD43" s="310">
        <f>MIN(1,AD$7/elasticities!$I$24)</f>
        <v>1</v>
      </c>
      <c r="AE43" s="310">
        <f>MIN(1,AE$7/elasticities!$I$24)</f>
        <v>1</v>
      </c>
      <c r="AF43" s="310">
        <f>MIN(1,AF$7/elasticities!$I$24)</f>
        <v>1</v>
      </c>
      <c r="AG43" s="310">
        <f>MIN(1,AG$7/elasticities!$I$24)</f>
        <v>1</v>
      </c>
    </row>
    <row r="44" spans="1:33" s="408" customFormat="1" ht="12.9" customHeight="1">
      <c r="A44" s="50" t="s">
        <v>1361</v>
      </c>
      <c r="B44" s="5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310"/>
      <c r="AF44" s="310"/>
      <c r="AG44" s="310"/>
    </row>
    <row r="45" spans="1:33" s="179" customFormat="1" ht="12.9" customHeight="1">
      <c r="A45" s="385" t="s">
        <v>1362</v>
      </c>
      <c r="B45" s="38" t="s">
        <v>464</v>
      </c>
      <c r="C45" s="310">
        <f>MIN(1,C$7/elasticities!$I$19)</f>
        <v>0.33333333333333331</v>
      </c>
      <c r="D45" s="310">
        <f>MIN(1,D$7/elasticities!$I$19)</f>
        <v>0.66666666666666663</v>
      </c>
      <c r="E45" s="310">
        <f>MIN(1,E$7/elasticities!$I$19)</f>
        <v>1</v>
      </c>
      <c r="F45" s="310">
        <f>MIN(1,F$7/elasticities!$I$19)</f>
        <v>1</v>
      </c>
      <c r="G45" s="310">
        <f>MIN(1,G$7/elasticities!$I$19)</f>
        <v>1</v>
      </c>
      <c r="H45" s="310">
        <f>MIN(1,H$7/elasticities!$I$19)</f>
        <v>1</v>
      </c>
      <c r="I45" s="310">
        <f>MIN(1,I$7/elasticities!$I$19)</f>
        <v>1</v>
      </c>
      <c r="J45" s="310">
        <f>MIN(1,J$7/elasticities!$I$19)</f>
        <v>1</v>
      </c>
      <c r="K45" s="310">
        <f>MIN(1,K$7/elasticities!$I$19)</f>
        <v>1</v>
      </c>
      <c r="L45" s="310">
        <f>MIN(1,L$7/elasticities!$I$19)</f>
        <v>1</v>
      </c>
      <c r="M45" s="310">
        <f>MIN(1,M$7/elasticities!$I$19)</f>
        <v>1</v>
      </c>
      <c r="N45" s="310">
        <f>MIN(1,N$7/elasticities!$I$19)</f>
        <v>1</v>
      </c>
      <c r="O45" s="310">
        <f>MIN(1,O$7/elasticities!$I$19)</f>
        <v>1</v>
      </c>
      <c r="P45" s="310">
        <f>MIN(1,P$7/elasticities!$I$19)</f>
        <v>1</v>
      </c>
      <c r="Q45" s="310">
        <f>MIN(1,Q$7/elasticities!$I$19)</f>
        <v>1</v>
      </c>
      <c r="R45" s="310">
        <f>MIN(1,R$7/elasticities!$I$19)</f>
        <v>1</v>
      </c>
      <c r="S45" s="310">
        <f>MIN(1,S$7/elasticities!$I$19)</f>
        <v>1</v>
      </c>
      <c r="T45" s="310">
        <f>MIN(1,T$7/elasticities!$I$19)</f>
        <v>1</v>
      </c>
      <c r="U45" s="310">
        <f>MIN(1,U$7/elasticities!$I$19)</f>
        <v>1</v>
      </c>
      <c r="V45" s="310">
        <f>MIN(1,V$7/elasticities!$I$19)</f>
        <v>1</v>
      </c>
      <c r="W45" s="310">
        <f>MIN(1,W$7/elasticities!$I$19)</f>
        <v>1</v>
      </c>
      <c r="X45" s="310">
        <f>MIN(1,X$7/elasticities!$I$19)</f>
        <v>1</v>
      </c>
      <c r="Y45" s="310">
        <f>MIN(1,Y$7/elasticities!$I$19)</f>
        <v>1</v>
      </c>
      <c r="Z45" s="310">
        <f>MIN(1,Z$7/elasticities!$I$19)</f>
        <v>1</v>
      </c>
      <c r="AA45" s="310">
        <f>MIN(1,AA$7/elasticities!$I$19)</f>
        <v>1</v>
      </c>
      <c r="AB45" s="310">
        <f>MIN(1,AB$7/elasticities!$I$19)</f>
        <v>1</v>
      </c>
      <c r="AC45" s="310">
        <f>MIN(1,AC$7/elasticities!$I$19)</f>
        <v>1</v>
      </c>
      <c r="AD45" s="310">
        <f>MIN(1,AD$7/elasticities!$I$19)</f>
        <v>1</v>
      </c>
      <c r="AE45" s="310">
        <f>MIN(1,AE$7/elasticities!$I$19)</f>
        <v>1</v>
      </c>
      <c r="AF45" s="310">
        <f>MIN(1,AF$7/elasticities!$I$19)</f>
        <v>1</v>
      </c>
      <c r="AG45" s="310">
        <f>MIN(1,AG$7/elasticities!$I$19)</f>
        <v>1</v>
      </c>
    </row>
    <row r="46" spans="1:33" s="408" customFormat="1" ht="12.9" customHeight="1">
      <c r="A46" s="385" t="s">
        <v>1363</v>
      </c>
      <c r="B46" s="50" t="s">
        <v>464</v>
      </c>
      <c r="C46" s="310">
        <f>MIN(1,C$7/elasticities!$I$14)</f>
        <v>0.1</v>
      </c>
      <c r="D46" s="310">
        <f>MIN(1,D$7/elasticities!$I$14)</f>
        <v>0.2</v>
      </c>
      <c r="E46" s="310">
        <f>MIN(1,E$7/elasticities!$I$14)</f>
        <v>0.3</v>
      </c>
      <c r="F46" s="310">
        <f>MIN(1,F$7/elasticities!$I$14)</f>
        <v>0.4</v>
      </c>
      <c r="G46" s="310">
        <f>MIN(1,G$7/elasticities!$I$14)</f>
        <v>0.5</v>
      </c>
      <c r="H46" s="310">
        <f>MIN(1,H$7/elasticities!$I$14)</f>
        <v>0.6</v>
      </c>
      <c r="I46" s="310">
        <f>MIN(1,I$7/elasticities!$I$14)</f>
        <v>0.7</v>
      </c>
      <c r="J46" s="310">
        <f>MIN(1,J$7/elasticities!$I$14)</f>
        <v>0.8</v>
      </c>
      <c r="K46" s="310">
        <f>MIN(1,K$7/elasticities!$I$14)</f>
        <v>0.9</v>
      </c>
      <c r="L46" s="310">
        <f>MIN(1,L$7/elasticities!$I$14)</f>
        <v>1</v>
      </c>
      <c r="M46" s="310">
        <f>MIN(1,M$7/elasticities!$I$14)</f>
        <v>1</v>
      </c>
      <c r="N46" s="310">
        <f>MIN(1,N$7/elasticities!$I$14)</f>
        <v>1</v>
      </c>
      <c r="O46" s="310">
        <f>MIN(1,O$7/elasticities!$I$14)</f>
        <v>1</v>
      </c>
      <c r="P46" s="310">
        <f>MIN(1,P$7/elasticities!$I$14)</f>
        <v>1</v>
      </c>
      <c r="Q46" s="310">
        <f>MIN(1,Q$7/elasticities!$I$14)</f>
        <v>1</v>
      </c>
      <c r="R46" s="310">
        <f>MIN(1,R$7/elasticities!$I$14)</f>
        <v>1</v>
      </c>
      <c r="S46" s="310">
        <f>MIN(1,S$7/elasticities!$I$14)</f>
        <v>1</v>
      </c>
      <c r="T46" s="310">
        <f>MIN(1,T$7/elasticities!$I$14)</f>
        <v>1</v>
      </c>
      <c r="U46" s="310">
        <f>MIN(1,U$7/elasticities!$I$14)</f>
        <v>1</v>
      </c>
      <c r="V46" s="310">
        <f>MIN(1,V$7/elasticities!$I$14)</f>
        <v>1</v>
      </c>
      <c r="W46" s="310">
        <f>MIN(1,W$7/elasticities!$I$14)</f>
        <v>1</v>
      </c>
      <c r="X46" s="310">
        <f>MIN(1,X$7/elasticities!$I$14)</f>
        <v>1</v>
      </c>
      <c r="Y46" s="310">
        <f>MIN(1,Y$7/elasticities!$I$14)</f>
        <v>1</v>
      </c>
      <c r="Z46" s="310">
        <f>MIN(1,Z$7/elasticities!$I$14)</f>
        <v>1</v>
      </c>
      <c r="AA46" s="310">
        <f>MIN(1,AA$7/elasticities!$I$14)</f>
        <v>1</v>
      </c>
      <c r="AB46" s="310">
        <f>MIN(1,AB$7/elasticities!$I$14)</f>
        <v>1</v>
      </c>
      <c r="AC46" s="310">
        <f>MIN(1,AC$7/elasticities!$I$14)</f>
        <v>1</v>
      </c>
      <c r="AD46" s="310">
        <f>MIN(1,AD$7/elasticities!$I$14)</f>
        <v>1</v>
      </c>
      <c r="AE46" s="310">
        <f>MIN(1,AE$7/elasticities!$I$14)</f>
        <v>1</v>
      </c>
      <c r="AF46" s="310">
        <f>MIN(1,AF$7/elasticities!$I$14)</f>
        <v>1</v>
      </c>
      <c r="AG46" s="310">
        <f>MIN(1,AG$7/elasticities!$I$14)</f>
        <v>1</v>
      </c>
    </row>
    <row r="47" spans="1:33" s="408" customFormat="1" ht="12.9" customHeight="1">
      <c r="A47" s="385" t="s">
        <v>1364</v>
      </c>
      <c r="B47" s="50" t="s">
        <v>464</v>
      </c>
      <c r="C47" s="310">
        <f>MIN(1,C$7/elasticities!$I$16)</f>
        <v>0.1</v>
      </c>
      <c r="D47" s="310">
        <f>MIN(1,D$7/elasticities!$I$16)</f>
        <v>0.2</v>
      </c>
      <c r="E47" s="310">
        <f>MIN(1,E$7/elasticities!$I$16)</f>
        <v>0.3</v>
      </c>
      <c r="F47" s="310">
        <f>MIN(1,F$7/elasticities!$I$16)</f>
        <v>0.4</v>
      </c>
      <c r="G47" s="310">
        <f>MIN(1,G$7/elasticities!$I$16)</f>
        <v>0.5</v>
      </c>
      <c r="H47" s="310">
        <f>MIN(1,H$7/elasticities!$I$16)</f>
        <v>0.6</v>
      </c>
      <c r="I47" s="310">
        <f>MIN(1,I$7/elasticities!$I$16)</f>
        <v>0.7</v>
      </c>
      <c r="J47" s="310">
        <f>MIN(1,J$7/elasticities!$I$16)</f>
        <v>0.8</v>
      </c>
      <c r="K47" s="310">
        <f>MIN(1,K$7/elasticities!$I$16)</f>
        <v>0.9</v>
      </c>
      <c r="L47" s="310">
        <f>MIN(1,L$7/elasticities!$I$16)</f>
        <v>1</v>
      </c>
      <c r="M47" s="310">
        <f>MIN(1,M$7/elasticities!$I$16)</f>
        <v>1</v>
      </c>
      <c r="N47" s="310">
        <f>MIN(1,N$7/elasticities!$I$16)</f>
        <v>1</v>
      </c>
      <c r="O47" s="310">
        <f>MIN(1,O$7/elasticities!$I$16)</f>
        <v>1</v>
      </c>
      <c r="P47" s="310">
        <f>MIN(1,P$7/elasticities!$I$16)</f>
        <v>1</v>
      </c>
      <c r="Q47" s="310">
        <f>MIN(1,Q$7/elasticities!$I$16)</f>
        <v>1</v>
      </c>
      <c r="R47" s="310">
        <f>MIN(1,R$7/elasticities!$I$16)</f>
        <v>1</v>
      </c>
      <c r="S47" s="310">
        <f>MIN(1,S$7/elasticities!$I$16)</f>
        <v>1</v>
      </c>
      <c r="T47" s="310">
        <f>MIN(1,T$7/elasticities!$I$16)</f>
        <v>1</v>
      </c>
      <c r="U47" s="310">
        <f>MIN(1,U$7/elasticities!$I$16)</f>
        <v>1</v>
      </c>
      <c r="V47" s="310">
        <f>MIN(1,V$7/elasticities!$I$16)</f>
        <v>1</v>
      </c>
      <c r="W47" s="310">
        <f>MIN(1,W$7/elasticities!$I$16)</f>
        <v>1</v>
      </c>
      <c r="X47" s="310">
        <f>MIN(1,X$7/elasticities!$I$16)</f>
        <v>1</v>
      </c>
      <c r="Y47" s="310">
        <f>MIN(1,Y$7/elasticities!$I$16)</f>
        <v>1</v>
      </c>
      <c r="Z47" s="310">
        <f>MIN(1,Z$7/elasticities!$I$16)</f>
        <v>1</v>
      </c>
      <c r="AA47" s="310">
        <f>MIN(1,AA$7/elasticities!$I$16)</f>
        <v>1</v>
      </c>
      <c r="AB47" s="310">
        <f>MIN(1,AB$7/elasticities!$I$16)</f>
        <v>1</v>
      </c>
      <c r="AC47" s="310">
        <f>MIN(1,AC$7/elasticities!$I$16)</f>
        <v>1</v>
      </c>
      <c r="AD47" s="310">
        <f>MIN(1,AD$7/elasticities!$I$16)</f>
        <v>1</v>
      </c>
      <c r="AE47" s="310">
        <f>MIN(1,AE$7/elasticities!$I$16)</f>
        <v>1</v>
      </c>
      <c r="AF47" s="310">
        <f>MIN(1,AF$7/elasticities!$I$16)</f>
        <v>1</v>
      </c>
      <c r="AG47" s="310">
        <f>MIN(1,AG$7/elasticities!$I$16)</f>
        <v>1</v>
      </c>
    </row>
    <row r="48" spans="1:33" ht="12.9" customHeight="1">
      <c r="A48" s="385"/>
      <c r="B48" s="38"/>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row>
    <row r="49" spans="1:33" ht="12.9" customHeight="1">
      <c r="A49" s="407" t="s">
        <v>468</v>
      </c>
      <c r="B49" s="38"/>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row>
    <row r="50" spans="1:33" s="408" customFormat="1" ht="12.9" customHeight="1">
      <c r="A50" s="414" t="s">
        <v>1360</v>
      </c>
      <c r="B50" s="50"/>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row>
    <row r="51" spans="1:33" ht="12.9" customHeight="1">
      <c r="A51" s="385" t="s">
        <v>82</v>
      </c>
      <c r="B51" s="38" t="s">
        <v>464</v>
      </c>
      <c r="C51" s="310">
        <f>C31*elasticities!$H$6</f>
        <v>-6.0499999999999998E-2</v>
      </c>
      <c r="D51" s="310">
        <f>D31*elasticities!$H$6</f>
        <v>-0.121</v>
      </c>
      <c r="E51" s="310">
        <f>E31*elasticities!$H$6</f>
        <v>-0.18149999999999999</v>
      </c>
      <c r="F51" s="310">
        <f>F31*elasticities!$H$6</f>
        <v>-0.24199999999999999</v>
      </c>
      <c r="G51" s="310">
        <f>G31*elasticities!$H$6</f>
        <v>-0.30249999999999999</v>
      </c>
      <c r="H51" s="310">
        <f>H31*elasticities!$H$6</f>
        <v>-0.36299999999999999</v>
      </c>
      <c r="I51" s="310">
        <f>I31*elasticities!$H$6</f>
        <v>-0.42349999999999999</v>
      </c>
      <c r="J51" s="310">
        <f>J31*elasticities!$H$6</f>
        <v>-0.48399999999999999</v>
      </c>
      <c r="K51" s="310">
        <f>K31*elasticities!$H$6</f>
        <v>-0.54449999999999998</v>
      </c>
      <c r="L51" s="310">
        <f>L31*elasticities!$H$6</f>
        <v>-0.60499999999999998</v>
      </c>
      <c r="M51" s="310">
        <f>M31*elasticities!$H$6</f>
        <v>-0.60499999999999998</v>
      </c>
      <c r="N51" s="310">
        <f>N31*elasticities!$H$6</f>
        <v>-0.60499999999999998</v>
      </c>
      <c r="O51" s="310">
        <f>O31*elasticities!$H$6</f>
        <v>-0.60499999999999998</v>
      </c>
      <c r="P51" s="310">
        <f>P31*elasticities!$H$6</f>
        <v>-0.60499999999999998</v>
      </c>
      <c r="Q51" s="310">
        <f>Q31*elasticities!$H$6</f>
        <v>-0.60499999999999998</v>
      </c>
      <c r="R51" s="310">
        <f>R31*elasticities!$H$6</f>
        <v>-0.60499999999999998</v>
      </c>
      <c r="S51" s="310">
        <f>S31*elasticities!$H$6</f>
        <v>-0.60499999999999998</v>
      </c>
      <c r="T51" s="310">
        <f>T31*elasticities!$H$6</f>
        <v>-0.60499999999999998</v>
      </c>
      <c r="U51" s="310">
        <f>U31*elasticities!$H$6</f>
        <v>-0.60499999999999998</v>
      </c>
      <c r="V51" s="310">
        <f>V31*elasticities!$H$6</f>
        <v>-0.60499999999999998</v>
      </c>
      <c r="W51" s="310">
        <f>W31*elasticities!$H$6</f>
        <v>-0.60499999999999998</v>
      </c>
      <c r="X51" s="310">
        <f>X31*elasticities!$H$6</f>
        <v>-0.60499999999999998</v>
      </c>
      <c r="Y51" s="310">
        <f>Y31*elasticities!$H$6</f>
        <v>-0.60499999999999998</v>
      </c>
      <c r="Z51" s="310">
        <f>Z31*elasticities!$H$6</f>
        <v>-0.60499999999999998</v>
      </c>
      <c r="AA51" s="310">
        <f>AA31*elasticities!$H$6</f>
        <v>-0.60499999999999998</v>
      </c>
      <c r="AB51" s="310">
        <f>AB31*elasticities!$H$6</f>
        <v>-0.60499999999999998</v>
      </c>
      <c r="AC51" s="310">
        <f>AC31*elasticities!$H$6</f>
        <v>-0.60499999999999998</v>
      </c>
      <c r="AD51" s="310">
        <f>AD31*elasticities!$H$6</f>
        <v>-0.60499999999999998</v>
      </c>
      <c r="AE51" s="310">
        <f>AE31*elasticities!$H$6</f>
        <v>-0.60499999999999998</v>
      </c>
      <c r="AF51" s="310">
        <f>AF31*elasticities!$H$6</f>
        <v>-0.60499999999999998</v>
      </c>
      <c r="AG51" s="310">
        <f>AG31*elasticities!$H$6</f>
        <v>-0.60499999999999998</v>
      </c>
    </row>
    <row r="52" spans="1:33" ht="12.9" customHeight="1">
      <c r="A52" s="385" t="s">
        <v>233</v>
      </c>
      <c r="B52" s="38" t="s">
        <v>464</v>
      </c>
      <c r="C52" s="310">
        <f>C32*elasticities!$H$8</f>
        <v>-0.21333333333333332</v>
      </c>
      <c r="D52" s="310">
        <f>D32*elasticities!$H$8</f>
        <v>-0.42666666666666664</v>
      </c>
      <c r="E52" s="310">
        <f>E32*elasticities!$H$8</f>
        <v>-0.64</v>
      </c>
      <c r="F52" s="310">
        <f>F32*elasticities!$H$8</f>
        <v>-0.64</v>
      </c>
      <c r="G52" s="310">
        <f>G32*elasticities!$H$8</f>
        <v>-0.64</v>
      </c>
      <c r="H52" s="310">
        <f>H32*elasticities!$H$8</f>
        <v>-0.64</v>
      </c>
      <c r="I52" s="310">
        <f>I32*elasticities!$H$8</f>
        <v>-0.64</v>
      </c>
      <c r="J52" s="310">
        <f>J32*elasticities!$H$8</f>
        <v>-0.64</v>
      </c>
      <c r="K52" s="310">
        <f>K32*elasticities!$H$8</f>
        <v>-0.64</v>
      </c>
      <c r="L52" s="310">
        <f>L32*elasticities!$H$8</f>
        <v>-0.64</v>
      </c>
      <c r="M52" s="310">
        <f>M32*elasticities!$H$8</f>
        <v>-0.64</v>
      </c>
      <c r="N52" s="310">
        <f>N32*elasticities!$H$8</f>
        <v>-0.64</v>
      </c>
      <c r="O52" s="310">
        <f>O32*elasticities!$H$8</f>
        <v>-0.64</v>
      </c>
      <c r="P52" s="310">
        <f>P32*elasticities!$H$8</f>
        <v>-0.64</v>
      </c>
      <c r="Q52" s="310">
        <f>Q32*elasticities!$H$8</f>
        <v>-0.64</v>
      </c>
      <c r="R52" s="310">
        <f>R32*elasticities!$H$8</f>
        <v>-0.64</v>
      </c>
      <c r="S52" s="310">
        <f>S32*elasticities!$H$8</f>
        <v>-0.64</v>
      </c>
      <c r="T52" s="310">
        <f>T32*elasticities!$H$8</f>
        <v>-0.64</v>
      </c>
      <c r="U52" s="310">
        <f>U32*elasticities!$H$8</f>
        <v>-0.64</v>
      </c>
      <c r="V52" s="310">
        <f>V32*elasticities!$H$8</f>
        <v>-0.64</v>
      </c>
      <c r="W52" s="310">
        <f>W32*elasticities!$H$8</f>
        <v>-0.64</v>
      </c>
      <c r="X52" s="310">
        <f>X32*elasticities!$H$8</f>
        <v>-0.64</v>
      </c>
      <c r="Y52" s="310">
        <f>Y32*elasticities!$H$8</f>
        <v>-0.64</v>
      </c>
      <c r="Z52" s="310">
        <f>Z32*elasticities!$H$8</f>
        <v>-0.64</v>
      </c>
      <c r="AA52" s="310">
        <f>AA32*elasticities!$H$8</f>
        <v>-0.64</v>
      </c>
      <c r="AB52" s="310">
        <f>AB32*elasticities!$H$8</f>
        <v>-0.64</v>
      </c>
      <c r="AC52" s="310">
        <f>AC32*elasticities!$H$8</f>
        <v>-0.64</v>
      </c>
      <c r="AD52" s="310">
        <f>AD32*elasticities!$H$8</f>
        <v>-0.64</v>
      </c>
      <c r="AE52" s="310">
        <f>AE32*elasticities!$H$8</f>
        <v>-0.64</v>
      </c>
      <c r="AF52" s="310">
        <f>AF32*elasticities!$H$8</f>
        <v>-0.64</v>
      </c>
      <c r="AG52" s="310">
        <f>AG32*elasticities!$H$8</f>
        <v>-0.64</v>
      </c>
    </row>
    <row r="53" spans="1:33" ht="12.9" customHeight="1">
      <c r="A53" s="385" t="s">
        <v>232</v>
      </c>
      <c r="B53" s="38" t="s">
        <v>464</v>
      </c>
      <c r="C53" s="310">
        <f>C33*elasticities!$H$9</f>
        <v>-4.3500000000000004E-2</v>
      </c>
      <c r="D53" s="310">
        <f>D33*elasticities!$H$9</f>
        <v>-8.7000000000000008E-2</v>
      </c>
      <c r="E53" s="310">
        <f>E33*elasticities!$H$9</f>
        <v>-0.1305</v>
      </c>
      <c r="F53" s="310">
        <f>F33*elasticities!$H$9</f>
        <v>-0.17400000000000002</v>
      </c>
      <c r="G53" s="310">
        <f>G33*elasticities!$H$9</f>
        <v>-0.2175</v>
      </c>
      <c r="H53" s="310">
        <f>H33*elasticities!$H$9</f>
        <v>-0.26100000000000001</v>
      </c>
      <c r="I53" s="310">
        <f>I33*elasticities!$H$9</f>
        <v>-0.30449999999999999</v>
      </c>
      <c r="J53" s="310">
        <f>J33*elasticities!$H$9</f>
        <v>-0.34800000000000003</v>
      </c>
      <c r="K53" s="310">
        <f>K33*elasticities!$H$9</f>
        <v>-0.39150000000000001</v>
      </c>
      <c r="L53" s="310">
        <f>L33*elasticities!$H$9</f>
        <v>-0.435</v>
      </c>
      <c r="M53" s="310">
        <f>M33*elasticities!$H$9</f>
        <v>-0.435</v>
      </c>
      <c r="N53" s="310">
        <f>N33*elasticities!$H$9</f>
        <v>-0.435</v>
      </c>
      <c r="O53" s="310">
        <f>O33*elasticities!$H$9</f>
        <v>-0.435</v>
      </c>
      <c r="P53" s="310">
        <f>P33*elasticities!$H$9</f>
        <v>-0.435</v>
      </c>
      <c r="Q53" s="310">
        <f>Q33*elasticities!$H$9</f>
        <v>-0.435</v>
      </c>
      <c r="R53" s="310">
        <f>R33*elasticities!$H$9</f>
        <v>-0.435</v>
      </c>
      <c r="S53" s="310">
        <f>S33*elasticities!$H$9</f>
        <v>-0.435</v>
      </c>
      <c r="T53" s="310">
        <f>T33*elasticities!$H$9</f>
        <v>-0.435</v>
      </c>
      <c r="U53" s="310">
        <f>U33*elasticities!$H$9</f>
        <v>-0.435</v>
      </c>
      <c r="V53" s="310">
        <f>V33*elasticities!$H$9</f>
        <v>-0.435</v>
      </c>
      <c r="W53" s="310">
        <f>W33*elasticities!$H$9</f>
        <v>-0.435</v>
      </c>
      <c r="X53" s="310">
        <f>X33*elasticities!$H$9</f>
        <v>-0.435</v>
      </c>
      <c r="Y53" s="310">
        <f>Y33*elasticities!$H$9</f>
        <v>-0.435</v>
      </c>
      <c r="Z53" s="310">
        <f>Z33*elasticities!$H$9</f>
        <v>-0.435</v>
      </c>
      <c r="AA53" s="310">
        <f>AA33*elasticities!$H$9</f>
        <v>-0.435</v>
      </c>
      <c r="AB53" s="310">
        <f>AB33*elasticities!$H$9</f>
        <v>-0.435</v>
      </c>
      <c r="AC53" s="310">
        <f>AC33*elasticities!$H$9</f>
        <v>-0.435</v>
      </c>
      <c r="AD53" s="310">
        <f>AD33*elasticities!$H$9</f>
        <v>-0.435</v>
      </c>
      <c r="AE53" s="310">
        <f>AE33*elasticities!$H$9</f>
        <v>-0.435</v>
      </c>
      <c r="AF53" s="310">
        <f>AF33*elasticities!$H$9</f>
        <v>-0.435</v>
      </c>
      <c r="AG53" s="310">
        <f>AG33*elasticities!$H$9</f>
        <v>-0.435</v>
      </c>
    </row>
    <row r="54" spans="1:33" ht="12.9" customHeight="1">
      <c r="A54" s="385" t="s">
        <v>189</v>
      </c>
      <c r="B54" s="38" t="s">
        <v>464</v>
      </c>
      <c r="C54" s="310">
        <f>C34*elasticities!$H$10</f>
        <v>-3.6499999999999998E-2</v>
      </c>
      <c r="D54" s="310">
        <f>D34*elasticities!$H$10</f>
        <v>-7.2999999999999995E-2</v>
      </c>
      <c r="E54" s="310">
        <f>E34*elasticities!$H$10</f>
        <v>-0.1095</v>
      </c>
      <c r="F54" s="310">
        <f>F34*elasticities!$H$10</f>
        <v>-0.14599999999999999</v>
      </c>
      <c r="G54" s="310">
        <f>G34*elasticities!$H$10</f>
        <v>-0.1825</v>
      </c>
      <c r="H54" s="310">
        <f>H34*elasticities!$H$10</f>
        <v>-0.219</v>
      </c>
      <c r="I54" s="310">
        <f>I34*elasticities!$H$10</f>
        <v>-0.2555</v>
      </c>
      <c r="J54" s="310">
        <f>J34*elasticities!$H$10</f>
        <v>-0.29199999999999998</v>
      </c>
      <c r="K54" s="310">
        <f>K34*elasticities!$H$10</f>
        <v>-0.32850000000000001</v>
      </c>
      <c r="L54" s="310">
        <f>L34*elasticities!$H$10</f>
        <v>-0.36499999999999999</v>
      </c>
      <c r="M54" s="310">
        <f>M34*elasticities!$H$10</f>
        <v>-0.36499999999999999</v>
      </c>
      <c r="N54" s="310">
        <f>N34*elasticities!$H$10</f>
        <v>-0.36499999999999999</v>
      </c>
      <c r="O54" s="310">
        <f>O34*elasticities!$H$10</f>
        <v>-0.36499999999999999</v>
      </c>
      <c r="P54" s="310">
        <f>P34*elasticities!$H$10</f>
        <v>-0.36499999999999999</v>
      </c>
      <c r="Q54" s="310">
        <f>Q34*elasticities!$H$10</f>
        <v>-0.36499999999999999</v>
      </c>
      <c r="R54" s="310">
        <f>R34*elasticities!$H$10</f>
        <v>-0.36499999999999999</v>
      </c>
      <c r="S54" s="310">
        <f>S34*elasticities!$H$10</f>
        <v>-0.36499999999999999</v>
      </c>
      <c r="T54" s="310">
        <f>T34*elasticities!$H$10</f>
        <v>-0.36499999999999999</v>
      </c>
      <c r="U54" s="310">
        <f>U34*elasticities!$H$10</f>
        <v>-0.36499999999999999</v>
      </c>
      <c r="V54" s="310">
        <f>V34*elasticities!$H$10</f>
        <v>-0.36499999999999999</v>
      </c>
      <c r="W54" s="310">
        <f>W34*elasticities!$H$10</f>
        <v>-0.36499999999999999</v>
      </c>
      <c r="X54" s="310">
        <f>X34*elasticities!$H$10</f>
        <v>-0.36499999999999999</v>
      </c>
      <c r="Y54" s="310">
        <f>Y34*elasticities!$H$10</f>
        <v>-0.36499999999999999</v>
      </c>
      <c r="Z54" s="310">
        <f>Z34*elasticities!$H$10</f>
        <v>-0.36499999999999999</v>
      </c>
      <c r="AA54" s="310">
        <f>AA34*elasticities!$H$10</f>
        <v>-0.36499999999999999</v>
      </c>
      <c r="AB54" s="310">
        <f>AB34*elasticities!$H$10</f>
        <v>-0.36499999999999999</v>
      </c>
      <c r="AC54" s="310">
        <f>AC34*elasticities!$H$10</f>
        <v>-0.36499999999999999</v>
      </c>
      <c r="AD54" s="310">
        <f>AD34*elasticities!$H$10</f>
        <v>-0.36499999999999999</v>
      </c>
      <c r="AE54" s="310">
        <f>AE34*elasticities!$H$10</f>
        <v>-0.36499999999999999</v>
      </c>
      <c r="AF54" s="310">
        <f>AF34*elasticities!$H$10</f>
        <v>-0.36499999999999999</v>
      </c>
      <c r="AG54" s="310">
        <f>AG34*elasticities!$H$10</f>
        <v>-0.36499999999999999</v>
      </c>
    </row>
    <row r="55" spans="1:33" ht="12.9" customHeight="1">
      <c r="A55" s="385" t="s">
        <v>3</v>
      </c>
      <c r="B55" s="38" t="s">
        <v>464</v>
      </c>
      <c r="C55" s="310">
        <f>C35*elasticities!$H$11</f>
        <v>-2.2499999999999999E-2</v>
      </c>
      <c r="D55" s="310">
        <f>D35*elasticities!$H$11</f>
        <v>-4.4999999999999998E-2</v>
      </c>
      <c r="E55" s="310">
        <f>E35*elasticities!$H$11</f>
        <v>-6.7499999999999991E-2</v>
      </c>
      <c r="F55" s="310">
        <f>F35*elasticities!$H$11</f>
        <v>-0.09</v>
      </c>
      <c r="G55" s="310">
        <f>G35*elasticities!$H$11</f>
        <v>-0.11249999999999999</v>
      </c>
      <c r="H55" s="310">
        <f>H35*elasticities!$H$11</f>
        <v>-0.13499999999999998</v>
      </c>
      <c r="I55" s="310">
        <f>I35*elasticities!$H$11</f>
        <v>-0.15749999999999997</v>
      </c>
      <c r="J55" s="310">
        <f>J35*elasticities!$H$11</f>
        <v>-0.18</v>
      </c>
      <c r="K55" s="310">
        <f>K35*elasticities!$H$11</f>
        <v>-0.20249999999999999</v>
      </c>
      <c r="L55" s="310">
        <f>L35*elasticities!$H$11</f>
        <v>-0.22499999999999998</v>
      </c>
      <c r="M55" s="310">
        <f>M35*elasticities!$H$11</f>
        <v>-0.22499999999999998</v>
      </c>
      <c r="N55" s="310">
        <f>N35*elasticities!$H$11</f>
        <v>-0.22499999999999998</v>
      </c>
      <c r="O55" s="310">
        <f>O35*elasticities!$H$11</f>
        <v>-0.22499999999999998</v>
      </c>
      <c r="P55" s="310">
        <f>P35*elasticities!$H$11</f>
        <v>-0.22499999999999998</v>
      </c>
      <c r="Q55" s="310">
        <f>Q35*elasticities!$H$11</f>
        <v>-0.22499999999999998</v>
      </c>
      <c r="R55" s="310">
        <f>R35*elasticities!$H$11</f>
        <v>-0.22499999999999998</v>
      </c>
      <c r="S55" s="310">
        <f>S35*elasticities!$H$11</f>
        <v>-0.22499999999999998</v>
      </c>
      <c r="T55" s="310">
        <f>T35*elasticities!$H$11</f>
        <v>-0.22499999999999998</v>
      </c>
      <c r="U55" s="310">
        <f>U35*elasticities!$H$11</f>
        <v>-0.22499999999999998</v>
      </c>
      <c r="V55" s="310">
        <f>V35*elasticities!$H$11</f>
        <v>-0.22499999999999998</v>
      </c>
      <c r="W55" s="310">
        <f>W35*elasticities!$H$11</f>
        <v>-0.22499999999999998</v>
      </c>
      <c r="X55" s="310">
        <f>X35*elasticities!$H$11</f>
        <v>-0.22499999999999998</v>
      </c>
      <c r="Y55" s="310">
        <f>Y35*elasticities!$H$11</f>
        <v>-0.22499999999999998</v>
      </c>
      <c r="Z55" s="310">
        <f>Z35*elasticities!$H$11</f>
        <v>-0.22499999999999998</v>
      </c>
      <c r="AA55" s="310">
        <f>AA35*elasticities!$H$11</f>
        <v>-0.22499999999999998</v>
      </c>
      <c r="AB55" s="310">
        <f>AB35*elasticities!$H$11</f>
        <v>-0.22499999999999998</v>
      </c>
      <c r="AC55" s="310">
        <f>AC35*elasticities!$H$11</f>
        <v>-0.22499999999999998</v>
      </c>
      <c r="AD55" s="310">
        <f>AD35*elasticities!$H$11</f>
        <v>-0.22499999999999998</v>
      </c>
      <c r="AE55" s="310">
        <f>AE35*elasticities!$H$11</f>
        <v>-0.22499999999999998</v>
      </c>
      <c r="AF55" s="310">
        <f>AF35*elasticities!$H$11</f>
        <v>-0.22499999999999998</v>
      </c>
      <c r="AG55" s="310">
        <f>AG35*elasticities!$H$11</f>
        <v>-0.22499999999999998</v>
      </c>
    </row>
    <row r="56" spans="1:33" ht="12.9" customHeight="1">
      <c r="A56" s="385" t="s">
        <v>227</v>
      </c>
      <c r="B56" s="38" t="s">
        <v>464</v>
      </c>
      <c r="C56" s="310">
        <f>C36*elasticities!$H$13</f>
        <v>-2.0000000000000004E-2</v>
      </c>
      <c r="D56" s="310">
        <f>D36*elasticities!$H$13</f>
        <v>-4.0000000000000008E-2</v>
      </c>
      <c r="E56" s="310">
        <f>E36*elasticities!$H$13</f>
        <v>-0.06</v>
      </c>
      <c r="F56" s="310">
        <f>F36*elasticities!$H$13</f>
        <v>-8.0000000000000016E-2</v>
      </c>
      <c r="G56" s="310">
        <f>G36*elasticities!$H$13</f>
        <v>-0.1</v>
      </c>
      <c r="H56" s="310">
        <f>H36*elasticities!$H$13</f>
        <v>-0.12</v>
      </c>
      <c r="I56" s="310">
        <f>I36*elasticities!$H$13</f>
        <v>-0.13999999999999999</v>
      </c>
      <c r="J56" s="310">
        <f>J36*elasticities!$H$13</f>
        <v>-0.16000000000000003</v>
      </c>
      <c r="K56" s="310">
        <f>K36*elasticities!$H$13</f>
        <v>-0.18000000000000002</v>
      </c>
      <c r="L56" s="310">
        <f>L36*elasticities!$H$13</f>
        <v>-0.2</v>
      </c>
      <c r="M56" s="310">
        <f>M36*elasticities!$H$13</f>
        <v>-0.22000000000000003</v>
      </c>
      <c r="N56" s="310">
        <f>N36*elasticities!$H$13</f>
        <v>-0.24</v>
      </c>
      <c r="O56" s="310">
        <f>O36*elasticities!$H$13</f>
        <v>-0.26</v>
      </c>
      <c r="P56" s="310">
        <f>P36*elasticities!$H$13</f>
        <v>-0.27999999999999997</v>
      </c>
      <c r="Q56" s="310">
        <f>Q36*elasticities!$H$13</f>
        <v>-0.30000000000000004</v>
      </c>
      <c r="R56" s="310">
        <f>R36*elasticities!$H$13</f>
        <v>-0.32000000000000006</v>
      </c>
      <c r="S56" s="310">
        <f>S36*elasticities!$H$13</f>
        <v>-0.34</v>
      </c>
      <c r="T56" s="310">
        <f>T36*elasticities!$H$13</f>
        <v>-0.36000000000000004</v>
      </c>
      <c r="U56" s="310">
        <f>U36*elasticities!$H$13</f>
        <v>-0.38</v>
      </c>
      <c r="V56" s="310">
        <f>V36*elasticities!$H$13</f>
        <v>-0.4</v>
      </c>
      <c r="W56" s="310">
        <f>W36*elasticities!$H$13</f>
        <v>-0.4</v>
      </c>
      <c r="X56" s="310">
        <f>X36*elasticities!$H$13</f>
        <v>-0.4</v>
      </c>
      <c r="Y56" s="310">
        <f>Y36*elasticities!$H$13</f>
        <v>-0.4</v>
      </c>
      <c r="Z56" s="310">
        <f>Z36*elasticities!$H$13</f>
        <v>-0.4</v>
      </c>
      <c r="AA56" s="310">
        <f>AA36*elasticities!$H$13</f>
        <v>-0.4</v>
      </c>
      <c r="AB56" s="310">
        <f>AB36*elasticities!$H$13</f>
        <v>-0.4</v>
      </c>
      <c r="AC56" s="310">
        <f>AC36*elasticities!$H$13</f>
        <v>-0.4</v>
      </c>
      <c r="AD56" s="310">
        <f>AD36*elasticities!$H$13</f>
        <v>-0.4</v>
      </c>
      <c r="AE56" s="310">
        <f>AE36*elasticities!$H$13</f>
        <v>-0.4</v>
      </c>
      <c r="AF56" s="310">
        <f>AF36*elasticities!$H$13</f>
        <v>-0.4</v>
      </c>
      <c r="AG56" s="310">
        <f>AG36*elasticities!$H$13</f>
        <v>-0.4</v>
      </c>
    </row>
    <row r="57" spans="1:33" ht="12.9" customHeight="1">
      <c r="A57" s="385" t="s">
        <v>228</v>
      </c>
      <c r="B57" s="38" t="s">
        <v>464</v>
      </c>
      <c r="C57" s="310">
        <f>C37*elasticities!$H$15</f>
        <v>-1.7333333333333336E-2</v>
      </c>
      <c r="D57" s="310">
        <f>D37*elasticities!$H$15</f>
        <v>-3.4666666666666672E-2</v>
      </c>
      <c r="E57" s="310">
        <f>E37*elasticities!$H$15</f>
        <v>-5.1999999999999998E-2</v>
      </c>
      <c r="F57" s="310">
        <f>F37*elasticities!$H$15</f>
        <v>-6.9333333333333344E-2</v>
      </c>
      <c r="G57" s="310">
        <f>G37*elasticities!$H$15</f>
        <v>-8.666666666666667E-2</v>
      </c>
      <c r="H57" s="310">
        <f>H37*elasticities!$H$15</f>
        <v>-0.104</v>
      </c>
      <c r="I57" s="310">
        <f>I37*elasticities!$H$15</f>
        <v>-0.12133333333333333</v>
      </c>
      <c r="J57" s="310">
        <f>J37*elasticities!$H$15</f>
        <v>-0.13866666666666669</v>
      </c>
      <c r="K57" s="310">
        <f>K37*elasticities!$H$15</f>
        <v>-0.156</v>
      </c>
      <c r="L57" s="310">
        <f>L37*elasticities!$H$15</f>
        <v>-0.17333333333333334</v>
      </c>
      <c r="M57" s="310">
        <f>M37*elasticities!$H$15</f>
        <v>-0.19066666666666668</v>
      </c>
      <c r="N57" s="310">
        <f>N37*elasticities!$H$15</f>
        <v>-0.20799999999999999</v>
      </c>
      <c r="O57" s="310">
        <f>O37*elasticities!$H$15</f>
        <v>-0.22533333333333336</v>
      </c>
      <c r="P57" s="310">
        <f>P37*elasticities!$H$15</f>
        <v>-0.24266666666666667</v>
      </c>
      <c r="Q57" s="310">
        <f>Q37*elasticities!$H$15</f>
        <v>-0.26</v>
      </c>
      <c r="R57" s="310">
        <f>R37*elasticities!$H$15</f>
        <v>-0.27733333333333338</v>
      </c>
      <c r="S57" s="310">
        <f>S37*elasticities!$H$15</f>
        <v>-0.29466666666666669</v>
      </c>
      <c r="T57" s="310">
        <f>T37*elasticities!$H$15</f>
        <v>-0.312</v>
      </c>
      <c r="U57" s="310">
        <f>U37*elasticities!$H$15</f>
        <v>-0.32933333333333331</v>
      </c>
      <c r="V57" s="310">
        <f>V37*elasticities!$H$15</f>
        <v>-0.34666666666666668</v>
      </c>
      <c r="W57" s="310">
        <f>W37*elasticities!$H$15</f>
        <v>-0.34666666666666668</v>
      </c>
      <c r="X57" s="310">
        <f>X37*elasticities!$H$15</f>
        <v>-0.34666666666666668</v>
      </c>
      <c r="Y57" s="310">
        <f>Y37*elasticities!$H$15</f>
        <v>-0.34666666666666668</v>
      </c>
      <c r="Z57" s="310">
        <f>Z37*elasticities!$H$15</f>
        <v>-0.34666666666666668</v>
      </c>
      <c r="AA57" s="310">
        <f>AA37*elasticities!$H$15</f>
        <v>-0.34666666666666668</v>
      </c>
      <c r="AB57" s="310">
        <f>AB37*elasticities!$H$15</f>
        <v>-0.34666666666666668</v>
      </c>
      <c r="AC57" s="310">
        <f>AC37*elasticities!$H$15</f>
        <v>-0.34666666666666668</v>
      </c>
      <c r="AD57" s="310">
        <f>AD37*elasticities!$H$15</f>
        <v>-0.34666666666666668</v>
      </c>
      <c r="AE57" s="310">
        <f>AE37*elasticities!$H$15</f>
        <v>-0.34666666666666668</v>
      </c>
      <c r="AF57" s="310">
        <f>AF37*elasticities!$H$15</f>
        <v>-0.34666666666666668</v>
      </c>
      <c r="AG57" s="310">
        <f>AG37*elasticities!$H$15</f>
        <v>-0.34666666666666668</v>
      </c>
    </row>
    <row r="58" spans="1:33" ht="12.9" customHeight="1">
      <c r="A58" s="385" t="s">
        <v>316</v>
      </c>
      <c r="B58" s="38" t="s">
        <v>464</v>
      </c>
      <c r="C58" s="310">
        <f>C38*elasticities!$H$17</f>
        <v>-6.9999999999999993E-2</v>
      </c>
      <c r="D58" s="310">
        <f>D38*elasticities!$H$17</f>
        <v>-0.13999999999999999</v>
      </c>
      <c r="E58" s="310">
        <f>E38*elasticities!$H$17</f>
        <v>-0.21</v>
      </c>
      <c r="F58" s="310">
        <f>F38*elasticities!$H$17</f>
        <v>-0.27999999999999997</v>
      </c>
      <c r="G58" s="310">
        <f>G38*elasticities!$H$17</f>
        <v>-0.35</v>
      </c>
      <c r="H58" s="310">
        <f>H38*elasticities!$H$17</f>
        <v>-0.42</v>
      </c>
      <c r="I58" s="310">
        <f>I38*elasticities!$H$17</f>
        <v>-0.48999999999999994</v>
      </c>
      <c r="J58" s="310">
        <f>J38*elasticities!$H$17</f>
        <v>-0.55999999999999994</v>
      </c>
      <c r="K58" s="310">
        <f>K38*elasticities!$H$17</f>
        <v>-0.63</v>
      </c>
      <c r="L58" s="310">
        <f>L38*elasticities!$H$17</f>
        <v>-0.7</v>
      </c>
      <c r="M58" s="310">
        <f>M38*elasticities!$H$17</f>
        <v>-0.7</v>
      </c>
      <c r="N58" s="310">
        <f>N38*elasticities!$H$17</f>
        <v>-0.7</v>
      </c>
      <c r="O58" s="310">
        <f>O38*elasticities!$H$17</f>
        <v>-0.7</v>
      </c>
      <c r="P58" s="310">
        <f>P38*elasticities!$H$17</f>
        <v>-0.7</v>
      </c>
      <c r="Q58" s="310">
        <f>Q38*elasticities!$H$17</f>
        <v>-0.7</v>
      </c>
      <c r="R58" s="310">
        <f>R38*elasticities!$H$17</f>
        <v>-0.7</v>
      </c>
      <c r="S58" s="310">
        <f>S38*elasticities!$H$17</f>
        <v>-0.7</v>
      </c>
      <c r="T58" s="310">
        <f>T38*elasticities!$H$17</f>
        <v>-0.7</v>
      </c>
      <c r="U58" s="310">
        <f>U38*elasticities!$H$17</f>
        <v>-0.7</v>
      </c>
      <c r="V58" s="310">
        <f>V38*elasticities!$H$17</f>
        <v>-0.7</v>
      </c>
      <c r="W58" s="310">
        <f>W38*elasticities!$H$17</f>
        <v>-0.7</v>
      </c>
      <c r="X58" s="310">
        <f>X38*elasticities!$H$17</f>
        <v>-0.7</v>
      </c>
      <c r="Y58" s="310">
        <f>Y38*elasticities!$H$17</f>
        <v>-0.7</v>
      </c>
      <c r="Z58" s="310">
        <f>Z38*elasticities!$H$17</f>
        <v>-0.7</v>
      </c>
      <c r="AA58" s="310">
        <f>AA38*elasticities!$H$17</f>
        <v>-0.7</v>
      </c>
      <c r="AB58" s="310">
        <f>AB38*elasticities!$H$17</f>
        <v>-0.7</v>
      </c>
      <c r="AC58" s="310">
        <f>AC38*elasticities!$H$17</f>
        <v>-0.7</v>
      </c>
      <c r="AD58" s="310">
        <f>AD38*elasticities!$H$17</f>
        <v>-0.7</v>
      </c>
      <c r="AE58" s="310">
        <f>AE38*elasticities!$H$17</f>
        <v>-0.7</v>
      </c>
      <c r="AF58" s="310">
        <f>AF38*elasticities!$H$17</f>
        <v>-0.7</v>
      </c>
      <c r="AG58" s="310">
        <f>AG38*elasticities!$H$17</f>
        <v>-0.7</v>
      </c>
    </row>
    <row r="59" spans="1:33" ht="12.9" customHeight="1">
      <c r="A59" s="385" t="s">
        <v>234</v>
      </c>
      <c r="B59" s="38" t="s">
        <v>464</v>
      </c>
      <c r="C59" s="310">
        <f>C39*elasticities!$H$18</f>
        <v>-5.7999999999999996E-2</v>
      </c>
      <c r="D59" s="310">
        <f>D39*elasticities!$H$18</f>
        <v>-0.11599999999999999</v>
      </c>
      <c r="E59" s="310">
        <f>E39*elasticities!$H$18</f>
        <v>-0.17399999999999999</v>
      </c>
      <c r="F59" s="310">
        <f>F39*elasticities!$H$18</f>
        <v>-0.23199999999999998</v>
      </c>
      <c r="G59" s="310">
        <f>G39*elasticities!$H$18</f>
        <v>-0.28999999999999998</v>
      </c>
      <c r="H59" s="310">
        <f>H39*elasticities!$H$18</f>
        <v>-0.28999999999999998</v>
      </c>
      <c r="I59" s="310">
        <f>I39*elasticities!$H$18</f>
        <v>-0.28999999999999998</v>
      </c>
      <c r="J59" s="310">
        <f>J39*elasticities!$H$18</f>
        <v>-0.28999999999999998</v>
      </c>
      <c r="K59" s="310">
        <f>K39*elasticities!$H$18</f>
        <v>-0.28999999999999998</v>
      </c>
      <c r="L59" s="310">
        <f>L39*elasticities!$H$18</f>
        <v>-0.28999999999999998</v>
      </c>
      <c r="M59" s="310">
        <f>M39*elasticities!$H$18</f>
        <v>-0.28999999999999998</v>
      </c>
      <c r="N59" s="310">
        <f>N39*elasticities!$H$18</f>
        <v>-0.28999999999999998</v>
      </c>
      <c r="O59" s="310">
        <f>O39*elasticities!$H$18</f>
        <v>-0.28999999999999998</v>
      </c>
      <c r="P59" s="310">
        <f>P39*elasticities!$H$18</f>
        <v>-0.28999999999999998</v>
      </c>
      <c r="Q59" s="310">
        <f>Q39*elasticities!$H$18</f>
        <v>-0.28999999999999998</v>
      </c>
      <c r="R59" s="310">
        <f>R39*elasticities!$H$18</f>
        <v>-0.28999999999999998</v>
      </c>
      <c r="S59" s="310">
        <f>S39*elasticities!$H$18</f>
        <v>-0.28999999999999998</v>
      </c>
      <c r="T59" s="310">
        <f>T39*elasticities!$H$18</f>
        <v>-0.28999999999999998</v>
      </c>
      <c r="U59" s="310">
        <f>U39*elasticities!$H$18</f>
        <v>-0.28999999999999998</v>
      </c>
      <c r="V59" s="310">
        <f>V39*elasticities!$H$18</f>
        <v>-0.28999999999999998</v>
      </c>
      <c r="W59" s="310">
        <f>W39*elasticities!$H$18</f>
        <v>-0.28999999999999998</v>
      </c>
      <c r="X59" s="310">
        <f>X39*elasticities!$H$18</f>
        <v>-0.28999999999999998</v>
      </c>
      <c r="Y59" s="310">
        <f>Y39*elasticities!$H$18</f>
        <v>-0.28999999999999998</v>
      </c>
      <c r="Z59" s="310">
        <f>Z39*elasticities!$H$18</f>
        <v>-0.28999999999999998</v>
      </c>
      <c r="AA59" s="310">
        <f>AA39*elasticities!$H$18</f>
        <v>-0.28999999999999998</v>
      </c>
      <c r="AB59" s="310">
        <f>AB39*elasticities!$H$18</f>
        <v>-0.28999999999999998</v>
      </c>
      <c r="AC59" s="310">
        <f>AC39*elasticities!$H$18</f>
        <v>-0.28999999999999998</v>
      </c>
      <c r="AD59" s="310">
        <f>AD39*elasticities!$H$18</f>
        <v>-0.28999999999999998</v>
      </c>
      <c r="AE59" s="310">
        <f>AE39*elasticities!$H$18</f>
        <v>-0.28999999999999998</v>
      </c>
      <c r="AF59" s="310">
        <f>AF39*elasticities!$H$18</f>
        <v>-0.28999999999999998</v>
      </c>
      <c r="AG59" s="310">
        <f>AG39*elasticities!$H$18</f>
        <v>-0.28999999999999998</v>
      </c>
    </row>
    <row r="60" spans="1:33" ht="12.9" customHeight="1">
      <c r="A60" s="385" t="s">
        <v>235</v>
      </c>
      <c r="B60" s="38" t="s">
        <v>464</v>
      </c>
      <c r="C60" s="310">
        <f>C40*elasticities!$H$20</f>
        <v>-8.3333333333333329E-2</v>
      </c>
      <c r="D60" s="310">
        <f>D40*elasticities!$H$20</f>
        <v>-0.16666666666666666</v>
      </c>
      <c r="E60" s="310">
        <f>E40*elasticities!$H$20</f>
        <v>-0.25</v>
      </c>
      <c r="F60" s="310">
        <f>F40*elasticities!$H$20</f>
        <v>-0.25</v>
      </c>
      <c r="G60" s="310">
        <f>G40*elasticities!$H$20</f>
        <v>-0.25</v>
      </c>
      <c r="H60" s="310">
        <f>H40*elasticities!$H$20</f>
        <v>-0.25</v>
      </c>
      <c r="I60" s="310">
        <f>I40*elasticities!$H$20</f>
        <v>-0.25</v>
      </c>
      <c r="J60" s="310">
        <f>J40*elasticities!$H$20</f>
        <v>-0.25</v>
      </c>
      <c r="K60" s="310">
        <f>K40*elasticities!$H$20</f>
        <v>-0.25</v>
      </c>
      <c r="L60" s="310">
        <f>L40*elasticities!$H$20</f>
        <v>-0.25</v>
      </c>
      <c r="M60" s="310">
        <f>M40*elasticities!$H$20</f>
        <v>-0.25</v>
      </c>
      <c r="N60" s="310">
        <f>N40*elasticities!$H$20</f>
        <v>-0.25</v>
      </c>
      <c r="O60" s="310">
        <f>O40*elasticities!$H$20</f>
        <v>-0.25</v>
      </c>
      <c r="P60" s="310">
        <f>P40*elasticities!$H$20</f>
        <v>-0.25</v>
      </c>
      <c r="Q60" s="310">
        <f>Q40*elasticities!$H$20</f>
        <v>-0.25</v>
      </c>
      <c r="R60" s="310">
        <f>R40*elasticities!$H$20</f>
        <v>-0.25</v>
      </c>
      <c r="S60" s="310">
        <f>S40*elasticities!$H$20</f>
        <v>-0.25</v>
      </c>
      <c r="T60" s="310">
        <f>T40*elasticities!$H$20</f>
        <v>-0.25</v>
      </c>
      <c r="U60" s="310">
        <f>U40*elasticities!$H$20</f>
        <v>-0.25</v>
      </c>
      <c r="V60" s="310">
        <f>V40*elasticities!$H$20</f>
        <v>-0.25</v>
      </c>
      <c r="W60" s="310">
        <f>W40*elasticities!$H$20</f>
        <v>-0.25</v>
      </c>
      <c r="X60" s="310">
        <f>X40*elasticities!$H$20</f>
        <v>-0.25</v>
      </c>
      <c r="Y60" s="310">
        <f>Y40*elasticities!$H$20</f>
        <v>-0.25</v>
      </c>
      <c r="Z60" s="310">
        <f>Z40*elasticities!$H$20</f>
        <v>-0.25</v>
      </c>
      <c r="AA60" s="310">
        <f>AA40*elasticities!$H$20</f>
        <v>-0.25</v>
      </c>
      <c r="AB60" s="310">
        <f>AB40*elasticities!$H$20</f>
        <v>-0.25</v>
      </c>
      <c r="AC60" s="310">
        <f>AC40*elasticities!$H$20</f>
        <v>-0.25</v>
      </c>
      <c r="AD60" s="310">
        <f>AD40*elasticities!$H$20</f>
        <v>-0.25</v>
      </c>
      <c r="AE60" s="310">
        <f>AE40*elasticities!$H$20</f>
        <v>-0.25</v>
      </c>
      <c r="AF60" s="310">
        <f>AF40*elasticities!$H$20</f>
        <v>-0.25</v>
      </c>
      <c r="AG60" s="310">
        <f>AG40*elasticities!$H$20</f>
        <v>-0.25</v>
      </c>
    </row>
    <row r="61" spans="1:33" ht="12.9" customHeight="1">
      <c r="A61" s="385" t="s">
        <v>229</v>
      </c>
      <c r="B61" s="38" t="s">
        <v>464</v>
      </c>
      <c r="C61" s="310">
        <f>C41*elasticities!$H$22</f>
        <v>-3.3333333333333333E-2</v>
      </c>
      <c r="D61" s="310">
        <f>D41*elasticities!$H$22</f>
        <v>-6.6666666666666666E-2</v>
      </c>
      <c r="E61" s="310">
        <f>E41*elasticities!$H$22</f>
        <v>-0.1</v>
      </c>
      <c r="F61" s="310">
        <f>F41*elasticities!$H$22</f>
        <v>-0.13333333333333333</v>
      </c>
      <c r="G61" s="310">
        <f>G41*elasticities!$H$22</f>
        <v>-0.16666666666666666</v>
      </c>
      <c r="H61" s="310">
        <f>H41*elasticities!$H$22</f>
        <v>-0.2</v>
      </c>
      <c r="I61" s="310">
        <f>I41*elasticities!$H$22</f>
        <v>-0.23333333333333334</v>
      </c>
      <c r="J61" s="310">
        <f>J41*elasticities!$H$22</f>
        <v>-0.26666666666666666</v>
      </c>
      <c r="K61" s="310">
        <f>K41*elasticities!$H$22</f>
        <v>-0.3</v>
      </c>
      <c r="L61" s="310">
        <f>L41*elasticities!$H$22</f>
        <v>-0.33333333333333331</v>
      </c>
      <c r="M61" s="310">
        <f>M41*elasticities!$H$22</f>
        <v>-0.36666666666666664</v>
      </c>
      <c r="N61" s="310">
        <f>N41*elasticities!$H$22</f>
        <v>-0.4</v>
      </c>
      <c r="O61" s="310">
        <f>O41*elasticities!$H$22</f>
        <v>-0.43333333333333335</v>
      </c>
      <c r="P61" s="310">
        <f>P41*elasticities!$H$22</f>
        <v>-0.46666666666666667</v>
      </c>
      <c r="Q61" s="310">
        <f>Q41*elasticities!$H$22</f>
        <v>-0.5</v>
      </c>
      <c r="R61" s="310">
        <f>R41*elasticities!$H$22</f>
        <v>-0.5</v>
      </c>
      <c r="S61" s="310">
        <f>S41*elasticities!$H$22</f>
        <v>-0.5</v>
      </c>
      <c r="T61" s="310">
        <f>T41*elasticities!$H$22</f>
        <v>-0.5</v>
      </c>
      <c r="U61" s="310">
        <f>U41*elasticities!$H$22</f>
        <v>-0.5</v>
      </c>
      <c r="V61" s="310">
        <f>V41*elasticities!$H$22</f>
        <v>-0.5</v>
      </c>
      <c r="W61" s="310">
        <f>W41*elasticities!$H$22</f>
        <v>-0.5</v>
      </c>
      <c r="X61" s="310">
        <f>X41*elasticities!$H$22</f>
        <v>-0.5</v>
      </c>
      <c r="Y61" s="310">
        <f>Y41*elasticities!$H$22</f>
        <v>-0.5</v>
      </c>
      <c r="Z61" s="310">
        <f>Z41*elasticities!$H$22</f>
        <v>-0.5</v>
      </c>
      <c r="AA61" s="310">
        <f>AA41*elasticities!$H$22</f>
        <v>-0.5</v>
      </c>
      <c r="AB61" s="310">
        <f>AB41*elasticities!$H$22</f>
        <v>-0.5</v>
      </c>
      <c r="AC61" s="310">
        <f>AC41*elasticities!$H$22</f>
        <v>-0.5</v>
      </c>
      <c r="AD61" s="310">
        <f>AD41*elasticities!$H$22</f>
        <v>-0.5</v>
      </c>
      <c r="AE61" s="310">
        <f>AE41*elasticities!$H$22</f>
        <v>-0.5</v>
      </c>
      <c r="AF61" s="310">
        <f>AF41*elasticities!$H$22</f>
        <v>-0.5</v>
      </c>
      <c r="AG61" s="310">
        <f>AG41*elasticities!$H$22</f>
        <v>-0.5</v>
      </c>
    </row>
    <row r="62" spans="1:33" ht="12.9" customHeight="1">
      <c r="A62" s="385" t="s">
        <v>230</v>
      </c>
      <c r="B62" s="38" t="s">
        <v>464</v>
      </c>
      <c r="C62" s="310">
        <f>C42*elasticities!$H$23</f>
        <v>-3.2000000000000001E-2</v>
      </c>
      <c r="D62" s="310">
        <f>D42*elasticities!$H$23</f>
        <v>-6.4000000000000001E-2</v>
      </c>
      <c r="E62" s="310">
        <f>E42*elasticities!$H$23</f>
        <v>-9.6000000000000002E-2</v>
      </c>
      <c r="F62" s="310">
        <f>F42*elasticities!$H$23</f>
        <v>-0.128</v>
      </c>
      <c r="G62" s="310">
        <f>G42*elasticities!$H$23</f>
        <v>-0.15999999999999998</v>
      </c>
      <c r="H62" s="310">
        <f>H42*elasticities!$H$23</f>
        <v>-0.192</v>
      </c>
      <c r="I62" s="310">
        <f>I42*elasticities!$H$23</f>
        <v>-0.224</v>
      </c>
      <c r="J62" s="310">
        <f>J42*elasticities!$H$23</f>
        <v>-0.25600000000000001</v>
      </c>
      <c r="K62" s="310">
        <f>K42*elasticities!$H$23</f>
        <v>-0.28799999999999998</v>
      </c>
      <c r="L62" s="310">
        <f>L42*elasticities!$H$23</f>
        <v>-0.31999999999999995</v>
      </c>
      <c r="M62" s="310">
        <f>M42*elasticities!$H$23</f>
        <v>-0.35199999999999998</v>
      </c>
      <c r="N62" s="310">
        <f>N42*elasticities!$H$23</f>
        <v>-0.38400000000000001</v>
      </c>
      <c r="O62" s="310">
        <f>O42*elasticities!$H$23</f>
        <v>-0.41599999999999998</v>
      </c>
      <c r="P62" s="310">
        <f>P42*elasticities!$H$23</f>
        <v>-0.44800000000000001</v>
      </c>
      <c r="Q62" s="310">
        <f>Q42*elasticities!$H$23</f>
        <v>-0.48</v>
      </c>
      <c r="R62" s="310">
        <f>R42*elasticities!$H$23</f>
        <v>-0.48</v>
      </c>
      <c r="S62" s="310">
        <f>S42*elasticities!$H$23</f>
        <v>-0.48</v>
      </c>
      <c r="T62" s="310">
        <f>T42*elasticities!$H$23</f>
        <v>-0.48</v>
      </c>
      <c r="U62" s="310">
        <f>U42*elasticities!$H$23</f>
        <v>-0.48</v>
      </c>
      <c r="V62" s="310">
        <f>V42*elasticities!$H$23</f>
        <v>-0.48</v>
      </c>
      <c r="W62" s="310">
        <f>W42*elasticities!$H$23</f>
        <v>-0.48</v>
      </c>
      <c r="X62" s="310">
        <f>X42*elasticities!$H$23</f>
        <v>-0.48</v>
      </c>
      <c r="Y62" s="310">
        <f>Y42*elasticities!$H$23</f>
        <v>-0.48</v>
      </c>
      <c r="Z62" s="310">
        <f>Z42*elasticities!$H$23</f>
        <v>-0.48</v>
      </c>
      <c r="AA62" s="310">
        <f>AA42*elasticities!$H$23</f>
        <v>-0.48</v>
      </c>
      <c r="AB62" s="310">
        <f>AB42*elasticities!$H$23</f>
        <v>-0.48</v>
      </c>
      <c r="AC62" s="310">
        <f>AC42*elasticities!$H$23</f>
        <v>-0.48</v>
      </c>
      <c r="AD62" s="310">
        <f>AD42*elasticities!$H$23</f>
        <v>-0.48</v>
      </c>
      <c r="AE62" s="310">
        <f>AE42*elasticities!$H$23</f>
        <v>-0.48</v>
      </c>
      <c r="AF62" s="310">
        <f>AF42*elasticities!$H$23</f>
        <v>-0.48</v>
      </c>
      <c r="AG62" s="310">
        <f>AG42*elasticities!$H$23</f>
        <v>-0.48</v>
      </c>
    </row>
    <row r="63" spans="1:33" ht="12.9" customHeight="1">
      <c r="A63" s="385" t="s">
        <v>231</v>
      </c>
      <c r="B63" s="38" t="s">
        <v>464</v>
      </c>
      <c r="C63" s="310">
        <f>C43*elasticities!$H$24</f>
        <v>-2.8499999999999998E-2</v>
      </c>
      <c r="D63" s="310">
        <f>D43*elasticities!$H$24</f>
        <v>-5.6999999999999995E-2</v>
      </c>
      <c r="E63" s="310">
        <f>E43*elasticities!$H$24</f>
        <v>-8.5499999999999993E-2</v>
      </c>
      <c r="F63" s="310">
        <f>F43*elasticities!$H$24</f>
        <v>-0.11399999999999999</v>
      </c>
      <c r="G63" s="310">
        <f>G43*elasticities!$H$24</f>
        <v>-0.14249999999999999</v>
      </c>
      <c r="H63" s="310">
        <f>H43*elasticities!$H$24</f>
        <v>-0.17099999999999999</v>
      </c>
      <c r="I63" s="310">
        <f>I43*elasticities!$H$24</f>
        <v>-0.19949999999999998</v>
      </c>
      <c r="J63" s="310">
        <f>J43*elasticities!$H$24</f>
        <v>-0.22799999999999998</v>
      </c>
      <c r="K63" s="310">
        <f>K43*elasticities!$H$24</f>
        <v>-0.25650000000000001</v>
      </c>
      <c r="L63" s="310">
        <f>L43*elasticities!$H$24</f>
        <v>-0.28499999999999998</v>
      </c>
      <c r="M63" s="310">
        <f>M43*elasticities!$H$24</f>
        <v>-0.3135</v>
      </c>
      <c r="N63" s="310">
        <f>N43*elasticities!$H$24</f>
        <v>-0.34199999999999997</v>
      </c>
      <c r="O63" s="310">
        <f>O43*elasticities!$H$24</f>
        <v>-0.3705</v>
      </c>
      <c r="P63" s="310">
        <f>P43*elasticities!$H$24</f>
        <v>-0.39899999999999997</v>
      </c>
      <c r="Q63" s="310">
        <f>Q43*elasticities!$H$24</f>
        <v>-0.42749999999999999</v>
      </c>
      <c r="R63" s="310">
        <f>R43*elasticities!$H$24</f>
        <v>-0.45599999999999996</v>
      </c>
      <c r="S63" s="310">
        <f>S43*elasticities!$H$24</f>
        <v>-0.48449999999999993</v>
      </c>
      <c r="T63" s="310">
        <f>T43*elasticities!$H$24</f>
        <v>-0.51300000000000001</v>
      </c>
      <c r="U63" s="310">
        <f>U43*elasticities!$H$24</f>
        <v>-0.54149999999999998</v>
      </c>
      <c r="V63" s="310">
        <f>V43*elasticities!$H$24</f>
        <v>-0.56999999999999995</v>
      </c>
      <c r="W63" s="310">
        <f>W43*elasticities!$H$24</f>
        <v>-0.56999999999999995</v>
      </c>
      <c r="X63" s="310">
        <f>X43*elasticities!$H$24</f>
        <v>-0.56999999999999995</v>
      </c>
      <c r="Y63" s="310">
        <f>Y43*elasticities!$H$24</f>
        <v>-0.56999999999999995</v>
      </c>
      <c r="Z63" s="310">
        <f>Z43*elasticities!$H$24</f>
        <v>-0.56999999999999995</v>
      </c>
      <c r="AA63" s="310">
        <f>AA43*elasticities!$H$24</f>
        <v>-0.56999999999999995</v>
      </c>
      <c r="AB63" s="310">
        <f>AB43*elasticities!$H$24</f>
        <v>-0.56999999999999995</v>
      </c>
      <c r="AC63" s="310">
        <f>AC43*elasticities!$H$24</f>
        <v>-0.56999999999999995</v>
      </c>
      <c r="AD63" s="310">
        <f>AD43*elasticities!$H$24</f>
        <v>-0.56999999999999995</v>
      </c>
      <c r="AE63" s="310">
        <f>AE43*elasticities!$H$24</f>
        <v>-0.56999999999999995</v>
      </c>
      <c r="AF63" s="310">
        <f>AF43*elasticities!$H$24</f>
        <v>-0.56999999999999995</v>
      </c>
      <c r="AG63" s="310">
        <f>AG43*elasticities!$H$24</f>
        <v>-0.56999999999999995</v>
      </c>
    </row>
    <row r="64" spans="1:33" s="408" customFormat="1" ht="12.9" customHeight="1">
      <c r="A64" s="50" t="s">
        <v>1361</v>
      </c>
      <c r="B64" s="5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row>
    <row r="65" spans="1:33" s="179" customFormat="1" ht="12.9" customHeight="1">
      <c r="A65" s="385" t="s">
        <v>1362</v>
      </c>
      <c r="B65" s="38" t="s">
        <v>464</v>
      </c>
      <c r="C65" s="310">
        <f>C45*elasticities!$H$19</f>
        <v>4.6666666666666669E-2</v>
      </c>
      <c r="D65" s="310">
        <f>D45*elasticities!$H$19</f>
        <v>9.3333333333333338E-2</v>
      </c>
      <c r="E65" s="310">
        <f>E45*elasticities!$H$19</f>
        <v>0.14000000000000001</v>
      </c>
      <c r="F65" s="310">
        <f>F45*elasticities!$H$19</f>
        <v>0.14000000000000001</v>
      </c>
      <c r="G65" s="310">
        <f>G45*elasticities!$H$19</f>
        <v>0.14000000000000001</v>
      </c>
      <c r="H65" s="310">
        <f>H45*elasticities!$H$19</f>
        <v>0.14000000000000001</v>
      </c>
      <c r="I65" s="310">
        <f>I45*elasticities!$H$19</f>
        <v>0.14000000000000001</v>
      </c>
      <c r="J65" s="310">
        <f>J45*elasticities!$H$19</f>
        <v>0.14000000000000001</v>
      </c>
      <c r="K65" s="310">
        <f>K45*elasticities!$H$19</f>
        <v>0.14000000000000001</v>
      </c>
      <c r="L65" s="310">
        <f>L45*elasticities!$H$19</f>
        <v>0.14000000000000001</v>
      </c>
      <c r="M65" s="310">
        <f>M45*elasticities!$H$19</f>
        <v>0.14000000000000001</v>
      </c>
      <c r="N65" s="310">
        <f>N45*elasticities!$H$19</f>
        <v>0.14000000000000001</v>
      </c>
      <c r="O65" s="310">
        <f>O45*elasticities!$H$19</f>
        <v>0.14000000000000001</v>
      </c>
      <c r="P65" s="310">
        <f>P45*elasticities!$H$19</f>
        <v>0.14000000000000001</v>
      </c>
      <c r="Q65" s="310">
        <f>Q45*elasticities!$H$19</f>
        <v>0.14000000000000001</v>
      </c>
      <c r="R65" s="310">
        <f>R45*elasticities!$H$19</f>
        <v>0.14000000000000001</v>
      </c>
      <c r="S65" s="310">
        <f>S45*elasticities!$H$19</f>
        <v>0.14000000000000001</v>
      </c>
      <c r="T65" s="310">
        <f>T45*elasticities!$H$19</f>
        <v>0.14000000000000001</v>
      </c>
      <c r="U65" s="310">
        <f>U45*elasticities!$H$19</f>
        <v>0.14000000000000001</v>
      </c>
      <c r="V65" s="310">
        <f>V45*elasticities!$H$19</f>
        <v>0.14000000000000001</v>
      </c>
      <c r="W65" s="310">
        <f>W45*elasticities!$H$19</f>
        <v>0.14000000000000001</v>
      </c>
      <c r="X65" s="310">
        <f>X45*elasticities!$H$19</f>
        <v>0.14000000000000001</v>
      </c>
      <c r="Y65" s="310">
        <f>Y45*elasticities!$H$19</f>
        <v>0.14000000000000001</v>
      </c>
      <c r="Z65" s="310">
        <f>Z45*elasticities!$H$19</f>
        <v>0.14000000000000001</v>
      </c>
      <c r="AA65" s="310">
        <f>AA45*elasticities!$H$19</f>
        <v>0.14000000000000001</v>
      </c>
      <c r="AB65" s="310">
        <f>AB45*elasticities!$H$19</f>
        <v>0.14000000000000001</v>
      </c>
      <c r="AC65" s="310">
        <f>AC45*elasticities!$H$19</f>
        <v>0.14000000000000001</v>
      </c>
      <c r="AD65" s="310">
        <f>AD45*elasticities!$H$19</f>
        <v>0.14000000000000001</v>
      </c>
      <c r="AE65" s="310">
        <f>AE45*elasticities!$H$19</f>
        <v>0.14000000000000001</v>
      </c>
      <c r="AF65" s="310">
        <f>AF45*elasticities!$H$19</f>
        <v>0.14000000000000001</v>
      </c>
      <c r="AG65" s="310">
        <f>AG45*elasticities!$H$19</f>
        <v>0.14000000000000001</v>
      </c>
    </row>
    <row r="66" spans="1:33" s="408" customFormat="1" ht="12.9" customHeight="1">
      <c r="A66" s="385" t="s">
        <v>1363</v>
      </c>
      <c r="B66" s="50" t="s">
        <v>464</v>
      </c>
      <c r="C66" s="310">
        <f>C46*elasticities!$H$14</f>
        <v>5.000000000000001E-3</v>
      </c>
      <c r="D66" s="310">
        <f>D46*elasticities!$H$14</f>
        <v>1.0000000000000002E-2</v>
      </c>
      <c r="E66" s="310">
        <f>E46*elasticities!$H$14</f>
        <v>1.4999999999999999E-2</v>
      </c>
      <c r="F66" s="310">
        <f>F46*elasticities!$H$14</f>
        <v>2.0000000000000004E-2</v>
      </c>
      <c r="G66" s="310">
        <f>G46*elasticities!$H$14</f>
        <v>2.5000000000000001E-2</v>
      </c>
      <c r="H66" s="310">
        <f>H46*elasticities!$H$14</f>
        <v>0.03</v>
      </c>
      <c r="I66" s="310">
        <f>I46*elasticities!$H$14</f>
        <v>3.4999999999999996E-2</v>
      </c>
      <c r="J66" s="310">
        <f>J46*elasticities!$H$14</f>
        <v>4.0000000000000008E-2</v>
      </c>
      <c r="K66" s="310">
        <f>K46*elasticities!$H$14</f>
        <v>4.5000000000000005E-2</v>
      </c>
      <c r="L66" s="310">
        <f>L46*elasticities!$H$14</f>
        <v>0.05</v>
      </c>
      <c r="M66" s="310">
        <f>M46*elasticities!$H$14</f>
        <v>0.05</v>
      </c>
      <c r="N66" s="310">
        <f>N46*elasticities!$H$14</f>
        <v>0.05</v>
      </c>
      <c r="O66" s="310">
        <f>O46*elasticities!$H$14</f>
        <v>0.05</v>
      </c>
      <c r="P66" s="310">
        <f>P46*elasticities!$H$14</f>
        <v>0.05</v>
      </c>
      <c r="Q66" s="310">
        <f>Q46*elasticities!$H$14</f>
        <v>0.05</v>
      </c>
      <c r="R66" s="310">
        <f>R46*elasticities!$H$14</f>
        <v>0.05</v>
      </c>
      <c r="S66" s="310">
        <f>S46*elasticities!$H$14</f>
        <v>0.05</v>
      </c>
      <c r="T66" s="310">
        <f>T46*elasticities!$H$14</f>
        <v>0.05</v>
      </c>
      <c r="U66" s="310">
        <f>U46*elasticities!$H$14</f>
        <v>0.05</v>
      </c>
      <c r="V66" s="310">
        <f>V46*elasticities!$H$14</f>
        <v>0.05</v>
      </c>
      <c r="W66" s="310">
        <f>W46*elasticities!$H$14</f>
        <v>0.05</v>
      </c>
      <c r="X66" s="310">
        <f>X46*elasticities!$H$14</f>
        <v>0.05</v>
      </c>
      <c r="Y66" s="310">
        <f>Y46*elasticities!$H$14</f>
        <v>0.05</v>
      </c>
      <c r="Z66" s="310">
        <f>Z46*elasticities!$H$14</f>
        <v>0.05</v>
      </c>
      <c r="AA66" s="310">
        <f>AA46*elasticities!$H$14</f>
        <v>0.05</v>
      </c>
      <c r="AB66" s="310">
        <f>AB46*elasticities!$H$14</f>
        <v>0.05</v>
      </c>
      <c r="AC66" s="310">
        <f>AC46*elasticities!$H$14</f>
        <v>0.05</v>
      </c>
      <c r="AD66" s="310">
        <f>AD46*elasticities!$H$14</f>
        <v>0.05</v>
      </c>
      <c r="AE66" s="310">
        <f>AE46*elasticities!$H$14</f>
        <v>0.05</v>
      </c>
      <c r="AF66" s="310">
        <f>AF46*elasticities!$H$14</f>
        <v>0.05</v>
      </c>
      <c r="AG66" s="310">
        <f>AG46*elasticities!$H$14</f>
        <v>0.05</v>
      </c>
    </row>
    <row r="67" spans="1:33" s="408" customFormat="1" ht="12.9" customHeight="1">
      <c r="A67" s="385" t="s">
        <v>1364</v>
      </c>
      <c r="B67" s="50" t="s">
        <v>464</v>
      </c>
      <c r="C67" s="310">
        <f>C47*elasticities!$H$16</f>
        <v>5.000000000000001E-3</v>
      </c>
      <c r="D67" s="310">
        <f>D47*elasticities!$H$16</f>
        <v>1.0000000000000002E-2</v>
      </c>
      <c r="E67" s="310">
        <f>E47*elasticities!$H$16</f>
        <v>1.4999999999999999E-2</v>
      </c>
      <c r="F67" s="310">
        <f>F47*elasticities!$H$16</f>
        <v>2.0000000000000004E-2</v>
      </c>
      <c r="G67" s="310">
        <f>G47*elasticities!$H$16</f>
        <v>2.5000000000000001E-2</v>
      </c>
      <c r="H67" s="310">
        <f>H47*elasticities!$H$16</f>
        <v>0.03</v>
      </c>
      <c r="I67" s="310">
        <f>I47*elasticities!$H$16</f>
        <v>3.4999999999999996E-2</v>
      </c>
      <c r="J67" s="310">
        <f>J47*elasticities!$H$16</f>
        <v>4.0000000000000008E-2</v>
      </c>
      <c r="K67" s="310">
        <f>K47*elasticities!$H$16</f>
        <v>4.5000000000000005E-2</v>
      </c>
      <c r="L67" s="310">
        <f>L47*elasticities!$H$16</f>
        <v>0.05</v>
      </c>
      <c r="M67" s="310">
        <f>M47*elasticities!$H$16</f>
        <v>0.05</v>
      </c>
      <c r="N67" s="310">
        <f>N47*elasticities!$H$16</f>
        <v>0.05</v>
      </c>
      <c r="O67" s="310">
        <f>O47*elasticities!$H$16</f>
        <v>0.05</v>
      </c>
      <c r="P67" s="310">
        <f>P47*elasticities!$H$16</f>
        <v>0.05</v>
      </c>
      <c r="Q67" s="310">
        <f>Q47*elasticities!$H$16</f>
        <v>0.05</v>
      </c>
      <c r="R67" s="310">
        <f>R47*elasticities!$H$16</f>
        <v>0.05</v>
      </c>
      <c r="S67" s="310">
        <f>S47*elasticities!$H$16</f>
        <v>0.05</v>
      </c>
      <c r="T67" s="310">
        <f>T47*elasticities!$H$16</f>
        <v>0.05</v>
      </c>
      <c r="U67" s="310">
        <f>U47*elasticities!$H$16</f>
        <v>0.05</v>
      </c>
      <c r="V67" s="310">
        <f>V47*elasticities!$H$16</f>
        <v>0.05</v>
      </c>
      <c r="W67" s="310">
        <f>W47*elasticities!$H$16</f>
        <v>0.05</v>
      </c>
      <c r="X67" s="310">
        <f>X47*elasticities!$H$16</f>
        <v>0.05</v>
      </c>
      <c r="Y67" s="310">
        <f>Y47*elasticities!$H$16</f>
        <v>0.05</v>
      </c>
      <c r="Z67" s="310">
        <f>Z47*elasticities!$H$16</f>
        <v>0.05</v>
      </c>
      <c r="AA67" s="310">
        <f>AA47*elasticities!$H$16</f>
        <v>0.05</v>
      </c>
      <c r="AB67" s="310">
        <f>AB47*elasticities!$H$16</f>
        <v>0.05</v>
      </c>
      <c r="AC67" s="310">
        <f>AC47*elasticities!$H$16</f>
        <v>0.05</v>
      </c>
      <c r="AD67" s="310">
        <f>AD47*elasticities!$H$16</f>
        <v>0.05</v>
      </c>
      <c r="AE67" s="310">
        <f>AE47*elasticities!$H$16</f>
        <v>0.05</v>
      </c>
      <c r="AF67" s="310">
        <f>AF47*elasticities!$H$16</f>
        <v>0.05</v>
      </c>
      <c r="AG67" s="310">
        <f>AG47*elasticities!$H$16</f>
        <v>0.05</v>
      </c>
    </row>
    <row r="68" spans="1:33" ht="12.9" customHeight="1">
      <c r="A68" s="38"/>
      <c r="B68" s="38"/>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row>
    <row r="69" spans="1:33" s="291" customFormat="1" ht="12.9" customHeight="1">
      <c r="A69" s="347" t="s">
        <v>475</v>
      </c>
      <c r="B69" s="348"/>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48"/>
      <c r="AA69" s="348"/>
      <c r="AB69" s="348"/>
      <c r="AC69" s="348"/>
      <c r="AD69" s="348"/>
      <c r="AE69" s="348"/>
      <c r="AF69" s="348"/>
      <c r="AG69" s="349"/>
    </row>
    <row r="70" spans="1:33" s="377" customFormat="1" ht="12.9" customHeight="1">
      <c r="A70" s="379" t="s">
        <v>432</v>
      </c>
      <c r="B70" s="379" t="s">
        <v>429</v>
      </c>
      <c r="C70" s="379">
        <v>2020</v>
      </c>
      <c r="D70" s="379">
        <v>2021</v>
      </c>
      <c r="E70" s="379">
        <v>2022</v>
      </c>
      <c r="F70" s="379">
        <v>2023</v>
      </c>
      <c r="G70" s="379">
        <v>2024</v>
      </c>
      <c r="H70" s="379">
        <v>2025</v>
      </c>
      <c r="I70" s="379">
        <v>2026</v>
      </c>
      <c r="J70" s="379">
        <v>2027</v>
      </c>
      <c r="K70" s="379">
        <v>2028</v>
      </c>
      <c r="L70" s="379">
        <v>2029</v>
      </c>
      <c r="M70" s="379">
        <v>2030</v>
      </c>
      <c r="N70" s="379">
        <v>2031</v>
      </c>
      <c r="O70" s="379">
        <v>2032</v>
      </c>
      <c r="P70" s="379">
        <v>2033</v>
      </c>
      <c r="Q70" s="379">
        <v>2034</v>
      </c>
      <c r="R70" s="379">
        <v>2035</v>
      </c>
      <c r="S70" s="379">
        <v>2036</v>
      </c>
      <c r="T70" s="379">
        <v>2037</v>
      </c>
      <c r="U70" s="379">
        <v>2038</v>
      </c>
      <c r="V70" s="379">
        <v>2039</v>
      </c>
      <c r="W70" s="379">
        <v>2040</v>
      </c>
      <c r="X70" s="379">
        <v>2041</v>
      </c>
      <c r="Y70" s="379">
        <v>2042</v>
      </c>
      <c r="Z70" s="379">
        <v>2043</v>
      </c>
      <c r="AA70" s="379">
        <v>2044</v>
      </c>
      <c r="AB70" s="379">
        <v>2045</v>
      </c>
      <c r="AC70" s="379">
        <v>2046</v>
      </c>
      <c r="AD70" s="379">
        <v>2047</v>
      </c>
      <c r="AE70" s="379">
        <v>2048</v>
      </c>
      <c r="AF70" s="379">
        <v>2049</v>
      </c>
      <c r="AG70" s="379">
        <v>2050</v>
      </c>
    </row>
    <row r="71" spans="1:33" ht="12.9" customHeight="1">
      <c r="A71" s="65" t="s">
        <v>76</v>
      </c>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row>
    <row r="72" spans="1:33" ht="12.9" customHeight="1">
      <c r="A72" s="57" t="s">
        <v>469</v>
      </c>
      <c r="B72" s="38" t="s">
        <v>464</v>
      </c>
      <c r="C72" s="310">
        <f>IF(dashboard!$F41="o.k.",IF(C$6&lt;=dashboard!$D41,MIN(1-dashboard!$E41*(1-(dashboard!$D41-C$6)/dashboard!$C41),1),1-dashboard!$E41),1)</f>
        <v>1</v>
      </c>
      <c r="D72" s="310">
        <f>IF(dashboard!$F41="o.k.",IF(D$6&lt;=dashboard!$D41,MIN(1-dashboard!$E41*(1-(dashboard!$D41-D$6)/dashboard!$C41),1),1-dashboard!$E41),1)</f>
        <v>0.995</v>
      </c>
      <c r="E72" s="310">
        <f>IF(dashboard!$F41="o.k.",IF(E$6&lt;=dashboard!$D41,MIN(1-dashboard!$E41*(1-(dashboard!$D41-E$6)/dashboard!$C41),1),1-dashboard!$E41),1)</f>
        <v>0.99</v>
      </c>
      <c r="F72" s="310">
        <f>IF(dashboard!$F41="o.k.",IF(F$6&lt;=dashboard!$D41,MIN(1-dashboard!$E41*(1-(dashboard!$D41-F$6)/dashboard!$C41),1),1-dashboard!$E41),1)</f>
        <v>0.98499999999999999</v>
      </c>
      <c r="G72" s="310">
        <f>IF(dashboard!$F41="o.k.",IF(G$6&lt;=dashboard!$D41,MIN(1-dashboard!$E41*(1-(dashboard!$D41-G$6)/dashboard!$C41),1),1-dashboard!$E41),1)</f>
        <v>0.98</v>
      </c>
      <c r="H72" s="310">
        <f>IF(dashboard!$F41="o.k.",IF(H$6&lt;=dashboard!$D41,MIN(1-dashboard!$E41*(1-(dashboard!$D41-H$6)/dashboard!$C41),1),1-dashboard!$E41),1)</f>
        <v>0.97499999999999998</v>
      </c>
      <c r="I72" s="310">
        <f>IF(dashboard!$F41="o.k.",IF(I$6&lt;=dashboard!$D41,MIN(1-dashboard!$E41*(1-(dashboard!$D41-I$6)/dashboard!$C41),1),1-dashboard!$E41),1)</f>
        <v>0.97</v>
      </c>
      <c r="J72" s="310">
        <f>IF(dashboard!$F41="o.k.",IF(J$6&lt;=dashboard!$D41,MIN(1-dashboard!$E41*(1-(dashboard!$D41-J$6)/dashboard!$C41),1),1-dashboard!$E41),1)</f>
        <v>0.96499999999999997</v>
      </c>
      <c r="K72" s="310">
        <f>IF(dashboard!$F41="o.k.",IF(K$6&lt;=dashboard!$D41,MIN(1-dashboard!$E41*(1-(dashboard!$D41-K$6)/dashboard!$C41),1),1-dashboard!$E41),1)</f>
        <v>0.96</v>
      </c>
      <c r="L72" s="310">
        <f>IF(dashboard!$F41="o.k.",IF(L$6&lt;=dashboard!$D41,MIN(1-dashboard!$E41*(1-(dashboard!$D41-L$6)/dashboard!$C41),1),1-dashboard!$E41),1)</f>
        <v>0.95499999999999996</v>
      </c>
      <c r="M72" s="310">
        <f>IF(dashboard!$F41="o.k.",IF(M$6&lt;=dashboard!$D41,MIN(1-dashboard!$E41*(1-(dashboard!$D41-M$6)/dashboard!$C41),1),1-dashboard!$E41),1)</f>
        <v>0.95</v>
      </c>
      <c r="N72" s="310">
        <f>IF(dashboard!$F41="o.k.",IF(N$6&lt;=dashboard!$D41,MIN(1-dashboard!$E41*(1-(dashboard!$D41-N$6)/dashboard!$C41),1),1-dashboard!$E41),1)</f>
        <v>0.94499999999999995</v>
      </c>
      <c r="O72" s="310">
        <f>IF(dashboard!$F41="o.k.",IF(O$6&lt;=dashboard!$D41,MIN(1-dashboard!$E41*(1-(dashboard!$D41-O$6)/dashboard!$C41),1),1-dashboard!$E41),1)</f>
        <v>0.94</v>
      </c>
      <c r="P72" s="310">
        <f>IF(dashboard!$F41="o.k.",IF(P$6&lt;=dashboard!$D41,MIN(1-dashboard!$E41*(1-(dashboard!$D41-P$6)/dashboard!$C41),1),1-dashboard!$E41),1)</f>
        <v>0.93500000000000005</v>
      </c>
      <c r="Q72" s="310">
        <f>IF(dashboard!$F41="o.k.",IF(Q$6&lt;=dashboard!$D41,MIN(1-dashboard!$E41*(1-(dashboard!$D41-Q$6)/dashboard!$C41),1),1-dashboard!$E41),1)</f>
        <v>0.93</v>
      </c>
      <c r="R72" s="310">
        <f>IF(dashboard!$F41="o.k.",IF(R$6&lt;=dashboard!$D41,MIN(1-dashboard!$E41*(1-(dashboard!$D41-R$6)/dashboard!$C41),1),1-dashboard!$E41),1)</f>
        <v>0.92500000000000004</v>
      </c>
      <c r="S72" s="310">
        <f>IF(dashboard!$F41="o.k.",IF(S$6&lt;=dashboard!$D41,MIN(1-dashboard!$E41*(1-(dashboard!$D41-S$6)/dashboard!$C41),1),1-dashboard!$E41),1)</f>
        <v>0.92</v>
      </c>
      <c r="T72" s="310">
        <f>IF(dashboard!$F41="o.k.",IF(T$6&lt;=dashboard!$D41,MIN(1-dashboard!$E41*(1-(dashboard!$D41-T$6)/dashboard!$C41),1),1-dashboard!$E41),1)</f>
        <v>0.91500000000000004</v>
      </c>
      <c r="U72" s="310">
        <f>IF(dashboard!$F41="o.k.",IF(U$6&lt;=dashboard!$D41,MIN(1-dashboard!$E41*(1-(dashboard!$D41-U$6)/dashboard!$C41),1),1-dashboard!$E41),1)</f>
        <v>0.91</v>
      </c>
      <c r="V72" s="310">
        <f>IF(dashboard!$F41="o.k.",IF(V$6&lt;=dashboard!$D41,MIN(1-dashboard!$E41*(1-(dashboard!$D41-V$6)/dashboard!$C41),1),1-dashboard!$E41),1)</f>
        <v>0.90500000000000003</v>
      </c>
      <c r="W72" s="310">
        <f>IF(dashboard!$F41="o.k.",IF(W$6&lt;=dashboard!$D41,MIN(1-dashboard!$E41*(1-(dashboard!$D41-W$6)/dashboard!$C41),1),1-dashboard!$E41),1)</f>
        <v>0.9</v>
      </c>
      <c r="X72" s="310">
        <f>IF(dashboard!$F41="o.k.",IF(X$6&lt;=dashboard!$D41,MIN(1-dashboard!$E41*(1-(dashboard!$D41-X$6)/dashboard!$C41),1),1-dashboard!$E41),1)</f>
        <v>0.89500000000000002</v>
      </c>
      <c r="Y72" s="310">
        <f>IF(dashboard!$F41="o.k.",IF(Y$6&lt;=dashboard!$D41,MIN(1-dashboard!$E41*(1-(dashboard!$D41-Y$6)/dashboard!$C41),1),1-dashboard!$E41),1)</f>
        <v>0.89</v>
      </c>
      <c r="Z72" s="310">
        <f>IF(dashboard!$F41="o.k.",IF(Z$6&lt;=dashboard!$D41,MIN(1-dashboard!$E41*(1-(dashboard!$D41-Z$6)/dashboard!$C41),1),1-dashboard!$E41),1)</f>
        <v>0.88500000000000001</v>
      </c>
      <c r="AA72" s="310">
        <f>IF(dashboard!$F41="o.k.",IF(AA$6&lt;=dashboard!$D41,MIN(1-dashboard!$E41*(1-(dashboard!$D41-AA$6)/dashboard!$C41),1),1-dashboard!$E41),1)</f>
        <v>0.88</v>
      </c>
      <c r="AB72" s="310">
        <f>IF(dashboard!$F41="o.k.",IF(AB$6&lt;=dashboard!$D41,MIN(1-dashboard!$E41*(1-(dashboard!$D41-AB$6)/dashboard!$C41),1),1-dashboard!$E41),1)</f>
        <v>0.875</v>
      </c>
      <c r="AC72" s="310">
        <f>IF(dashboard!$F41="o.k.",IF(AC$6&lt;=dashboard!$D41,MIN(1-dashboard!$E41*(1-(dashboard!$D41-AC$6)/dashboard!$C41),1),1-dashboard!$E41),1)</f>
        <v>0.87</v>
      </c>
      <c r="AD72" s="310">
        <f>IF(dashboard!$F41="o.k.",IF(AD$6&lt;=dashboard!$D41,MIN(1-dashboard!$E41*(1-(dashboard!$D41-AD$6)/dashboard!$C41),1),1-dashboard!$E41),1)</f>
        <v>0.86499999999999999</v>
      </c>
      <c r="AE72" s="310">
        <f>IF(dashboard!$F41="o.k.",IF(AE$6&lt;=dashboard!$D41,MIN(1-dashboard!$E41*(1-(dashboard!$D41-AE$6)/dashboard!$C41),1),1-dashboard!$E41),1)</f>
        <v>0.86</v>
      </c>
      <c r="AF72" s="310">
        <f>IF(dashboard!$F41="o.k.",IF(AF$6&lt;=dashboard!$D41,MIN(1-dashboard!$E41*(1-(dashboard!$D41-AF$6)/dashboard!$C41),1),1-dashboard!$E41),1)</f>
        <v>0.85499999999999998</v>
      </c>
      <c r="AG72" s="310">
        <f>IF(dashboard!$F41="o.k.",IF(AG$6&lt;=dashboard!$D41,MIN(1-dashboard!$E41*(1-(dashboard!$D41-AG$6)/dashboard!$C41),1),1-dashboard!$E41),1)</f>
        <v>0.85</v>
      </c>
    </row>
    <row r="73" spans="1:33" ht="12.9" customHeight="1">
      <c r="A73" s="57" t="s">
        <v>423</v>
      </c>
      <c r="B73" s="38" t="s">
        <v>464</v>
      </c>
      <c r="C73" s="310">
        <f>IF(dashboard!$F42="o.k.",IF(C$6&lt;=dashboard!$D42,MIN(1-dashboard!$E42*(1-(dashboard!$D42-C$6)/dashboard!$C42),1),1-dashboard!$E42),1)</f>
        <v>1</v>
      </c>
      <c r="D73" s="310">
        <f>IF(dashboard!$F42="o.k.",IF(D$6&lt;=dashboard!$D42,MIN(1-dashboard!$E42*(1-(dashboard!$D42-D$6)/dashboard!$C42),1),1-dashboard!$E42),1)</f>
        <v>0.99750000000000005</v>
      </c>
      <c r="E73" s="310">
        <f>IF(dashboard!$F42="o.k.",IF(E$6&lt;=dashboard!$D42,MIN(1-dashboard!$E42*(1-(dashboard!$D42-E$6)/dashboard!$C42),1),1-dashboard!$E42),1)</f>
        <v>0.995</v>
      </c>
      <c r="F73" s="310">
        <f>IF(dashboard!$F42="o.k.",IF(F$6&lt;=dashboard!$D42,MIN(1-dashboard!$E42*(1-(dashboard!$D42-F$6)/dashboard!$C42),1),1-dashboard!$E42),1)</f>
        <v>0.99250000000000005</v>
      </c>
      <c r="G73" s="310">
        <f>IF(dashboard!$F42="o.k.",IF(G$6&lt;=dashboard!$D42,MIN(1-dashboard!$E42*(1-(dashboard!$D42-G$6)/dashboard!$C42),1),1-dashboard!$E42),1)</f>
        <v>0.99</v>
      </c>
      <c r="H73" s="310">
        <f>IF(dashboard!$F42="o.k.",IF(H$6&lt;=dashboard!$D42,MIN(1-dashboard!$E42*(1-(dashboard!$D42-H$6)/dashboard!$C42),1),1-dashboard!$E42),1)</f>
        <v>0.98750000000000004</v>
      </c>
      <c r="I73" s="310">
        <f>IF(dashboard!$F42="o.k.",IF(I$6&lt;=dashboard!$D42,MIN(1-dashboard!$E42*(1-(dashboard!$D42-I$6)/dashboard!$C42),1),1-dashboard!$E42),1)</f>
        <v>0.98499999999999999</v>
      </c>
      <c r="J73" s="310">
        <f>IF(dashboard!$F42="o.k.",IF(J$6&lt;=dashboard!$D42,MIN(1-dashboard!$E42*(1-(dashboard!$D42-J$6)/dashboard!$C42),1),1-dashboard!$E42),1)</f>
        <v>0.98250000000000004</v>
      </c>
      <c r="K73" s="310">
        <f>IF(dashboard!$F42="o.k.",IF(K$6&lt;=dashboard!$D42,MIN(1-dashboard!$E42*(1-(dashboard!$D42-K$6)/dashboard!$C42),1),1-dashboard!$E42),1)</f>
        <v>0.98</v>
      </c>
      <c r="L73" s="310">
        <f>IF(dashboard!$F42="o.k.",IF(L$6&lt;=dashboard!$D42,MIN(1-dashboard!$E42*(1-(dashboard!$D42-L$6)/dashboard!$C42),1),1-dashboard!$E42),1)</f>
        <v>0.97750000000000004</v>
      </c>
      <c r="M73" s="310">
        <f>IF(dashboard!$F42="o.k.",IF(M$6&lt;=dashboard!$D42,MIN(1-dashboard!$E42*(1-(dashboard!$D42-M$6)/dashboard!$C42),1),1-dashboard!$E42),1)</f>
        <v>0.97499999999999998</v>
      </c>
      <c r="N73" s="310">
        <f>IF(dashboard!$F42="o.k.",IF(N$6&lt;=dashboard!$D42,MIN(1-dashboard!$E42*(1-(dashboard!$D42-N$6)/dashboard!$C42),1),1-dashboard!$E42),1)</f>
        <v>0.97250000000000003</v>
      </c>
      <c r="O73" s="310">
        <f>IF(dashboard!$F42="o.k.",IF(O$6&lt;=dashboard!$D42,MIN(1-dashboard!$E42*(1-(dashboard!$D42-O$6)/dashboard!$C42),1),1-dashboard!$E42),1)</f>
        <v>0.97</v>
      </c>
      <c r="P73" s="310">
        <f>IF(dashboard!$F42="o.k.",IF(P$6&lt;=dashboard!$D42,MIN(1-dashboard!$E42*(1-(dashboard!$D42-P$6)/dashboard!$C42),1),1-dashboard!$E42),1)</f>
        <v>0.96750000000000003</v>
      </c>
      <c r="Q73" s="310">
        <f>IF(dashboard!$F42="o.k.",IF(Q$6&lt;=dashboard!$D42,MIN(1-dashboard!$E42*(1-(dashboard!$D42-Q$6)/dashboard!$C42),1),1-dashboard!$E42),1)</f>
        <v>0.96499999999999997</v>
      </c>
      <c r="R73" s="310">
        <f>IF(dashboard!$F42="o.k.",IF(R$6&lt;=dashboard!$D42,MIN(1-dashboard!$E42*(1-(dashboard!$D42-R$6)/dashboard!$C42),1),1-dashboard!$E42),1)</f>
        <v>0.96250000000000002</v>
      </c>
      <c r="S73" s="310">
        <f>IF(dashboard!$F42="o.k.",IF(S$6&lt;=dashboard!$D42,MIN(1-dashboard!$E42*(1-(dashboard!$D42-S$6)/dashboard!$C42),1),1-dashboard!$E42),1)</f>
        <v>0.96</v>
      </c>
      <c r="T73" s="310">
        <f>IF(dashboard!$F42="o.k.",IF(T$6&lt;=dashboard!$D42,MIN(1-dashboard!$E42*(1-(dashboard!$D42-T$6)/dashboard!$C42),1),1-dashboard!$E42),1)</f>
        <v>0.95750000000000002</v>
      </c>
      <c r="U73" s="310">
        <f>IF(dashboard!$F42="o.k.",IF(U$6&lt;=dashboard!$D42,MIN(1-dashboard!$E42*(1-(dashboard!$D42-U$6)/dashboard!$C42),1),1-dashboard!$E42),1)</f>
        <v>0.95499999999999996</v>
      </c>
      <c r="V73" s="310">
        <f>IF(dashboard!$F42="o.k.",IF(V$6&lt;=dashboard!$D42,MIN(1-dashboard!$E42*(1-(dashboard!$D42-V$6)/dashboard!$C42),1),1-dashboard!$E42),1)</f>
        <v>0.95250000000000001</v>
      </c>
      <c r="W73" s="310">
        <f>IF(dashboard!$F42="o.k.",IF(W$6&lt;=dashboard!$D42,MIN(1-dashboard!$E42*(1-(dashboard!$D42-W$6)/dashboard!$C42),1),1-dashboard!$E42),1)</f>
        <v>0.95</v>
      </c>
      <c r="X73" s="310">
        <f>IF(dashboard!$F42="o.k.",IF(X$6&lt;=dashboard!$D42,MIN(1-dashboard!$E42*(1-(dashboard!$D42-X$6)/dashboard!$C42),1),1-dashboard!$E42),1)</f>
        <v>0.94750000000000001</v>
      </c>
      <c r="Y73" s="310">
        <f>IF(dashboard!$F42="o.k.",IF(Y$6&lt;=dashboard!$D42,MIN(1-dashboard!$E42*(1-(dashboard!$D42-Y$6)/dashboard!$C42),1),1-dashboard!$E42),1)</f>
        <v>0.94499999999999995</v>
      </c>
      <c r="Z73" s="310">
        <f>IF(dashboard!$F42="o.k.",IF(Z$6&lt;=dashboard!$D42,MIN(1-dashboard!$E42*(1-(dashboard!$D42-Z$6)/dashboard!$C42),1),1-dashboard!$E42),1)</f>
        <v>0.9425</v>
      </c>
      <c r="AA73" s="310">
        <f>IF(dashboard!$F42="o.k.",IF(AA$6&lt;=dashboard!$D42,MIN(1-dashboard!$E42*(1-(dashboard!$D42-AA$6)/dashboard!$C42),1),1-dashboard!$E42),1)</f>
        <v>0.94</v>
      </c>
      <c r="AB73" s="310">
        <f>IF(dashboard!$F42="o.k.",IF(AB$6&lt;=dashboard!$D42,MIN(1-dashboard!$E42*(1-(dashboard!$D42-AB$6)/dashboard!$C42),1),1-dashboard!$E42),1)</f>
        <v>0.9375</v>
      </c>
      <c r="AC73" s="310">
        <f>IF(dashboard!$F42="o.k.",IF(AC$6&lt;=dashboard!$D42,MIN(1-dashboard!$E42*(1-(dashboard!$D42-AC$6)/dashboard!$C42),1),1-dashboard!$E42),1)</f>
        <v>0.93500000000000005</v>
      </c>
      <c r="AD73" s="310">
        <f>IF(dashboard!$F42="o.k.",IF(AD$6&lt;=dashboard!$D42,MIN(1-dashboard!$E42*(1-(dashboard!$D42-AD$6)/dashboard!$C42),1),1-dashboard!$E42),1)</f>
        <v>0.9325</v>
      </c>
      <c r="AE73" s="310">
        <f>IF(dashboard!$F42="o.k.",IF(AE$6&lt;=dashboard!$D42,MIN(1-dashboard!$E42*(1-(dashboard!$D42-AE$6)/dashboard!$C42),1),1-dashboard!$E42),1)</f>
        <v>0.93</v>
      </c>
      <c r="AF73" s="310">
        <f>IF(dashboard!$F42="o.k.",IF(AF$6&lt;=dashboard!$D42,MIN(1-dashboard!$E42*(1-(dashboard!$D42-AF$6)/dashboard!$C42),1),1-dashboard!$E42),1)</f>
        <v>0.92749999999999999</v>
      </c>
      <c r="AG73" s="310">
        <f>IF(dashboard!$F42="o.k.",IF(AG$6&lt;=dashboard!$D42,MIN(1-dashboard!$E42*(1-(dashboard!$D42-AG$6)/dashboard!$C42),1),1-dashboard!$E42),1)</f>
        <v>0.92500000000000004</v>
      </c>
    </row>
    <row r="74" spans="1:33" ht="12.9" customHeight="1">
      <c r="A74" s="65" t="s">
        <v>77</v>
      </c>
      <c r="B74" s="38"/>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row>
    <row r="75" spans="1:33" ht="12.9" customHeight="1">
      <c r="A75" s="57" t="s">
        <v>469</v>
      </c>
      <c r="B75" s="38" t="s">
        <v>464</v>
      </c>
      <c r="C75" s="310">
        <f>IF(dashboard!$F44="o.k.",IF(C$6&lt;=dashboard!$D44,MIN(1-dashboard!$E44*(1-(dashboard!$D44-C$6)/dashboard!$C44),1),1-dashboard!$E44),1)</f>
        <v>1</v>
      </c>
      <c r="D75" s="310">
        <f>IF(dashboard!$F44="o.k.",IF(D$6&lt;=dashboard!$D44,MIN(1-dashboard!$E44*(1-(dashboard!$D44-D$6)/dashboard!$C44),1),1-dashboard!$E44),1)</f>
        <v>0.995</v>
      </c>
      <c r="E75" s="310">
        <f>IF(dashboard!$F44="o.k.",IF(E$6&lt;=dashboard!$D44,MIN(1-dashboard!$E44*(1-(dashboard!$D44-E$6)/dashboard!$C44),1),1-dashboard!$E44),1)</f>
        <v>0.99</v>
      </c>
      <c r="F75" s="310">
        <f>IF(dashboard!$F44="o.k.",IF(F$6&lt;=dashboard!$D44,MIN(1-dashboard!$E44*(1-(dashboard!$D44-F$6)/dashboard!$C44),1),1-dashboard!$E44),1)</f>
        <v>0.98499999999999999</v>
      </c>
      <c r="G75" s="310">
        <f>IF(dashboard!$F44="o.k.",IF(G$6&lt;=dashboard!$D44,MIN(1-dashboard!$E44*(1-(dashboard!$D44-G$6)/dashboard!$C44),1),1-dashboard!$E44),1)</f>
        <v>0.98</v>
      </c>
      <c r="H75" s="310">
        <f>IF(dashboard!$F44="o.k.",IF(H$6&lt;=dashboard!$D44,MIN(1-dashboard!$E44*(1-(dashboard!$D44-H$6)/dashboard!$C44),1),1-dashboard!$E44),1)</f>
        <v>0.97499999999999998</v>
      </c>
      <c r="I75" s="310">
        <f>IF(dashboard!$F44="o.k.",IF(I$6&lt;=dashboard!$D44,MIN(1-dashboard!$E44*(1-(dashboard!$D44-I$6)/dashboard!$C44),1),1-dashboard!$E44),1)</f>
        <v>0.97</v>
      </c>
      <c r="J75" s="310">
        <f>IF(dashboard!$F44="o.k.",IF(J$6&lt;=dashboard!$D44,MIN(1-dashboard!$E44*(1-(dashboard!$D44-J$6)/dashboard!$C44),1),1-dashboard!$E44),1)</f>
        <v>0.96499999999999997</v>
      </c>
      <c r="K75" s="310">
        <f>IF(dashboard!$F44="o.k.",IF(K$6&lt;=dashboard!$D44,MIN(1-dashboard!$E44*(1-(dashboard!$D44-K$6)/dashboard!$C44),1),1-dashboard!$E44),1)</f>
        <v>0.96</v>
      </c>
      <c r="L75" s="310">
        <f>IF(dashboard!$F44="o.k.",IF(L$6&lt;=dashboard!$D44,MIN(1-dashboard!$E44*(1-(dashboard!$D44-L$6)/dashboard!$C44),1),1-dashboard!$E44),1)</f>
        <v>0.95499999999999996</v>
      </c>
      <c r="M75" s="310">
        <f>IF(dashboard!$F44="o.k.",IF(M$6&lt;=dashboard!$D44,MIN(1-dashboard!$E44*(1-(dashboard!$D44-M$6)/dashboard!$C44),1),1-dashboard!$E44),1)</f>
        <v>0.95</v>
      </c>
      <c r="N75" s="310">
        <f>IF(dashboard!$F44="o.k.",IF(N$6&lt;=dashboard!$D44,MIN(1-dashboard!$E44*(1-(dashboard!$D44-N$6)/dashboard!$C44),1),1-dashboard!$E44),1)</f>
        <v>0.94499999999999995</v>
      </c>
      <c r="O75" s="310">
        <f>IF(dashboard!$F44="o.k.",IF(O$6&lt;=dashboard!$D44,MIN(1-dashboard!$E44*(1-(dashboard!$D44-O$6)/dashboard!$C44),1),1-dashboard!$E44),1)</f>
        <v>0.94</v>
      </c>
      <c r="P75" s="310">
        <f>IF(dashboard!$F44="o.k.",IF(P$6&lt;=dashboard!$D44,MIN(1-dashboard!$E44*(1-(dashboard!$D44-P$6)/dashboard!$C44),1),1-dashboard!$E44),1)</f>
        <v>0.93500000000000005</v>
      </c>
      <c r="Q75" s="310">
        <f>IF(dashboard!$F44="o.k.",IF(Q$6&lt;=dashboard!$D44,MIN(1-dashboard!$E44*(1-(dashboard!$D44-Q$6)/dashboard!$C44),1),1-dashboard!$E44),1)</f>
        <v>0.93</v>
      </c>
      <c r="R75" s="310">
        <f>IF(dashboard!$F44="o.k.",IF(R$6&lt;=dashboard!$D44,MIN(1-dashboard!$E44*(1-(dashboard!$D44-R$6)/dashboard!$C44),1),1-dashboard!$E44),1)</f>
        <v>0.92500000000000004</v>
      </c>
      <c r="S75" s="310">
        <f>IF(dashboard!$F44="o.k.",IF(S$6&lt;=dashboard!$D44,MIN(1-dashboard!$E44*(1-(dashboard!$D44-S$6)/dashboard!$C44),1),1-dashboard!$E44),1)</f>
        <v>0.92</v>
      </c>
      <c r="T75" s="310">
        <f>IF(dashboard!$F44="o.k.",IF(T$6&lt;=dashboard!$D44,MIN(1-dashboard!$E44*(1-(dashboard!$D44-T$6)/dashboard!$C44),1),1-dashboard!$E44),1)</f>
        <v>0.91500000000000004</v>
      </c>
      <c r="U75" s="310">
        <f>IF(dashboard!$F44="o.k.",IF(U$6&lt;=dashboard!$D44,MIN(1-dashboard!$E44*(1-(dashboard!$D44-U$6)/dashboard!$C44),1),1-dashboard!$E44),1)</f>
        <v>0.91</v>
      </c>
      <c r="V75" s="310">
        <f>IF(dashboard!$F44="o.k.",IF(V$6&lt;=dashboard!$D44,MIN(1-dashboard!$E44*(1-(dashboard!$D44-V$6)/dashboard!$C44),1),1-dashboard!$E44),1)</f>
        <v>0.90500000000000003</v>
      </c>
      <c r="W75" s="310">
        <f>IF(dashboard!$F44="o.k.",IF(W$6&lt;=dashboard!$D44,MIN(1-dashboard!$E44*(1-(dashboard!$D44-W$6)/dashboard!$C44),1),1-dashboard!$E44),1)</f>
        <v>0.9</v>
      </c>
      <c r="X75" s="310">
        <f>IF(dashboard!$F44="o.k.",IF(X$6&lt;=dashboard!$D44,MIN(1-dashboard!$E44*(1-(dashboard!$D44-X$6)/dashboard!$C44),1),1-dashboard!$E44),1)</f>
        <v>0.89500000000000002</v>
      </c>
      <c r="Y75" s="310">
        <f>IF(dashboard!$F44="o.k.",IF(Y$6&lt;=dashboard!$D44,MIN(1-dashboard!$E44*(1-(dashboard!$D44-Y$6)/dashboard!$C44),1),1-dashboard!$E44),1)</f>
        <v>0.89</v>
      </c>
      <c r="Z75" s="310">
        <f>IF(dashboard!$F44="o.k.",IF(Z$6&lt;=dashboard!$D44,MIN(1-dashboard!$E44*(1-(dashboard!$D44-Z$6)/dashboard!$C44),1),1-dashboard!$E44),1)</f>
        <v>0.88500000000000001</v>
      </c>
      <c r="AA75" s="310">
        <f>IF(dashboard!$F44="o.k.",IF(AA$6&lt;=dashboard!$D44,MIN(1-dashboard!$E44*(1-(dashboard!$D44-AA$6)/dashboard!$C44),1),1-dashboard!$E44),1)</f>
        <v>0.88</v>
      </c>
      <c r="AB75" s="310">
        <f>IF(dashboard!$F44="o.k.",IF(AB$6&lt;=dashboard!$D44,MIN(1-dashboard!$E44*(1-(dashboard!$D44-AB$6)/dashboard!$C44),1),1-dashboard!$E44),1)</f>
        <v>0.875</v>
      </c>
      <c r="AC75" s="310">
        <f>IF(dashboard!$F44="o.k.",IF(AC$6&lt;=dashboard!$D44,MIN(1-dashboard!$E44*(1-(dashboard!$D44-AC$6)/dashboard!$C44),1),1-dashboard!$E44),1)</f>
        <v>0.87</v>
      </c>
      <c r="AD75" s="310">
        <f>IF(dashboard!$F44="o.k.",IF(AD$6&lt;=dashboard!$D44,MIN(1-dashboard!$E44*(1-(dashboard!$D44-AD$6)/dashboard!$C44),1),1-dashboard!$E44),1)</f>
        <v>0.86499999999999999</v>
      </c>
      <c r="AE75" s="310">
        <f>IF(dashboard!$F44="o.k.",IF(AE$6&lt;=dashboard!$D44,MIN(1-dashboard!$E44*(1-(dashboard!$D44-AE$6)/dashboard!$C44),1),1-dashboard!$E44),1)</f>
        <v>0.86</v>
      </c>
      <c r="AF75" s="310">
        <f>IF(dashboard!$F44="o.k.",IF(AF$6&lt;=dashboard!$D44,MIN(1-dashboard!$E44*(1-(dashboard!$D44-AF$6)/dashboard!$C44),1),1-dashboard!$E44),1)</f>
        <v>0.85499999999999998</v>
      </c>
      <c r="AG75" s="310">
        <f>IF(dashboard!$F44="o.k.",IF(AG$6&lt;=dashboard!$D44,MIN(1-dashboard!$E44*(1-(dashboard!$D44-AG$6)/dashboard!$C44),1),1-dashboard!$E44),1)</f>
        <v>0.85</v>
      </c>
    </row>
    <row r="76" spans="1:33" ht="12.9" customHeight="1">
      <c r="A76" s="57" t="s">
        <v>423</v>
      </c>
      <c r="B76" s="38" t="s">
        <v>464</v>
      </c>
      <c r="C76" s="310">
        <f>IF(dashboard!$F45="o.k.",IF(C$6&lt;=dashboard!$D45,MIN(1-dashboard!$E45*(1-(dashboard!$D45-C$6)/dashboard!$C45),1),1-dashboard!$E45),1)</f>
        <v>1</v>
      </c>
      <c r="D76" s="310">
        <f>IF(dashboard!$F45="o.k.",IF(D$6&lt;=dashboard!$D45,MIN(1-dashboard!$E45*(1-(dashboard!$D45-D$6)/dashboard!$C45),1),1-dashboard!$E45),1)</f>
        <v>0.99750000000000005</v>
      </c>
      <c r="E76" s="310">
        <f>IF(dashboard!$F45="o.k.",IF(E$6&lt;=dashboard!$D45,MIN(1-dashboard!$E45*(1-(dashboard!$D45-E$6)/dashboard!$C45),1),1-dashboard!$E45),1)</f>
        <v>0.995</v>
      </c>
      <c r="F76" s="310">
        <f>IF(dashboard!$F45="o.k.",IF(F$6&lt;=dashboard!$D45,MIN(1-dashboard!$E45*(1-(dashboard!$D45-F$6)/dashboard!$C45),1),1-dashboard!$E45),1)</f>
        <v>0.99250000000000005</v>
      </c>
      <c r="G76" s="310">
        <f>IF(dashboard!$F45="o.k.",IF(G$6&lt;=dashboard!$D45,MIN(1-dashboard!$E45*(1-(dashboard!$D45-G$6)/dashboard!$C45),1),1-dashboard!$E45),1)</f>
        <v>0.99</v>
      </c>
      <c r="H76" s="310">
        <f>IF(dashboard!$F45="o.k.",IF(H$6&lt;=dashboard!$D45,MIN(1-dashboard!$E45*(1-(dashboard!$D45-H$6)/dashboard!$C45),1),1-dashboard!$E45),1)</f>
        <v>0.98750000000000004</v>
      </c>
      <c r="I76" s="310">
        <f>IF(dashboard!$F45="o.k.",IF(I$6&lt;=dashboard!$D45,MIN(1-dashboard!$E45*(1-(dashboard!$D45-I$6)/dashboard!$C45),1),1-dashboard!$E45),1)</f>
        <v>0.98499999999999999</v>
      </c>
      <c r="J76" s="310">
        <f>IF(dashboard!$F45="o.k.",IF(J$6&lt;=dashboard!$D45,MIN(1-dashboard!$E45*(1-(dashboard!$D45-J$6)/dashboard!$C45),1),1-dashboard!$E45),1)</f>
        <v>0.98250000000000004</v>
      </c>
      <c r="K76" s="310">
        <f>IF(dashboard!$F45="o.k.",IF(K$6&lt;=dashboard!$D45,MIN(1-dashboard!$E45*(1-(dashboard!$D45-K$6)/dashboard!$C45),1),1-dashboard!$E45),1)</f>
        <v>0.98</v>
      </c>
      <c r="L76" s="310">
        <f>IF(dashboard!$F45="o.k.",IF(L$6&lt;=dashboard!$D45,MIN(1-dashboard!$E45*(1-(dashboard!$D45-L$6)/dashboard!$C45),1),1-dashboard!$E45),1)</f>
        <v>0.97750000000000004</v>
      </c>
      <c r="M76" s="310">
        <f>IF(dashboard!$F45="o.k.",IF(M$6&lt;=dashboard!$D45,MIN(1-dashboard!$E45*(1-(dashboard!$D45-M$6)/dashboard!$C45),1),1-dashboard!$E45),1)</f>
        <v>0.97499999999999998</v>
      </c>
      <c r="N76" s="310">
        <f>IF(dashboard!$F45="o.k.",IF(N$6&lt;=dashboard!$D45,MIN(1-dashboard!$E45*(1-(dashboard!$D45-N$6)/dashboard!$C45),1),1-dashboard!$E45),1)</f>
        <v>0.97250000000000003</v>
      </c>
      <c r="O76" s="310">
        <f>IF(dashboard!$F45="o.k.",IF(O$6&lt;=dashboard!$D45,MIN(1-dashboard!$E45*(1-(dashboard!$D45-O$6)/dashboard!$C45),1),1-dashboard!$E45),1)</f>
        <v>0.97</v>
      </c>
      <c r="P76" s="310">
        <f>IF(dashboard!$F45="o.k.",IF(P$6&lt;=dashboard!$D45,MIN(1-dashboard!$E45*(1-(dashboard!$D45-P$6)/dashboard!$C45),1),1-dashboard!$E45),1)</f>
        <v>0.96750000000000003</v>
      </c>
      <c r="Q76" s="310">
        <f>IF(dashboard!$F45="o.k.",IF(Q$6&lt;=dashboard!$D45,MIN(1-dashboard!$E45*(1-(dashboard!$D45-Q$6)/dashboard!$C45),1),1-dashboard!$E45),1)</f>
        <v>0.96499999999999997</v>
      </c>
      <c r="R76" s="310">
        <f>IF(dashboard!$F45="o.k.",IF(R$6&lt;=dashboard!$D45,MIN(1-dashboard!$E45*(1-(dashboard!$D45-R$6)/dashboard!$C45),1),1-dashboard!$E45),1)</f>
        <v>0.96250000000000002</v>
      </c>
      <c r="S76" s="310">
        <f>IF(dashboard!$F45="o.k.",IF(S$6&lt;=dashboard!$D45,MIN(1-dashboard!$E45*(1-(dashboard!$D45-S$6)/dashboard!$C45),1),1-dashboard!$E45),1)</f>
        <v>0.96</v>
      </c>
      <c r="T76" s="310">
        <f>IF(dashboard!$F45="o.k.",IF(T$6&lt;=dashboard!$D45,MIN(1-dashboard!$E45*(1-(dashboard!$D45-T$6)/dashboard!$C45),1),1-dashboard!$E45),1)</f>
        <v>0.95750000000000002</v>
      </c>
      <c r="U76" s="310">
        <f>IF(dashboard!$F45="o.k.",IF(U$6&lt;=dashboard!$D45,MIN(1-dashboard!$E45*(1-(dashboard!$D45-U$6)/dashboard!$C45),1),1-dashboard!$E45),1)</f>
        <v>0.95499999999999996</v>
      </c>
      <c r="V76" s="310">
        <f>IF(dashboard!$F45="o.k.",IF(V$6&lt;=dashboard!$D45,MIN(1-dashboard!$E45*(1-(dashboard!$D45-V$6)/dashboard!$C45),1),1-dashboard!$E45),1)</f>
        <v>0.95250000000000001</v>
      </c>
      <c r="W76" s="310">
        <f>IF(dashboard!$F45="o.k.",IF(W$6&lt;=dashboard!$D45,MIN(1-dashboard!$E45*(1-(dashboard!$D45-W$6)/dashboard!$C45),1),1-dashboard!$E45),1)</f>
        <v>0.95</v>
      </c>
      <c r="X76" s="310">
        <f>IF(dashboard!$F45="o.k.",IF(X$6&lt;=dashboard!$D45,MIN(1-dashboard!$E45*(1-(dashboard!$D45-X$6)/dashboard!$C45),1),1-dashboard!$E45),1)</f>
        <v>0.94750000000000001</v>
      </c>
      <c r="Y76" s="310">
        <f>IF(dashboard!$F45="o.k.",IF(Y$6&lt;=dashboard!$D45,MIN(1-dashboard!$E45*(1-(dashboard!$D45-Y$6)/dashboard!$C45),1),1-dashboard!$E45),1)</f>
        <v>0.94499999999999995</v>
      </c>
      <c r="Z76" s="310">
        <f>IF(dashboard!$F45="o.k.",IF(Z$6&lt;=dashboard!$D45,MIN(1-dashboard!$E45*(1-(dashboard!$D45-Z$6)/dashboard!$C45),1),1-dashboard!$E45),1)</f>
        <v>0.9425</v>
      </c>
      <c r="AA76" s="310">
        <f>IF(dashboard!$F45="o.k.",IF(AA$6&lt;=dashboard!$D45,MIN(1-dashboard!$E45*(1-(dashboard!$D45-AA$6)/dashboard!$C45),1),1-dashboard!$E45),1)</f>
        <v>0.94</v>
      </c>
      <c r="AB76" s="310">
        <f>IF(dashboard!$F45="o.k.",IF(AB$6&lt;=dashboard!$D45,MIN(1-dashboard!$E45*(1-(dashboard!$D45-AB$6)/dashboard!$C45),1),1-dashboard!$E45),1)</f>
        <v>0.9375</v>
      </c>
      <c r="AC76" s="310">
        <f>IF(dashboard!$F45="o.k.",IF(AC$6&lt;=dashboard!$D45,MIN(1-dashboard!$E45*(1-(dashboard!$D45-AC$6)/dashboard!$C45),1),1-dashboard!$E45),1)</f>
        <v>0.93500000000000005</v>
      </c>
      <c r="AD76" s="310">
        <f>IF(dashboard!$F45="o.k.",IF(AD$6&lt;=dashboard!$D45,MIN(1-dashboard!$E45*(1-(dashboard!$D45-AD$6)/dashboard!$C45),1),1-dashboard!$E45),1)</f>
        <v>0.9325</v>
      </c>
      <c r="AE76" s="310">
        <f>IF(dashboard!$F45="o.k.",IF(AE$6&lt;=dashboard!$D45,MIN(1-dashboard!$E45*(1-(dashboard!$D45-AE$6)/dashboard!$C45),1),1-dashboard!$E45),1)</f>
        <v>0.93</v>
      </c>
      <c r="AF76" s="310">
        <f>IF(dashboard!$F45="o.k.",IF(AF$6&lt;=dashboard!$D45,MIN(1-dashboard!$E45*(1-(dashboard!$D45-AF$6)/dashboard!$C45),1),1-dashboard!$E45),1)</f>
        <v>0.92749999999999999</v>
      </c>
      <c r="AG76" s="310">
        <f>IF(dashboard!$F45="o.k.",IF(AG$6&lt;=dashboard!$D45,MIN(1-dashboard!$E45*(1-(dashboard!$D45-AG$6)/dashboard!$C45),1),1-dashboard!$E45),1)</f>
        <v>0.92500000000000004</v>
      </c>
    </row>
    <row r="77" spans="1:33" ht="12.9" customHeight="1">
      <c r="A77" s="65" t="s">
        <v>78</v>
      </c>
      <c r="B77" s="38"/>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row>
    <row r="78" spans="1:33" ht="12.9" customHeight="1">
      <c r="A78" s="57" t="s">
        <v>469</v>
      </c>
      <c r="B78" s="38" t="s">
        <v>464</v>
      </c>
      <c r="C78" s="310">
        <f>IF(dashboard!$F47="o.k.",IF(C$6&lt;=dashboard!$D47,MIN(1-dashboard!$E47*(1-(dashboard!$D47-C$6)/dashboard!$C47),1),1-dashboard!$E47),1)</f>
        <v>1</v>
      </c>
      <c r="D78" s="310">
        <f>IF(dashboard!$F47="o.k.",IF(D$6&lt;=dashboard!$D47,MIN(1-dashboard!$E47*(1-(dashboard!$D47-D$6)/dashboard!$C47),1),1-dashboard!$E47),1)</f>
        <v>1</v>
      </c>
      <c r="E78" s="310">
        <f>IF(dashboard!$F47="o.k.",IF(E$6&lt;=dashboard!$D47,MIN(1-dashboard!$E47*(1-(dashboard!$D47-E$6)/dashboard!$C47),1),1-dashboard!$E47),1)</f>
        <v>1</v>
      </c>
      <c r="F78" s="310">
        <f>IF(dashboard!$F47="o.k.",IF(F$6&lt;=dashboard!$D47,MIN(1-dashboard!$E47*(1-(dashboard!$D47-F$6)/dashboard!$C47),1),1-dashboard!$E47),1)</f>
        <v>1</v>
      </c>
      <c r="G78" s="310">
        <f>IF(dashboard!$F47="o.k.",IF(G$6&lt;=dashboard!$D47,MIN(1-dashboard!$E47*(1-(dashboard!$D47-G$6)/dashboard!$C47),1),1-dashboard!$E47),1)</f>
        <v>1</v>
      </c>
      <c r="H78" s="310">
        <f>IF(dashboard!$F47="o.k.",IF(H$6&lt;=dashboard!$D47,MIN(1-dashboard!$E47*(1-(dashboard!$D47-H$6)/dashboard!$C47),1),1-dashboard!$E47),1)</f>
        <v>1</v>
      </c>
      <c r="I78" s="310">
        <f>IF(dashboard!$F47="o.k.",IF(I$6&lt;=dashboard!$D47,MIN(1-dashboard!$E47*(1-(dashboard!$D47-I$6)/dashboard!$C47),1),1-dashboard!$E47),1)</f>
        <v>1</v>
      </c>
      <c r="J78" s="310">
        <f>IF(dashboard!$F47="o.k.",IF(J$6&lt;=dashboard!$D47,MIN(1-dashboard!$E47*(1-(dashboard!$D47-J$6)/dashboard!$C47),1),1-dashboard!$E47),1)</f>
        <v>1</v>
      </c>
      <c r="K78" s="310">
        <f>IF(dashboard!$F47="o.k.",IF(K$6&lt;=dashboard!$D47,MIN(1-dashboard!$E47*(1-(dashboard!$D47-K$6)/dashboard!$C47),1),1-dashboard!$E47),1)</f>
        <v>1</v>
      </c>
      <c r="L78" s="310">
        <f>IF(dashboard!$F47="o.k.",IF(L$6&lt;=dashboard!$D47,MIN(1-dashboard!$E47*(1-(dashboard!$D47-L$6)/dashboard!$C47),1),1-dashboard!$E47),1)</f>
        <v>1</v>
      </c>
      <c r="M78" s="310">
        <f>IF(dashboard!$F47="o.k.",IF(M$6&lt;=dashboard!$D47,MIN(1-dashboard!$E47*(1-(dashboard!$D47-M$6)/dashboard!$C47),1),1-dashboard!$E47),1)</f>
        <v>1</v>
      </c>
      <c r="N78" s="310">
        <f>IF(dashboard!$F47="o.k.",IF(N$6&lt;=dashboard!$D47,MIN(1-dashboard!$E47*(1-(dashboard!$D47-N$6)/dashboard!$C47),1),1-dashboard!$E47),1)</f>
        <v>1</v>
      </c>
      <c r="O78" s="310">
        <f>IF(dashboard!$F47="o.k.",IF(O$6&lt;=dashboard!$D47,MIN(1-dashboard!$E47*(1-(dashboard!$D47-O$6)/dashboard!$C47),1),1-dashboard!$E47),1)</f>
        <v>1</v>
      </c>
      <c r="P78" s="310">
        <f>IF(dashboard!$F47="o.k.",IF(P$6&lt;=dashboard!$D47,MIN(1-dashboard!$E47*(1-(dashboard!$D47-P$6)/dashboard!$C47),1),1-dashboard!$E47),1)</f>
        <v>1</v>
      </c>
      <c r="Q78" s="310">
        <f>IF(dashboard!$F47="o.k.",IF(Q$6&lt;=dashboard!$D47,MIN(1-dashboard!$E47*(1-(dashboard!$D47-Q$6)/dashboard!$C47),1),1-dashboard!$E47),1)</f>
        <v>1</v>
      </c>
      <c r="R78" s="310">
        <f>IF(dashboard!$F47="o.k.",IF(R$6&lt;=dashboard!$D47,MIN(1-dashboard!$E47*(1-(dashboard!$D47-R$6)/dashboard!$C47),1),1-dashboard!$E47),1)</f>
        <v>1</v>
      </c>
      <c r="S78" s="310">
        <f>IF(dashboard!$F47="o.k.",IF(S$6&lt;=dashboard!$D47,MIN(1-dashboard!$E47*(1-(dashboard!$D47-S$6)/dashboard!$C47),1),1-dashboard!$E47),1)</f>
        <v>1</v>
      </c>
      <c r="T78" s="310">
        <f>IF(dashboard!$F47="o.k.",IF(T$6&lt;=dashboard!$D47,MIN(1-dashboard!$E47*(1-(dashboard!$D47-T$6)/dashboard!$C47),1),1-dashboard!$E47),1)</f>
        <v>1</v>
      </c>
      <c r="U78" s="310">
        <f>IF(dashboard!$F47="o.k.",IF(U$6&lt;=dashboard!$D47,MIN(1-dashboard!$E47*(1-(dashboard!$D47-U$6)/dashboard!$C47),1),1-dashboard!$E47),1)</f>
        <v>1</v>
      </c>
      <c r="V78" s="310">
        <f>IF(dashboard!$F47="o.k.",IF(V$6&lt;=dashboard!$D47,MIN(1-dashboard!$E47*(1-(dashboard!$D47-V$6)/dashboard!$C47),1),1-dashboard!$E47),1)</f>
        <v>1</v>
      </c>
      <c r="W78" s="310">
        <f>IF(dashboard!$F47="o.k.",IF(W$6&lt;=dashboard!$D47,MIN(1-dashboard!$E47*(1-(dashboard!$D47-W$6)/dashboard!$C47),1),1-dashboard!$E47),1)</f>
        <v>1</v>
      </c>
      <c r="X78" s="310">
        <f>IF(dashboard!$F47="o.k.",IF(X$6&lt;=dashboard!$D47,MIN(1-dashboard!$E47*(1-(dashboard!$D47-X$6)/dashboard!$C47),1),1-dashboard!$E47),1)</f>
        <v>1</v>
      </c>
      <c r="Y78" s="310">
        <f>IF(dashboard!$F47="o.k.",IF(Y$6&lt;=dashboard!$D47,MIN(1-dashboard!$E47*(1-(dashboard!$D47-Y$6)/dashboard!$C47),1),1-dashboard!$E47),1)</f>
        <v>1</v>
      </c>
      <c r="Z78" s="310">
        <f>IF(dashboard!$F47="o.k.",IF(Z$6&lt;=dashboard!$D47,MIN(1-dashboard!$E47*(1-(dashboard!$D47-Z$6)/dashboard!$C47),1),1-dashboard!$E47),1)</f>
        <v>1</v>
      </c>
      <c r="AA78" s="310">
        <f>IF(dashboard!$F47="o.k.",IF(AA$6&lt;=dashboard!$D47,MIN(1-dashboard!$E47*(1-(dashboard!$D47-AA$6)/dashboard!$C47),1),1-dashboard!$E47),1)</f>
        <v>1</v>
      </c>
      <c r="AB78" s="310">
        <f>IF(dashboard!$F47="o.k.",IF(AB$6&lt;=dashboard!$D47,MIN(1-dashboard!$E47*(1-(dashboard!$D47-AB$6)/dashboard!$C47),1),1-dashboard!$E47),1)</f>
        <v>1</v>
      </c>
      <c r="AC78" s="310">
        <f>IF(dashboard!$F47="o.k.",IF(AC$6&lt;=dashboard!$D47,MIN(1-dashboard!$E47*(1-(dashboard!$D47-AC$6)/dashboard!$C47),1),1-dashboard!$E47),1)</f>
        <v>1</v>
      </c>
      <c r="AD78" s="310">
        <f>IF(dashboard!$F47="o.k.",IF(AD$6&lt;=dashboard!$D47,MIN(1-dashboard!$E47*(1-(dashboard!$D47-AD$6)/dashboard!$C47),1),1-dashboard!$E47),1)</f>
        <v>1</v>
      </c>
      <c r="AE78" s="310">
        <f>IF(dashboard!$F47="o.k.",IF(AE$6&lt;=dashboard!$D47,MIN(1-dashboard!$E47*(1-(dashboard!$D47-AE$6)/dashboard!$C47),1),1-dashboard!$E47),1)</f>
        <v>1</v>
      </c>
      <c r="AF78" s="310">
        <f>IF(dashboard!$F47="o.k.",IF(AF$6&lt;=dashboard!$D47,MIN(1-dashboard!$E47*(1-(dashboard!$D47-AF$6)/dashboard!$C47),1),1-dashboard!$E47),1)</f>
        <v>1</v>
      </c>
      <c r="AG78" s="310">
        <f>IF(dashboard!$F47="o.k.",IF(AG$6&lt;=dashboard!$D47,MIN(1-dashboard!$E47*(1-(dashboard!$D47-AG$6)/dashboard!$C47),1),1-dashboard!$E47),1)</f>
        <v>1</v>
      </c>
    </row>
    <row r="79" spans="1:33" ht="12.9" customHeight="1">
      <c r="A79" s="57" t="s">
        <v>425</v>
      </c>
      <c r="B79" s="38" t="s">
        <v>464</v>
      </c>
      <c r="C79" s="310">
        <f>IF(dashboard!$F48="o.k.",IF(C$6&lt;=dashboard!$D48,MIN(1-dashboard!$E48*(1-(dashboard!$D48-C$6)/dashboard!$C48),1),1-dashboard!$E48),1)</f>
        <v>1</v>
      </c>
      <c r="D79" s="310">
        <f>IF(dashboard!$F48="o.k.",IF(D$6&lt;=dashboard!$D48,MIN(1-dashboard!$E48*(1-(dashboard!$D48-D$6)/dashboard!$C48),1),1-dashboard!$E48),1)</f>
        <v>1</v>
      </c>
      <c r="E79" s="310">
        <f>IF(dashboard!$F48="o.k.",IF(E$6&lt;=dashboard!$D48,MIN(1-dashboard!$E48*(1-(dashboard!$D48-E$6)/dashboard!$C48),1),1-dashboard!$E48),1)</f>
        <v>1</v>
      </c>
      <c r="F79" s="310">
        <f>IF(dashboard!$F48="o.k.",IF(F$6&lt;=dashboard!$D48,MIN(1-dashboard!$E48*(1-(dashboard!$D48-F$6)/dashboard!$C48),1),1-dashboard!$E48),1)</f>
        <v>1</v>
      </c>
      <c r="G79" s="310">
        <f>IF(dashboard!$F48="o.k.",IF(G$6&lt;=dashboard!$D48,MIN(1-dashboard!$E48*(1-(dashboard!$D48-G$6)/dashboard!$C48),1),1-dashboard!$E48),1)</f>
        <v>1</v>
      </c>
      <c r="H79" s="310">
        <f>IF(dashboard!$F48="o.k.",IF(H$6&lt;=dashboard!$D48,MIN(1-dashboard!$E48*(1-(dashboard!$D48-H$6)/dashboard!$C48),1),1-dashboard!$E48),1)</f>
        <v>1</v>
      </c>
      <c r="I79" s="310">
        <f>IF(dashboard!$F48="o.k.",IF(I$6&lt;=dashboard!$D48,MIN(1-dashboard!$E48*(1-(dashboard!$D48-I$6)/dashboard!$C48),1),1-dashboard!$E48),1)</f>
        <v>1</v>
      </c>
      <c r="J79" s="310">
        <f>IF(dashboard!$F48="o.k.",IF(J$6&lt;=dashboard!$D48,MIN(1-dashboard!$E48*(1-(dashboard!$D48-J$6)/dashboard!$C48),1),1-dashboard!$E48),1)</f>
        <v>1</v>
      </c>
      <c r="K79" s="310">
        <f>IF(dashboard!$F48="o.k.",IF(K$6&lt;=dashboard!$D48,MIN(1-dashboard!$E48*(1-(dashboard!$D48-K$6)/dashboard!$C48),1),1-dashboard!$E48),1)</f>
        <v>1</v>
      </c>
      <c r="L79" s="310">
        <f>IF(dashboard!$F48="o.k.",IF(L$6&lt;=dashboard!$D48,MIN(1-dashboard!$E48*(1-(dashboard!$D48-L$6)/dashboard!$C48),1),1-dashboard!$E48),1)</f>
        <v>1</v>
      </c>
      <c r="M79" s="310">
        <f>IF(dashboard!$F48="o.k.",IF(M$6&lt;=dashboard!$D48,MIN(1-dashboard!$E48*(1-(dashboard!$D48-M$6)/dashboard!$C48),1),1-dashboard!$E48),1)</f>
        <v>1</v>
      </c>
      <c r="N79" s="310">
        <f>IF(dashboard!$F48="o.k.",IF(N$6&lt;=dashboard!$D48,MIN(1-dashboard!$E48*(1-(dashboard!$D48-N$6)/dashboard!$C48),1),1-dashboard!$E48),1)</f>
        <v>1</v>
      </c>
      <c r="O79" s="310">
        <f>IF(dashboard!$F48="o.k.",IF(O$6&lt;=dashboard!$D48,MIN(1-dashboard!$E48*(1-(dashboard!$D48-O$6)/dashboard!$C48),1),1-dashboard!$E48),1)</f>
        <v>1</v>
      </c>
      <c r="P79" s="310">
        <f>IF(dashboard!$F48="o.k.",IF(P$6&lt;=dashboard!$D48,MIN(1-dashboard!$E48*(1-(dashboard!$D48-P$6)/dashboard!$C48),1),1-dashboard!$E48),1)</f>
        <v>1</v>
      </c>
      <c r="Q79" s="310">
        <f>IF(dashboard!$F48="o.k.",IF(Q$6&lt;=dashboard!$D48,MIN(1-dashboard!$E48*(1-(dashboard!$D48-Q$6)/dashboard!$C48),1),1-dashboard!$E48),1)</f>
        <v>1</v>
      </c>
      <c r="R79" s="310">
        <f>IF(dashboard!$F48="o.k.",IF(R$6&lt;=dashboard!$D48,MIN(1-dashboard!$E48*(1-(dashboard!$D48-R$6)/dashboard!$C48),1),1-dashboard!$E48),1)</f>
        <v>1</v>
      </c>
      <c r="S79" s="310">
        <f>IF(dashboard!$F48="o.k.",IF(S$6&lt;=dashboard!$D48,MIN(1-dashboard!$E48*(1-(dashboard!$D48-S$6)/dashboard!$C48),1),1-dashboard!$E48),1)</f>
        <v>1</v>
      </c>
      <c r="T79" s="310">
        <f>IF(dashboard!$F48="o.k.",IF(T$6&lt;=dashboard!$D48,MIN(1-dashboard!$E48*(1-(dashboard!$D48-T$6)/dashboard!$C48),1),1-dashboard!$E48),1)</f>
        <v>1</v>
      </c>
      <c r="U79" s="310">
        <f>IF(dashboard!$F48="o.k.",IF(U$6&lt;=dashboard!$D48,MIN(1-dashboard!$E48*(1-(dashboard!$D48-U$6)/dashboard!$C48),1),1-dashboard!$E48),1)</f>
        <v>1</v>
      </c>
      <c r="V79" s="310">
        <f>IF(dashboard!$F48="o.k.",IF(V$6&lt;=dashboard!$D48,MIN(1-dashboard!$E48*(1-(dashboard!$D48-V$6)/dashboard!$C48),1),1-dashboard!$E48),1)</f>
        <v>1</v>
      </c>
      <c r="W79" s="310">
        <f>IF(dashboard!$F48="o.k.",IF(W$6&lt;=dashboard!$D48,MIN(1-dashboard!$E48*(1-(dashboard!$D48-W$6)/dashboard!$C48),1),1-dashboard!$E48),1)</f>
        <v>1</v>
      </c>
      <c r="X79" s="310">
        <f>IF(dashboard!$F48="o.k.",IF(X$6&lt;=dashboard!$D48,MIN(1-dashboard!$E48*(1-(dashboard!$D48-X$6)/dashboard!$C48),1),1-dashboard!$E48),1)</f>
        <v>1</v>
      </c>
      <c r="Y79" s="310">
        <f>IF(dashboard!$F48="o.k.",IF(Y$6&lt;=dashboard!$D48,MIN(1-dashboard!$E48*(1-(dashboard!$D48-Y$6)/dashboard!$C48),1),1-dashboard!$E48),1)</f>
        <v>1</v>
      </c>
      <c r="Z79" s="310">
        <f>IF(dashboard!$F48="o.k.",IF(Z$6&lt;=dashboard!$D48,MIN(1-dashboard!$E48*(1-(dashboard!$D48-Z$6)/dashboard!$C48),1),1-dashboard!$E48),1)</f>
        <v>1</v>
      </c>
      <c r="AA79" s="310">
        <f>IF(dashboard!$F48="o.k.",IF(AA$6&lt;=dashboard!$D48,MIN(1-dashboard!$E48*(1-(dashboard!$D48-AA$6)/dashboard!$C48),1),1-dashboard!$E48),1)</f>
        <v>1</v>
      </c>
      <c r="AB79" s="310">
        <f>IF(dashboard!$F48="o.k.",IF(AB$6&lt;=dashboard!$D48,MIN(1-dashboard!$E48*(1-(dashboard!$D48-AB$6)/dashboard!$C48),1),1-dashboard!$E48),1)</f>
        <v>1</v>
      </c>
      <c r="AC79" s="310">
        <f>IF(dashboard!$F48="o.k.",IF(AC$6&lt;=dashboard!$D48,MIN(1-dashboard!$E48*(1-(dashboard!$D48-AC$6)/dashboard!$C48),1),1-dashboard!$E48),1)</f>
        <v>1</v>
      </c>
      <c r="AD79" s="310">
        <f>IF(dashboard!$F48="o.k.",IF(AD$6&lt;=dashboard!$D48,MIN(1-dashboard!$E48*(1-(dashboard!$D48-AD$6)/dashboard!$C48),1),1-dashboard!$E48),1)</f>
        <v>1</v>
      </c>
      <c r="AE79" s="310">
        <f>IF(dashboard!$F48="o.k.",IF(AE$6&lt;=dashboard!$D48,MIN(1-dashboard!$E48*(1-(dashboard!$D48-AE$6)/dashboard!$C48),1),1-dashboard!$E48),1)</f>
        <v>1</v>
      </c>
      <c r="AF79" s="310">
        <f>IF(dashboard!$F48="o.k.",IF(AF$6&lt;=dashboard!$D48,MIN(1-dashboard!$E48*(1-(dashboard!$D48-AF$6)/dashboard!$C48),1),1-dashboard!$E48),1)</f>
        <v>1</v>
      </c>
      <c r="AG79" s="310">
        <f>IF(dashboard!$F48="o.k.",IF(AG$6&lt;=dashboard!$D48,MIN(1-dashboard!$E48*(1-(dashboard!$D48-AG$6)/dashboard!$C48),1),1-dashboard!$E48),1)</f>
        <v>1</v>
      </c>
    </row>
    <row r="80" spans="1:33" ht="12.9" customHeight="1">
      <c r="A80" s="57" t="s">
        <v>426</v>
      </c>
      <c r="B80" s="38" t="s">
        <v>464</v>
      </c>
      <c r="C80" s="310">
        <f>IF(dashboard!$F49="o.k.",IF(C$6&lt;=dashboard!$D49,MIN(1-dashboard!$E49*(1-(dashboard!$D49-C$6)/dashboard!$C49),1),1-dashboard!$E49),1)</f>
        <v>1</v>
      </c>
      <c r="D80" s="310">
        <f>IF(dashboard!$F49="o.k.",IF(D$6&lt;=dashboard!$D49,MIN(1-dashboard!$E49*(1-(dashboard!$D49-D$6)/dashboard!$C49),1),1-dashboard!$E49),1)</f>
        <v>1</v>
      </c>
      <c r="E80" s="310">
        <f>IF(dashboard!$F49="o.k.",IF(E$6&lt;=dashboard!$D49,MIN(1-dashboard!$E49*(1-(dashboard!$D49-E$6)/dashboard!$C49),1),1-dashboard!$E49),1)</f>
        <v>1</v>
      </c>
      <c r="F80" s="310">
        <f>IF(dashboard!$F49="o.k.",IF(F$6&lt;=dashboard!$D49,MIN(1-dashboard!$E49*(1-(dashboard!$D49-F$6)/dashboard!$C49),1),1-dashboard!$E49),1)</f>
        <v>1</v>
      </c>
      <c r="G80" s="310">
        <f>IF(dashboard!$F49="o.k.",IF(G$6&lt;=dashboard!$D49,MIN(1-dashboard!$E49*(1-(dashboard!$D49-G$6)/dashboard!$C49),1),1-dashboard!$E49),1)</f>
        <v>1</v>
      </c>
      <c r="H80" s="310">
        <f>IF(dashboard!$F49="o.k.",IF(H$6&lt;=dashboard!$D49,MIN(1-dashboard!$E49*(1-(dashboard!$D49-H$6)/dashboard!$C49),1),1-dashboard!$E49),1)</f>
        <v>1</v>
      </c>
      <c r="I80" s="310">
        <f>IF(dashboard!$F49="o.k.",IF(I$6&lt;=dashboard!$D49,MIN(1-dashboard!$E49*(1-(dashboard!$D49-I$6)/dashboard!$C49),1),1-dashboard!$E49),1)</f>
        <v>1</v>
      </c>
      <c r="J80" s="310">
        <f>IF(dashboard!$F49="o.k.",IF(J$6&lt;=dashboard!$D49,MIN(1-dashboard!$E49*(1-(dashboard!$D49-J$6)/dashboard!$C49),1),1-dashboard!$E49),1)</f>
        <v>1</v>
      </c>
      <c r="K80" s="310">
        <f>IF(dashboard!$F49="o.k.",IF(K$6&lt;=dashboard!$D49,MIN(1-dashboard!$E49*(1-(dashboard!$D49-K$6)/dashboard!$C49),1),1-dashboard!$E49),1)</f>
        <v>1</v>
      </c>
      <c r="L80" s="310">
        <f>IF(dashboard!$F49="o.k.",IF(L$6&lt;=dashboard!$D49,MIN(1-dashboard!$E49*(1-(dashboard!$D49-L$6)/dashboard!$C49),1),1-dashboard!$E49),1)</f>
        <v>1</v>
      </c>
      <c r="M80" s="310">
        <f>IF(dashboard!$F49="o.k.",IF(M$6&lt;=dashboard!$D49,MIN(1-dashboard!$E49*(1-(dashboard!$D49-M$6)/dashboard!$C49),1),1-dashboard!$E49),1)</f>
        <v>1</v>
      </c>
      <c r="N80" s="310">
        <f>IF(dashboard!$F49="o.k.",IF(N$6&lt;=dashboard!$D49,MIN(1-dashboard!$E49*(1-(dashboard!$D49-N$6)/dashboard!$C49),1),1-dashboard!$E49),1)</f>
        <v>1</v>
      </c>
      <c r="O80" s="310">
        <f>IF(dashboard!$F49="o.k.",IF(O$6&lt;=dashboard!$D49,MIN(1-dashboard!$E49*(1-(dashboard!$D49-O$6)/dashboard!$C49),1),1-dashboard!$E49),1)</f>
        <v>1</v>
      </c>
      <c r="P80" s="310">
        <f>IF(dashboard!$F49="o.k.",IF(P$6&lt;=dashboard!$D49,MIN(1-dashboard!$E49*(1-(dashboard!$D49-P$6)/dashboard!$C49),1),1-dashboard!$E49),1)</f>
        <v>1</v>
      </c>
      <c r="Q80" s="310">
        <f>IF(dashboard!$F49="o.k.",IF(Q$6&lt;=dashboard!$D49,MIN(1-dashboard!$E49*(1-(dashboard!$D49-Q$6)/dashboard!$C49),1),1-dashboard!$E49),1)</f>
        <v>1</v>
      </c>
      <c r="R80" s="310">
        <f>IF(dashboard!$F49="o.k.",IF(R$6&lt;=dashboard!$D49,MIN(1-dashboard!$E49*(1-(dashboard!$D49-R$6)/dashboard!$C49),1),1-dashboard!$E49),1)</f>
        <v>1</v>
      </c>
      <c r="S80" s="310">
        <f>IF(dashboard!$F49="o.k.",IF(S$6&lt;=dashboard!$D49,MIN(1-dashboard!$E49*(1-(dashboard!$D49-S$6)/dashboard!$C49),1),1-dashboard!$E49),1)</f>
        <v>1</v>
      </c>
      <c r="T80" s="310">
        <f>IF(dashboard!$F49="o.k.",IF(T$6&lt;=dashboard!$D49,MIN(1-dashboard!$E49*(1-(dashboard!$D49-T$6)/dashboard!$C49),1),1-dashboard!$E49),1)</f>
        <v>1</v>
      </c>
      <c r="U80" s="310">
        <f>IF(dashboard!$F49="o.k.",IF(U$6&lt;=dashboard!$D49,MIN(1-dashboard!$E49*(1-(dashboard!$D49-U$6)/dashboard!$C49),1),1-dashboard!$E49),1)</f>
        <v>1</v>
      </c>
      <c r="V80" s="310">
        <f>IF(dashboard!$F49="o.k.",IF(V$6&lt;=dashboard!$D49,MIN(1-dashboard!$E49*(1-(dashboard!$D49-V$6)/dashboard!$C49),1),1-dashboard!$E49),1)</f>
        <v>1</v>
      </c>
      <c r="W80" s="310">
        <f>IF(dashboard!$F49="o.k.",IF(W$6&lt;=dashboard!$D49,MIN(1-dashboard!$E49*(1-(dashboard!$D49-W$6)/dashboard!$C49),1),1-dashboard!$E49),1)</f>
        <v>1</v>
      </c>
      <c r="X80" s="310">
        <f>IF(dashboard!$F49="o.k.",IF(X$6&lt;=dashboard!$D49,MIN(1-dashboard!$E49*(1-(dashboard!$D49-X$6)/dashboard!$C49),1),1-dashboard!$E49),1)</f>
        <v>1</v>
      </c>
      <c r="Y80" s="310">
        <f>IF(dashboard!$F49="o.k.",IF(Y$6&lt;=dashboard!$D49,MIN(1-dashboard!$E49*(1-(dashboard!$D49-Y$6)/dashboard!$C49),1),1-dashboard!$E49),1)</f>
        <v>1</v>
      </c>
      <c r="Z80" s="310">
        <f>IF(dashboard!$F49="o.k.",IF(Z$6&lt;=dashboard!$D49,MIN(1-dashboard!$E49*(1-(dashboard!$D49-Z$6)/dashboard!$C49),1),1-dashboard!$E49),1)</f>
        <v>1</v>
      </c>
      <c r="AA80" s="310">
        <f>IF(dashboard!$F49="o.k.",IF(AA$6&lt;=dashboard!$D49,MIN(1-dashboard!$E49*(1-(dashboard!$D49-AA$6)/dashboard!$C49),1),1-dashboard!$E49),1)</f>
        <v>1</v>
      </c>
      <c r="AB80" s="310">
        <f>IF(dashboard!$F49="o.k.",IF(AB$6&lt;=dashboard!$D49,MIN(1-dashboard!$E49*(1-(dashboard!$D49-AB$6)/dashboard!$C49),1),1-dashboard!$E49),1)</f>
        <v>1</v>
      </c>
      <c r="AC80" s="310">
        <f>IF(dashboard!$F49="o.k.",IF(AC$6&lt;=dashboard!$D49,MIN(1-dashboard!$E49*(1-(dashboard!$D49-AC$6)/dashboard!$C49),1),1-dashboard!$E49),1)</f>
        <v>1</v>
      </c>
      <c r="AD80" s="310">
        <f>IF(dashboard!$F49="o.k.",IF(AD$6&lt;=dashboard!$D49,MIN(1-dashboard!$E49*(1-(dashboard!$D49-AD$6)/dashboard!$C49),1),1-dashboard!$E49),1)</f>
        <v>1</v>
      </c>
      <c r="AE80" s="310">
        <f>IF(dashboard!$F49="o.k.",IF(AE$6&lt;=dashboard!$D49,MIN(1-dashboard!$E49*(1-(dashboard!$D49-AE$6)/dashboard!$C49),1),1-dashboard!$E49),1)</f>
        <v>1</v>
      </c>
      <c r="AF80" s="310">
        <f>IF(dashboard!$F49="o.k.",IF(AF$6&lt;=dashboard!$D49,MIN(1-dashboard!$E49*(1-(dashboard!$D49-AF$6)/dashboard!$C49),1),1-dashboard!$E49),1)</f>
        <v>1</v>
      </c>
      <c r="AG80" s="310">
        <f>IF(dashboard!$F49="o.k.",IF(AG$6&lt;=dashboard!$D49,MIN(1-dashboard!$E49*(1-(dashboard!$D49-AG$6)/dashboard!$C49),1),1-dashboard!$E49),1)</f>
        <v>1</v>
      </c>
    </row>
    <row r="81" spans="1:33" ht="12.9" customHeight="1">
      <c r="A81" s="57" t="s">
        <v>423</v>
      </c>
      <c r="B81" s="38" t="s">
        <v>464</v>
      </c>
      <c r="C81" s="310">
        <f>IF(dashboard!$F50="o.k.",IF(C$6&lt;=dashboard!$D50,MIN(1-dashboard!$E50*(1-(dashboard!$D50-C$6)/dashboard!$C50),1),1-dashboard!$E50),1)</f>
        <v>1</v>
      </c>
      <c r="D81" s="310">
        <f>IF(dashboard!$F50="o.k.",IF(D$6&lt;=dashboard!$D50,MIN(1-dashboard!$E50*(1-(dashboard!$D50-D$6)/dashboard!$C50),1),1-dashboard!$E50),1)</f>
        <v>1</v>
      </c>
      <c r="E81" s="310">
        <f>IF(dashboard!$F50="o.k.",IF(E$6&lt;=dashboard!$D50,MIN(1-dashboard!$E50*(1-(dashboard!$D50-E$6)/dashboard!$C50),1),1-dashboard!$E50),1)</f>
        <v>1</v>
      </c>
      <c r="F81" s="310">
        <f>IF(dashboard!$F50="o.k.",IF(F$6&lt;=dashboard!$D50,MIN(1-dashboard!$E50*(1-(dashboard!$D50-F$6)/dashboard!$C50),1),1-dashboard!$E50),1)</f>
        <v>1</v>
      </c>
      <c r="G81" s="310">
        <f>IF(dashboard!$F50="o.k.",IF(G$6&lt;=dashboard!$D50,MIN(1-dashboard!$E50*(1-(dashboard!$D50-G$6)/dashboard!$C50),1),1-dashboard!$E50),1)</f>
        <v>1</v>
      </c>
      <c r="H81" s="310">
        <f>IF(dashboard!$F50="o.k.",IF(H$6&lt;=dashboard!$D50,MIN(1-dashboard!$E50*(1-(dashboard!$D50-H$6)/dashboard!$C50),1),1-dashboard!$E50),1)</f>
        <v>1</v>
      </c>
      <c r="I81" s="310">
        <f>IF(dashboard!$F50="o.k.",IF(I$6&lt;=dashboard!$D50,MIN(1-dashboard!$E50*(1-(dashboard!$D50-I$6)/dashboard!$C50),1),1-dashboard!$E50),1)</f>
        <v>1</v>
      </c>
      <c r="J81" s="310">
        <f>IF(dashboard!$F50="o.k.",IF(J$6&lt;=dashboard!$D50,MIN(1-dashboard!$E50*(1-(dashboard!$D50-J$6)/dashboard!$C50),1),1-dashboard!$E50),1)</f>
        <v>1</v>
      </c>
      <c r="K81" s="310">
        <f>IF(dashboard!$F50="o.k.",IF(K$6&lt;=dashboard!$D50,MIN(1-dashboard!$E50*(1-(dashboard!$D50-K$6)/dashboard!$C50),1),1-dashboard!$E50),1)</f>
        <v>1</v>
      </c>
      <c r="L81" s="310">
        <f>IF(dashboard!$F50="o.k.",IF(L$6&lt;=dashboard!$D50,MIN(1-dashboard!$E50*(1-(dashboard!$D50-L$6)/dashboard!$C50),1),1-dashboard!$E50),1)</f>
        <v>1</v>
      </c>
      <c r="M81" s="310">
        <f>IF(dashboard!$F50="o.k.",IF(M$6&lt;=dashboard!$D50,MIN(1-dashboard!$E50*(1-(dashboard!$D50-M$6)/dashboard!$C50),1),1-dashboard!$E50),1)</f>
        <v>1</v>
      </c>
      <c r="N81" s="310">
        <f>IF(dashboard!$F50="o.k.",IF(N$6&lt;=dashboard!$D50,MIN(1-dashboard!$E50*(1-(dashboard!$D50-N$6)/dashboard!$C50),1),1-dashboard!$E50),1)</f>
        <v>1</v>
      </c>
      <c r="O81" s="310">
        <f>IF(dashboard!$F50="o.k.",IF(O$6&lt;=dashboard!$D50,MIN(1-dashboard!$E50*(1-(dashboard!$D50-O$6)/dashboard!$C50),1),1-dashboard!$E50),1)</f>
        <v>1</v>
      </c>
      <c r="P81" s="310">
        <f>IF(dashboard!$F50="o.k.",IF(P$6&lt;=dashboard!$D50,MIN(1-dashboard!$E50*(1-(dashboard!$D50-P$6)/dashboard!$C50),1),1-dashboard!$E50),1)</f>
        <v>1</v>
      </c>
      <c r="Q81" s="310">
        <f>IF(dashboard!$F50="o.k.",IF(Q$6&lt;=dashboard!$D50,MIN(1-dashboard!$E50*(1-(dashboard!$D50-Q$6)/dashboard!$C50),1),1-dashboard!$E50),1)</f>
        <v>1</v>
      </c>
      <c r="R81" s="310">
        <f>IF(dashboard!$F50="o.k.",IF(R$6&lt;=dashboard!$D50,MIN(1-dashboard!$E50*(1-(dashboard!$D50-R$6)/dashboard!$C50),1),1-dashboard!$E50),1)</f>
        <v>1</v>
      </c>
      <c r="S81" s="310">
        <f>IF(dashboard!$F50="o.k.",IF(S$6&lt;=dashboard!$D50,MIN(1-dashboard!$E50*(1-(dashboard!$D50-S$6)/dashboard!$C50),1),1-dashboard!$E50),1)</f>
        <v>1</v>
      </c>
      <c r="T81" s="310">
        <f>IF(dashboard!$F50="o.k.",IF(T$6&lt;=dashboard!$D50,MIN(1-dashboard!$E50*(1-(dashboard!$D50-T$6)/dashboard!$C50),1),1-dashboard!$E50),1)</f>
        <v>1</v>
      </c>
      <c r="U81" s="310">
        <f>IF(dashboard!$F50="o.k.",IF(U$6&lt;=dashboard!$D50,MIN(1-dashboard!$E50*(1-(dashboard!$D50-U$6)/dashboard!$C50),1),1-dashboard!$E50),1)</f>
        <v>1</v>
      </c>
      <c r="V81" s="310">
        <f>IF(dashboard!$F50="o.k.",IF(V$6&lt;=dashboard!$D50,MIN(1-dashboard!$E50*(1-(dashboard!$D50-V$6)/dashboard!$C50),1),1-dashboard!$E50),1)</f>
        <v>1</v>
      </c>
      <c r="W81" s="310">
        <f>IF(dashboard!$F50="o.k.",IF(W$6&lt;=dashboard!$D50,MIN(1-dashboard!$E50*(1-(dashboard!$D50-W$6)/dashboard!$C50),1),1-dashboard!$E50),1)</f>
        <v>1</v>
      </c>
      <c r="X81" s="310">
        <f>IF(dashboard!$F50="o.k.",IF(X$6&lt;=dashboard!$D50,MIN(1-dashboard!$E50*(1-(dashboard!$D50-X$6)/dashboard!$C50),1),1-dashboard!$E50),1)</f>
        <v>1</v>
      </c>
      <c r="Y81" s="310">
        <f>IF(dashboard!$F50="o.k.",IF(Y$6&lt;=dashboard!$D50,MIN(1-dashboard!$E50*(1-(dashboard!$D50-Y$6)/dashboard!$C50),1),1-dashboard!$E50),1)</f>
        <v>1</v>
      </c>
      <c r="Z81" s="310">
        <f>IF(dashboard!$F50="o.k.",IF(Z$6&lt;=dashboard!$D50,MIN(1-dashboard!$E50*(1-(dashboard!$D50-Z$6)/dashboard!$C50),1),1-dashboard!$E50),1)</f>
        <v>1</v>
      </c>
      <c r="AA81" s="310">
        <f>IF(dashboard!$F50="o.k.",IF(AA$6&lt;=dashboard!$D50,MIN(1-dashboard!$E50*(1-(dashboard!$D50-AA$6)/dashboard!$C50),1),1-dashboard!$E50),1)</f>
        <v>1</v>
      </c>
      <c r="AB81" s="310">
        <f>IF(dashboard!$F50="o.k.",IF(AB$6&lt;=dashboard!$D50,MIN(1-dashboard!$E50*(1-(dashboard!$D50-AB$6)/dashboard!$C50),1),1-dashboard!$E50),1)</f>
        <v>1</v>
      </c>
      <c r="AC81" s="310">
        <f>IF(dashboard!$F50="o.k.",IF(AC$6&lt;=dashboard!$D50,MIN(1-dashboard!$E50*(1-(dashboard!$D50-AC$6)/dashboard!$C50),1),1-dashboard!$E50),1)</f>
        <v>1</v>
      </c>
      <c r="AD81" s="310">
        <f>IF(dashboard!$F50="o.k.",IF(AD$6&lt;=dashboard!$D50,MIN(1-dashboard!$E50*(1-(dashboard!$D50-AD$6)/dashboard!$C50),1),1-dashboard!$E50),1)</f>
        <v>1</v>
      </c>
      <c r="AE81" s="310">
        <f>IF(dashboard!$F50="o.k.",IF(AE$6&lt;=dashboard!$D50,MIN(1-dashboard!$E50*(1-(dashboard!$D50-AE$6)/dashboard!$C50),1),1-dashboard!$E50),1)</f>
        <v>1</v>
      </c>
      <c r="AF81" s="310">
        <f>IF(dashboard!$F50="o.k.",IF(AF$6&lt;=dashboard!$D50,MIN(1-dashboard!$E50*(1-(dashboard!$D50-AF$6)/dashboard!$C50),1),1-dashboard!$E50),1)</f>
        <v>1</v>
      </c>
      <c r="AG81" s="310">
        <f>IF(dashboard!$F50="o.k.",IF(AG$6&lt;=dashboard!$D50,MIN(1-dashboard!$E50*(1-(dashboard!$D50-AG$6)/dashboard!$C50),1),1-dashboard!$E50),1)</f>
        <v>1</v>
      </c>
    </row>
    <row r="82" spans="1:33" ht="12.9" customHeight="1">
      <c r="A82" s="38" t="s">
        <v>79</v>
      </c>
      <c r="B82" s="38"/>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310"/>
      <c r="AE82" s="310"/>
      <c r="AF82" s="310"/>
      <c r="AG82" s="310"/>
    </row>
    <row r="83" spans="1:33" ht="12.9" customHeight="1">
      <c r="A83" s="57" t="s">
        <v>334</v>
      </c>
      <c r="B83" s="38" t="s">
        <v>464</v>
      </c>
      <c r="C83" s="310">
        <f>IF(dashboard!$F52="o.k.",IF(C$6&lt;=dashboard!$D52,MIN(1-dashboard!$E52*(1-(dashboard!$D52-C$6)/dashboard!$C52),1),1-dashboard!$E52),1)</f>
        <v>1</v>
      </c>
      <c r="D83" s="310">
        <f>IF(dashboard!$F52="o.k.",IF(D$6&lt;=dashboard!$D52,MIN(1-dashboard!$E52*(1-(dashboard!$D52-D$6)/dashboard!$C52),1),1-dashboard!$E52),1)</f>
        <v>1</v>
      </c>
      <c r="E83" s="310">
        <f>IF(dashboard!$F52="o.k.",IF(E$6&lt;=dashboard!$D52,MIN(1-dashboard!$E52*(1-(dashboard!$D52-E$6)/dashboard!$C52),1),1-dashboard!$E52),1)</f>
        <v>1</v>
      </c>
      <c r="F83" s="310">
        <f>IF(dashboard!$F52="o.k.",IF(F$6&lt;=dashboard!$D52,MIN(1-dashboard!$E52*(1-(dashboard!$D52-F$6)/dashboard!$C52),1),1-dashboard!$E52),1)</f>
        <v>1</v>
      </c>
      <c r="G83" s="310">
        <f>IF(dashboard!$F52="o.k.",IF(G$6&lt;=dashboard!$D52,MIN(1-dashboard!$E52*(1-(dashboard!$D52-G$6)/dashboard!$C52),1),1-dashboard!$E52),1)</f>
        <v>1</v>
      </c>
      <c r="H83" s="310">
        <f>IF(dashboard!$F52="o.k.",IF(H$6&lt;=dashboard!$D52,MIN(1-dashboard!$E52*(1-(dashboard!$D52-H$6)/dashboard!$C52),1),1-dashboard!$E52),1)</f>
        <v>1</v>
      </c>
      <c r="I83" s="310">
        <f>IF(dashboard!$F52="o.k.",IF(I$6&lt;=dashboard!$D52,MIN(1-dashboard!$E52*(1-(dashboard!$D52-I$6)/dashboard!$C52),1),1-dashboard!$E52),1)</f>
        <v>1</v>
      </c>
      <c r="J83" s="310">
        <f>IF(dashboard!$F52="o.k.",IF(J$6&lt;=dashboard!$D52,MIN(1-dashboard!$E52*(1-(dashboard!$D52-J$6)/dashboard!$C52),1),1-dashboard!$E52),1)</f>
        <v>1</v>
      </c>
      <c r="K83" s="310">
        <f>IF(dashboard!$F52="o.k.",IF(K$6&lt;=dashboard!$D52,MIN(1-dashboard!$E52*(1-(dashboard!$D52-K$6)/dashboard!$C52),1),1-dashboard!$E52),1)</f>
        <v>1</v>
      </c>
      <c r="L83" s="310">
        <f>IF(dashboard!$F52="o.k.",IF(L$6&lt;=dashboard!$D52,MIN(1-dashboard!$E52*(1-(dashboard!$D52-L$6)/dashboard!$C52),1),1-dashboard!$E52),1)</f>
        <v>1</v>
      </c>
      <c r="M83" s="310">
        <f>IF(dashboard!$F52="o.k.",IF(M$6&lt;=dashboard!$D52,MIN(1-dashboard!$E52*(1-(dashboard!$D52-M$6)/dashboard!$C52),1),1-dashboard!$E52),1)</f>
        <v>1</v>
      </c>
      <c r="N83" s="310">
        <f>IF(dashboard!$F52="o.k.",IF(N$6&lt;=dashboard!$D52,MIN(1-dashboard!$E52*(1-(dashboard!$D52-N$6)/dashboard!$C52),1),1-dashboard!$E52),1)</f>
        <v>1</v>
      </c>
      <c r="O83" s="310">
        <f>IF(dashboard!$F52="o.k.",IF(O$6&lt;=dashboard!$D52,MIN(1-dashboard!$E52*(1-(dashboard!$D52-O$6)/dashboard!$C52),1),1-dashboard!$E52),1)</f>
        <v>1</v>
      </c>
      <c r="P83" s="310">
        <f>IF(dashboard!$F52="o.k.",IF(P$6&lt;=dashboard!$D52,MIN(1-dashboard!$E52*(1-(dashboard!$D52-P$6)/dashboard!$C52),1),1-dashboard!$E52),1)</f>
        <v>1</v>
      </c>
      <c r="Q83" s="310">
        <f>IF(dashboard!$F52="o.k.",IF(Q$6&lt;=dashboard!$D52,MIN(1-dashboard!$E52*(1-(dashboard!$D52-Q$6)/dashboard!$C52),1),1-dashboard!$E52),1)</f>
        <v>1</v>
      </c>
      <c r="R83" s="310">
        <f>IF(dashboard!$F52="o.k.",IF(R$6&lt;=dashboard!$D52,MIN(1-dashboard!$E52*(1-(dashboard!$D52-R$6)/dashboard!$C52),1),1-dashboard!$E52),1)</f>
        <v>1</v>
      </c>
      <c r="S83" s="310">
        <f>IF(dashboard!$F52="o.k.",IF(S$6&lt;=dashboard!$D52,MIN(1-dashboard!$E52*(1-(dashboard!$D52-S$6)/dashboard!$C52),1),1-dashboard!$E52),1)</f>
        <v>1</v>
      </c>
      <c r="T83" s="310">
        <f>IF(dashboard!$F52="o.k.",IF(T$6&lt;=dashboard!$D52,MIN(1-dashboard!$E52*(1-(dashboard!$D52-T$6)/dashboard!$C52),1),1-dashboard!$E52),1)</f>
        <v>1</v>
      </c>
      <c r="U83" s="310">
        <f>IF(dashboard!$F52="o.k.",IF(U$6&lt;=dashboard!$D52,MIN(1-dashboard!$E52*(1-(dashboard!$D52-U$6)/dashboard!$C52),1),1-dashboard!$E52),1)</f>
        <v>1</v>
      </c>
      <c r="V83" s="310">
        <f>IF(dashboard!$F52="o.k.",IF(V$6&lt;=dashboard!$D52,MIN(1-dashboard!$E52*(1-(dashboard!$D52-V$6)/dashboard!$C52),1),1-dashboard!$E52),1)</f>
        <v>1</v>
      </c>
      <c r="W83" s="310">
        <f>IF(dashboard!$F52="o.k.",IF(W$6&lt;=dashboard!$D52,MIN(1-dashboard!$E52*(1-(dashboard!$D52-W$6)/dashboard!$C52),1),1-dashboard!$E52),1)</f>
        <v>1</v>
      </c>
      <c r="X83" s="310">
        <f>IF(dashboard!$F52="o.k.",IF(X$6&lt;=dashboard!$D52,MIN(1-dashboard!$E52*(1-(dashboard!$D52-X$6)/dashboard!$C52),1),1-dashboard!$E52),1)</f>
        <v>1</v>
      </c>
      <c r="Y83" s="310">
        <f>IF(dashboard!$F52="o.k.",IF(Y$6&lt;=dashboard!$D52,MIN(1-dashboard!$E52*(1-(dashboard!$D52-Y$6)/dashboard!$C52),1),1-dashboard!$E52),1)</f>
        <v>1</v>
      </c>
      <c r="Z83" s="310">
        <f>IF(dashboard!$F52="o.k.",IF(Z$6&lt;=dashboard!$D52,MIN(1-dashboard!$E52*(1-(dashboard!$D52-Z$6)/dashboard!$C52),1),1-dashboard!$E52),1)</f>
        <v>1</v>
      </c>
      <c r="AA83" s="310">
        <f>IF(dashboard!$F52="o.k.",IF(AA$6&lt;=dashboard!$D52,MIN(1-dashboard!$E52*(1-(dashboard!$D52-AA$6)/dashboard!$C52),1),1-dashboard!$E52),1)</f>
        <v>1</v>
      </c>
      <c r="AB83" s="310">
        <f>IF(dashboard!$F52="o.k.",IF(AB$6&lt;=dashboard!$D52,MIN(1-dashboard!$E52*(1-(dashboard!$D52-AB$6)/dashboard!$C52),1),1-dashboard!$E52),1)</f>
        <v>1</v>
      </c>
      <c r="AC83" s="310">
        <f>IF(dashboard!$F52="o.k.",IF(AC$6&lt;=dashboard!$D52,MIN(1-dashboard!$E52*(1-(dashboard!$D52-AC$6)/dashboard!$C52),1),1-dashboard!$E52),1)</f>
        <v>1</v>
      </c>
      <c r="AD83" s="310">
        <f>IF(dashboard!$F52="o.k.",IF(AD$6&lt;=dashboard!$D52,MIN(1-dashboard!$E52*(1-(dashboard!$D52-AD$6)/dashboard!$C52),1),1-dashboard!$E52),1)</f>
        <v>1</v>
      </c>
      <c r="AE83" s="310">
        <f>IF(dashboard!$F52="o.k.",IF(AE$6&lt;=dashboard!$D52,MIN(1-dashboard!$E52*(1-(dashboard!$D52-AE$6)/dashboard!$C52),1),1-dashboard!$E52),1)</f>
        <v>1</v>
      </c>
      <c r="AF83" s="310">
        <f>IF(dashboard!$F52="o.k.",IF(AF$6&lt;=dashboard!$D52,MIN(1-dashboard!$E52*(1-(dashboard!$D52-AF$6)/dashboard!$C52),1),1-dashboard!$E52),1)</f>
        <v>1</v>
      </c>
      <c r="AG83" s="310">
        <f>IF(dashboard!$F52="o.k.",IF(AG$6&lt;=dashboard!$D52,MIN(1-dashboard!$E52*(1-(dashboard!$D52-AG$6)/dashboard!$C52),1),1-dashboard!$E52),1)</f>
        <v>1</v>
      </c>
    </row>
    <row r="84" spans="1:33" ht="12.9" customHeight="1">
      <c r="A84" s="57" t="s">
        <v>335</v>
      </c>
      <c r="B84" s="38" t="s">
        <v>464</v>
      </c>
      <c r="C84" s="310">
        <f>IF(dashboard!$F53="o.k.",IF(C$6&lt;=dashboard!$D53,MIN(1-dashboard!$E53*(1-(dashboard!$D53-C$6)/dashboard!$C53),1),1-dashboard!$E53),1)</f>
        <v>1</v>
      </c>
      <c r="D84" s="310">
        <f>IF(dashboard!$F53="o.k.",IF(D$6&lt;=dashboard!$D53,MIN(1-dashboard!$E53*(1-(dashboard!$D53-D$6)/dashboard!$C53),1),1-dashboard!$E53),1)</f>
        <v>1</v>
      </c>
      <c r="E84" s="310">
        <f>IF(dashboard!$F53="o.k.",IF(E$6&lt;=dashboard!$D53,MIN(1-dashboard!$E53*(1-(dashboard!$D53-E$6)/dashboard!$C53),1),1-dashboard!$E53),1)</f>
        <v>1</v>
      </c>
      <c r="F84" s="310">
        <f>IF(dashboard!$F53="o.k.",IF(F$6&lt;=dashboard!$D53,MIN(1-dashboard!$E53*(1-(dashboard!$D53-F$6)/dashboard!$C53),1),1-dashboard!$E53),1)</f>
        <v>1</v>
      </c>
      <c r="G84" s="310">
        <f>IF(dashboard!$F53="o.k.",IF(G$6&lt;=dashboard!$D53,MIN(1-dashboard!$E53*(1-(dashboard!$D53-G$6)/dashboard!$C53),1),1-dashboard!$E53),1)</f>
        <v>1</v>
      </c>
      <c r="H84" s="310">
        <f>IF(dashboard!$F53="o.k.",IF(H$6&lt;=dashboard!$D53,MIN(1-dashboard!$E53*(1-(dashboard!$D53-H$6)/dashboard!$C53),1),1-dashboard!$E53),1)</f>
        <v>1</v>
      </c>
      <c r="I84" s="310">
        <f>IF(dashboard!$F53="o.k.",IF(I$6&lt;=dashboard!$D53,MIN(1-dashboard!$E53*(1-(dashboard!$D53-I$6)/dashboard!$C53),1),1-dashboard!$E53),1)</f>
        <v>1</v>
      </c>
      <c r="J84" s="310">
        <f>IF(dashboard!$F53="o.k.",IF(J$6&lt;=dashboard!$D53,MIN(1-dashboard!$E53*(1-(dashboard!$D53-J$6)/dashboard!$C53),1),1-dashboard!$E53),1)</f>
        <v>1</v>
      </c>
      <c r="K84" s="310">
        <f>IF(dashboard!$F53="o.k.",IF(K$6&lt;=dashboard!$D53,MIN(1-dashboard!$E53*(1-(dashboard!$D53-K$6)/dashboard!$C53),1),1-dashboard!$E53),1)</f>
        <v>1</v>
      </c>
      <c r="L84" s="310">
        <f>IF(dashboard!$F53="o.k.",IF(L$6&lt;=dashboard!$D53,MIN(1-dashboard!$E53*(1-(dashboard!$D53-L$6)/dashboard!$C53),1),1-dashboard!$E53),1)</f>
        <v>1</v>
      </c>
      <c r="M84" s="310">
        <f>IF(dashboard!$F53="o.k.",IF(M$6&lt;=dashboard!$D53,MIN(1-dashboard!$E53*(1-(dashboard!$D53-M$6)/dashboard!$C53),1),1-dashboard!$E53),1)</f>
        <v>1</v>
      </c>
      <c r="N84" s="310">
        <f>IF(dashboard!$F53="o.k.",IF(N$6&lt;=dashboard!$D53,MIN(1-dashboard!$E53*(1-(dashboard!$D53-N$6)/dashboard!$C53),1),1-dashboard!$E53),1)</f>
        <v>1</v>
      </c>
      <c r="O84" s="310">
        <f>IF(dashboard!$F53="o.k.",IF(O$6&lt;=dashboard!$D53,MIN(1-dashboard!$E53*(1-(dashboard!$D53-O$6)/dashboard!$C53),1),1-dashboard!$E53),1)</f>
        <v>1</v>
      </c>
      <c r="P84" s="310">
        <f>IF(dashboard!$F53="o.k.",IF(P$6&lt;=dashboard!$D53,MIN(1-dashboard!$E53*(1-(dashboard!$D53-P$6)/dashboard!$C53),1),1-dashboard!$E53),1)</f>
        <v>1</v>
      </c>
      <c r="Q84" s="310">
        <f>IF(dashboard!$F53="o.k.",IF(Q$6&lt;=dashboard!$D53,MIN(1-dashboard!$E53*(1-(dashboard!$D53-Q$6)/dashboard!$C53),1),1-dashboard!$E53),1)</f>
        <v>1</v>
      </c>
      <c r="R84" s="310">
        <f>IF(dashboard!$F53="o.k.",IF(R$6&lt;=dashboard!$D53,MIN(1-dashboard!$E53*(1-(dashboard!$D53-R$6)/dashboard!$C53),1),1-dashboard!$E53),1)</f>
        <v>1</v>
      </c>
      <c r="S84" s="310">
        <f>IF(dashboard!$F53="o.k.",IF(S$6&lt;=dashboard!$D53,MIN(1-dashboard!$E53*(1-(dashboard!$D53-S$6)/dashboard!$C53),1),1-dashboard!$E53),1)</f>
        <v>1</v>
      </c>
      <c r="T84" s="310">
        <f>IF(dashboard!$F53="o.k.",IF(T$6&lt;=dashboard!$D53,MIN(1-dashboard!$E53*(1-(dashboard!$D53-T$6)/dashboard!$C53),1),1-dashboard!$E53),1)</f>
        <v>1</v>
      </c>
      <c r="U84" s="310">
        <f>IF(dashboard!$F53="o.k.",IF(U$6&lt;=dashboard!$D53,MIN(1-dashboard!$E53*(1-(dashboard!$D53-U$6)/dashboard!$C53),1),1-dashboard!$E53),1)</f>
        <v>1</v>
      </c>
      <c r="V84" s="310">
        <f>IF(dashboard!$F53="o.k.",IF(V$6&lt;=dashboard!$D53,MIN(1-dashboard!$E53*(1-(dashboard!$D53-V$6)/dashboard!$C53),1),1-dashboard!$E53),1)</f>
        <v>1</v>
      </c>
      <c r="W84" s="310">
        <f>IF(dashboard!$F53="o.k.",IF(W$6&lt;=dashboard!$D53,MIN(1-dashboard!$E53*(1-(dashboard!$D53-W$6)/dashboard!$C53),1),1-dashboard!$E53),1)</f>
        <v>1</v>
      </c>
      <c r="X84" s="310">
        <f>IF(dashboard!$F53="o.k.",IF(X$6&lt;=dashboard!$D53,MIN(1-dashboard!$E53*(1-(dashboard!$D53-X$6)/dashboard!$C53),1),1-dashboard!$E53),1)</f>
        <v>1</v>
      </c>
      <c r="Y84" s="310">
        <f>IF(dashboard!$F53="o.k.",IF(Y$6&lt;=dashboard!$D53,MIN(1-dashboard!$E53*(1-(dashboard!$D53-Y$6)/dashboard!$C53),1),1-dashboard!$E53),1)</f>
        <v>1</v>
      </c>
      <c r="Z84" s="310">
        <f>IF(dashboard!$F53="o.k.",IF(Z$6&lt;=dashboard!$D53,MIN(1-dashboard!$E53*(1-(dashboard!$D53-Z$6)/dashboard!$C53),1),1-dashboard!$E53),1)</f>
        <v>1</v>
      </c>
      <c r="AA84" s="310">
        <f>IF(dashboard!$F53="o.k.",IF(AA$6&lt;=dashboard!$D53,MIN(1-dashboard!$E53*(1-(dashboard!$D53-AA$6)/dashboard!$C53),1),1-dashboard!$E53),1)</f>
        <v>1</v>
      </c>
      <c r="AB84" s="310">
        <f>IF(dashboard!$F53="o.k.",IF(AB$6&lt;=dashboard!$D53,MIN(1-dashboard!$E53*(1-(dashboard!$D53-AB$6)/dashboard!$C53),1),1-dashboard!$E53),1)</f>
        <v>1</v>
      </c>
      <c r="AC84" s="310">
        <f>IF(dashboard!$F53="o.k.",IF(AC$6&lt;=dashboard!$D53,MIN(1-dashboard!$E53*(1-(dashboard!$D53-AC$6)/dashboard!$C53),1),1-dashboard!$E53),1)</f>
        <v>1</v>
      </c>
      <c r="AD84" s="310">
        <f>IF(dashboard!$F53="o.k.",IF(AD$6&lt;=dashboard!$D53,MIN(1-dashboard!$E53*(1-(dashboard!$D53-AD$6)/dashboard!$C53),1),1-dashboard!$E53),1)</f>
        <v>1</v>
      </c>
      <c r="AE84" s="310">
        <f>IF(dashboard!$F53="o.k.",IF(AE$6&lt;=dashboard!$D53,MIN(1-dashboard!$E53*(1-(dashboard!$D53-AE$6)/dashboard!$C53),1),1-dashboard!$E53),1)</f>
        <v>1</v>
      </c>
      <c r="AF84" s="310">
        <f>IF(dashboard!$F53="o.k.",IF(AF$6&lt;=dashboard!$D53,MIN(1-dashboard!$E53*(1-(dashboard!$D53-AF$6)/dashboard!$C53),1),1-dashboard!$E53),1)</f>
        <v>1</v>
      </c>
      <c r="AG84" s="310">
        <f>IF(dashboard!$F53="o.k.",IF(AG$6&lt;=dashboard!$D53,MIN(1-dashboard!$E53*(1-(dashboard!$D53-AG$6)/dashboard!$C53),1),1-dashboard!$E53),1)</f>
        <v>1</v>
      </c>
    </row>
    <row r="85" spans="1:33" ht="12.9" customHeight="1">
      <c r="A85" s="57" t="s">
        <v>457</v>
      </c>
      <c r="B85" s="38" t="s">
        <v>464</v>
      </c>
      <c r="C85" s="310">
        <f>IF(dashboard!$F54="o.k.",IF(C$6&lt;=dashboard!$D54,MIN(1-dashboard!$E54*(1-(dashboard!$D54-C$6)/dashboard!$C54),1),1-dashboard!$E54),1)</f>
        <v>1</v>
      </c>
      <c r="D85" s="310">
        <f>IF(dashboard!$F54="o.k.",IF(D$6&lt;=dashboard!$D54,MIN(1-dashboard!$E54*(1-(dashboard!$D54-D$6)/dashboard!$C54),1),1-dashboard!$E54),1)</f>
        <v>1</v>
      </c>
      <c r="E85" s="310">
        <f>IF(dashboard!$F54="o.k.",IF(E$6&lt;=dashboard!$D54,MIN(1-dashboard!$E54*(1-(dashboard!$D54-E$6)/dashboard!$C54),1),1-dashboard!$E54),1)</f>
        <v>1</v>
      </c>
      <c r="F85" s="310">
        <f>IF(dashboard!$F54="o.k.",IF(F$6&lt;=dashboard!$D54,MIN(1-dashboard!$E54*(1-(dashboard!$D54-F$6)/dashboard!$C54),1),1-dashboard!$E54),1)</f>
        <v>1</v>
      </c>
      <c r="G85" s="310">
        <f>IF(dashboard!$F54="o.k.",IF(G$6&lt;=dashboard!$D54,MIN(1-dashboard!$E54*(1-(dashboard!$D54-G$6)/dashboard!$C54),1),1-dashboard!$E54),1)</f>
        <v>1</v>
      </c>
      <c r="H85" s="310">
        <f>IF(dashboard!$F54="o.k.",IF(H$6&lt;=dashboard!$D54,MIN(1-dashboard!$E54*(1-(dashboard!$D54-H$6)/dashboard!$C54),1),1-dashboard!$E54),1)</f>
        <v>1</v>
      </c>
      <c r="I85" s="310">
        <f>IF(dashboard!$F54="o.k.",IF(I$6&lt;=dashboard!$D54,MIN(1-dashboard!$E54*(1-(dashboard!$D54-I$6)/dashboard!$C54),1),1-dashboard!$E54),1)</f>
        <v>1</v>
      </c>
      <c r="J85" s="310">
        <f>IF(dashboard!$F54="o.k.",IF(J$6&lt;=dashboard!$D54,MIN(1-dashboard!$E54*(1-(dashboard!$D54-J$6)/dashboard!$C54),1),1-dashboard!$E54),1)</f>
        <v>1</v>
      </c>
      <c r="K85" s="310">
        <f>IF(dashboard!$F54="o.k.",IF(K$6&lt;=dashboard!$D54,MIN(1-dashboard!$E54*(1-(dashboard!$D54-K$6)/dashboard!$C54),1),1-dashboard!$E54),1)</f>
        <v>1</v>
      </c>
      <c r="L85" s="310">
        <f>IF(dashboard!$F54="o.k.",IF(L$6&lt;=dashboard!$D54,MIN(1-dashboard!$E54*(1-(dashboard!$D54-L$6)/dashboard!$C54),1),1-dashboard!$E54),1)</f>
        <v>1</v>
      </c>
      <c r="M85" s="310">
        <f>IF(dashboard!$F54="o.k.",IF(M$6&lt;=dashboard!$D54,MIN(1-dashboard!$E54*(1-(dashboard!$D54-M$6)/dashboard!$C54),1),1-dashboard!$E54),1)</f>
        <v>1</v>
      </c>
      <c r="N85" s="310">
        <f>IF(dashboard!$F54="o.k.",IF(N$6&lt;=dashboard!$D54,MIN(1-dashboard!$E54*(1-(dashboard!$D54-N$6)/dashboard!$C54),1),1-dashboard!$E54),1)</f>
        <v>1</v>
      </c>
      <c r="O85" s="310">
        <f>IF(dashboard!$F54="o.k.",IF(O$6&lt;=dashboard!$D54,MIN(1-dashboard!$E54*(1-(dashboard!$D54-O$6)/dashboard!$C54),1),1-dashboard!$E54),1)</f>
        <v>1</v>
      </c>
      <c r="P85" s="310">
        <f>IF(dashboard!$F54="o.k.",IF(P$6&lt;=dashboard!$D54,MIN(1-dashboard!$E54*(1-(dashboard!$D54-P$6)/dashboard!$C54),1),1-dashboard!$E54),1)</f>
        <v>1</v>
      </c>
      <c r="Q85" s="310">
        <f>IF(dashboard!$F54="o.k.",IF(Q$6&lt;=dashboard!$D54,MIN(1-dashboard!$E54*(1-(dashboard!$D54-Q$6)/dashboard!$C54),1),1-dashboard!$E54),1)</f>
        <v>1</v>
      </c>
      <c r="R85" s="310">
        <f>IF(dashboard!$F54="o.k.",IF(R$6&lt;=dashboard!$D54,MIN(1-dashboard!$E54*(1-(dashboard!$D54-R$6)/dashboard!$C54),1),1-dashboard!$E54),1)</f>
        <v>1</v>
      </c>
      <c r="S85" s="310">
        <f>IF(dashboard!$F54="o.k.",IF(S$6&lt;=dashboard!$D54,MIN(1-dashboard!$E54*(1-(dashboard!$D54-S$6)/dashboard!$C54),1),1-dashboard!$E54),1)</f>
        <v>1</v>
      </c>
      <c r="T85" s="310">
        <f>IF(dashboard!$F54="o.k.",IF(T$6&lt;=dashboard!$D54,MIN(1-dashboard!$E54*(1-(dashboard!$D54-T$6)/dashboard!$C54),1),1-dashboard!$E54),1)</f>
        <v>1</v>
      </c>
      <c r="U85" s="310">
        <f>IF(dashboard!$F54="o.k.",IF(U$6&lt;=dashboard!$D54,MIN(1-dashboard!$E54*(1-(dashboard!$D54-U$6)/dashboard!$C54),1),1-dashboard!$E54),1)</f>
        <v>1</v>
      </c>
      <c r="V85" s="310">
        <f>IF(dashboard!$F54="o.k.",IF(V$6&lt;=dashboard!$D54,MIN(1-dashboard!$E54*(1-(dashboard!$D54-V$6)/dashboard!$C54),1),1-dashboard!$E54),1)</f>
        <v>1</v>
      </c>
      <c r="W85" s="310">
        <f>IF(dashboard!$F54="o.k.",IF(W$6&lt;=dashboard!$D54,MIN(1-dashboard!$E54*(1-(dashboard!$D54-W$6)/dashboard!$C54),1),1-dashboard!$E54),1)</f>
        <v>1</v>
      </c>
      <c r="X85" s="310">
        <f>IF(dashboard!$F54="o.k.",IF(X$6&lt;=dashboard!$D54,MIN(1-dashboard!$E54*(1-(dashboard!$D54-X$6)/dashboard!$C54),1),1-dashboard!$E54),1)</f>
        <v>1</v>
      </c>
      <c r="Y85" s="310">
        <f>IF(dashboard!$F54="o.k.",IF(Y$6&lt;=dashboard!$D54,MIN(1-dashboard!$E54*(1-(dashboard!$D54-Y$6)/dashboard!$C54),1),1-dashboard!$E54),1)</f>
        <v>1</v>
      </c>
      <c r="Z85" s="310">
        <f>IF(dashboard!$F54="o.k.",IF(Z$6&lt;=dashboard!$D54,MIN(1-dashboard!$E54*(1-(dashboard!$D54-Z$6)/dashboard!$C54),1),1-dashboard!$E54),1)</f>
        <v>1</v>
      </c>
      <c r="AA85" s="310">
        <f>IF(dashboard!$F54="o.k.",IF(AA$6&lt;=dashboard!$D54,MIN(1-dashboard!$E54*(1-(dashboard!$D54-AA$6)/dashboard!$C54),1),1-dashboard!$E54),1)</f>
        <v>1</v>
      </c>
      <c r="AB85" s="310">
        <f>IF(dashboard!$F54="o.k.",IF(AB$6&lt;=dashboard!$D54,MIN(1-dashboard!$E54*(1-(dashboard!$D54-AB$6)/dashboard!$C54),1),1-dashboard!$E54),1)</f>
        <v>1</v>
      </c>
      <c r="AC85" s="310">
        <f>IF(dashboard!$F54="o.k.",IF(AC$6&lt;=dashboard!$D54,MIN(1-dashboard!$E54*(1-(dashboard!$D54-AC$6)/dashboard!$C54),1),1-dashboard!$E54),1)</f>
        <v>1</v>
      </c>
      <c r="AD85" s="310">
        <f>IF(dashboard!$F54="o.k.",IF(AD$6&lt;=dashboard!$D54,MIN(1-dashboard!$E54*(1-(dashboard!$D54-AD$6)/dashboard!$C54),1),1-dashboard!$E54),1)</f>
        <v>1</v>
      </c>
      <c r="AE85" s="310">
        <f>IF(dashboard!$F54="o.k.",IF(AE$6&lt;=dashboard!$D54,MIN(1-dashboard!$E54*(1-(dashboard!$D54-AE$6)/dashboard!$C54),1),1-dashboard!$E54),1)</f>
        <v>1</v>
      </c>
      <c r="AF85" s="310">
        <f>IF(dashboard!$F54="o.k.",IF(AF$6&lt;=dashboard!$D54,MIN(1-dashboard!$E54*(1-(dashboard!$D54-AF$6)/dashboard!$C54),1),1-dashboard!$E54),1)</f>
        <v>1</v>
      </c>
      <c r="AG85" s="310">
        <f>IF(dashboard!$F54="o.k.",IF(AG$6&lt;=dashboard!$D54,MIN(1-dashboard!$E54*(1-(dashboard!$D54-AG$6)/dashboard!$C54),1),1-dashboard!$E54),1)</f>
        <v>1</v>
      </c>
    </row>
    <row r="86" spans="1:33" ht="12.9" customHeight="1">
      <c r="A86" s="38"/>
      <c r="B86" s="38"/>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row>
    <row r="87" spans="1:33" s="291" customFormat="1" ht="12.9" customHeight="1">
      <c r="A87" s="347" t="s">
        <v>1055</v>
      </c>
      <c r="B87" s="348"/>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9"/>
    </row>
    <row r="88" spans="1:33" s="377" customFormat="1" ht="12.9" customHeight="1">
      <c r="A88" s="379" t="s">
        <v>432</v>
      </c>
      <c r="B88" s="379" t="s">
        <v>429</v>
      </c>
      <c r="C88" s="379">
        <v>2020</v>
      </c>
      <c r="D88" s="379">
        <v>2021</v>
      </c>
      <c r="E88" s="379">
        <v>2022</v>
      </c>
      <c r="F88" s="379">
        <v>2023</v>
      </c>
      <c r="G88" s="379">
        <v>2024</v>
      </c>
      <c r="H88" s="379">
        <v>2025</v>
      </c>
      <c r="I88" s="379">
        <v>2026</v>
      </c>
      <c r="J88" s="379">
        <v>2027</v>
      </c>
      <c r="K88" s="379">
        <v>2028</v>
      </c>
      <c r="L88" s="379">
        <v>2029</v>
      </c>
      <c r="M88" s="379">
        <v>2030</v>
      </c>
      <c r="N88" s="379">
        <v>2031</v>
      </c>
      <c r="O88" s="379">
        <v>2032</v>
      </c>
      <c r="P88" s="379">
        <v>2033</v>
      </c>
      <c r="Q88" s="379">
        <v>2034</v>
      </c>
      <c r="R88" s="379">
        <v>2035</v>
      </c>
      <c r="S88" s="379">
        <v>2036</v>
      </c>
      <c r="T88" s="379">
        <v>2037</v>
      </c>
      <c r="U88" s="379">
        <v>2038</v>
      </c>
      <c r="V88" s="379">
        <v>2039</v>
      </c>
      <c r="W88" s="379">
        <v>2040</v>
      </c>
      <c r="X88" s="379">
        <v>2041</v>
      </c>
      <c r="Y88" s="379">
        <v>2042</v>
      </c>
      <c r="Z88" s="379">
        <v>2043</v>
      </c>
      <c r="AA88" s="379">
        <v>2044</v>
      </c>
      <c r="AB88" s="379">
        <v>2045</v>
      </c>
      <c r="AC88" s="379">
        <v>2046</v>
      </c>
      <c r="AD88" s="379">
        <v>2047</v>
      </c>
      <c r="AE88" s="379">
        <v>2048</v>
      </c>
      <c r="AF88" s="379">
        <v>2049</v>
      </c>
      <c r="AG88" s="379">
        <v>2050</v>
      </c>
    </row>
    <row r="89" spans="1:33" ht="12.9" customHeight="1">
      <c r="A89" s="65" t="s">
        <v>449</v>
      </c>
      <c r="B89" s="38" t="s">
        <v>464</v>
      </c>
      <c r="C89" s="310">
        <f>IF(dashboard!$F59="o.k.",IF(C$6&lt;=dashboard!$D59,MIN(1-dashboard!$E59*(1-(dashboard!$D59-C$6)/dashboard!$C59),1),1-dashboard!$E59),1)</f>
        <v>1</v>
      </c>
      <c r="D89" s="310">
        <f>IF(dashboard!$F59="o.k.",IF(D$6&lt;=dashboard!$D59,MIN(1-dashboard!$E59*(1-(dashboard!$D59-D$6)/dashboard!$C59),1),1-dashboard!$E59),1)</f>
        <v>1</v>
      </c>
      <c r="E89" s="310">
        <f>IF(dashboard!$F59="o.k.",IF(E$6&lt;=dashboard!$D59,MIN(1-dashboard!$E59*(1-(dashboard!$D59-E$6)/dashboard!$C59),1),1-dashboard!$E59),1)</f>
        <v>1</v>
      </c>
      <c r="F89" s="310">
        <f>IF(dashboard!$F59="o.k.",IF(F$6&lt;=dashboard!$D59,MIN(1-dashboard!$E59*(1-(dashboard!$D59-F$6)/dashboard!$C59),1),1-dashboard!$E59),1)</f>
        <v>1</v>
      </c>
      <c r="G89" s="310">
        <f>IF(dashboard!$F59="o.k.",IF(G$6&lt;=dashboard!$D59,MIN(1-dashboard!$E59*(1-(dashboard!$D59-G$6)/dashboard!$C59),1),1-dashboard!$E59),1)</f>
        <v>1</v>
      </c>
      <c r="H89" s="310">
        <f>IF(dashboard!$F59="o.k.",IF(H$6&lt;=dashboard!$D59,MIN(1-dashboard!$E59*(1-(dashboard!$D59-H$6)/dashboard!$C59),1),1-dashboard!$E59),1)</f>
        <v>1</v>
      </c>
      <c r="I89" s="310">
        <f>IF(dashboard!$F59="o.k.",IF(I$6&lt;=dashboard!$D59,MIN(1-dashboard!$E59*(1-(dashboard!$D59-I$6)/dashboard!$C59),1),1-dashboard!$E59),1)</f>
        <v>1</v>
      </c>
      <c r="J89" s="310">
        <f>IF(dashboard!$F59="o.k.",IF(J$6&lt;=dashboard!$D59,MIN(1-dashboard!$E59*(1-(dashboard!$D59-J$6)/dashboard!$C59),1),1-dashboard!$E59),1)</f>
        <v>1</v>
      </c>
      <c r="K89" s="310">
        <f>IF(dashboard!$F59="o.k.",IF(K$6&lt;=dashboard!$D59,MIN(1-dashboard!$E59*(1-(dashboard!$D59-K$6)/dashboard!$C59),1),1-dashboard!$E59),1)</f>
        <v>1</v>
      </c>
      <c r="L89" s="310">
        <f>IF(dashboard!$F59="o.k.",IF(L$6&lt;=dashboard!$D59,MIN(1-dashboard!$E59*(1-(dashboard!$D59-L$6)/dashboard!$C59),1),1-dashboard!$E59),1)</f>
        <v>1</v>
      </c>
      <c r="M89" s="310">
        <f>IF(dashboard!$F59="o.k.",IF(M$6&lt;=dashboard!$D59,MIN(1-dashboard!$E59*(1-(dashboard!$D59-M$6)/dashboard!$C59),1),1-dashboard!$E59),1)</f>
        <v>1</v>
      </c>
      <c r="N89" s="310">
        <f>IF(dashboard!$F59="o.k.",IF(N$6&lt;=dashboard!$D59,MIN(1-dashboard!$E59*(1-(dashboard!$D59-N$6)/dashboard!$C59),1),1-dashboard!$E59),1)</f>
        <v>1</v>
      </c>
      <c r="O89" s="310">
        <f>IF(dashboard!$F59="o.k.",IF(O$6&lt;=dashboard!$D59,MIN(1-dashboard!$E59*(1-(dashboard!$D59-O$6)/dashboard!$C59),1),1-dashboard!$E59),1)</f>
        <v>1</v>
      </c>
      <c r="P89" s="310">
        <f>IF(dashboard!$F59="o.k.",IF(P$6&lt;=dashboard!$D59,MIN(1-dashboard!$E59*(1-(dashboard!$D59-P$6)/dashboard!$C59),1),1-dashboard!$E59),1)</f>
        <v>1</v>
      </c>
      <c r="Q89" s="310">
        <f>IF(dashboard!$F59="o.k.",IF(Q$6&lt;=dashboard!$D59,MIN(1-dashboard!$E59*(1-(dashboard!$D59-Q$6)/dashboard!$C59),1),1-dashboard!$E59),1)</f>
        <v>1</v>
      </c>
      <c r="R89" s="310">
        <f>IF(dashboard!$F59="o.k.",IF(R$6&lt;=dashboard!$D59,MIN(1-dashboard!$E59*(1-(dashboard!$D59-R$6)/dashboard!$C59),1),1-dashboard!$E59),1)</f>
        <v>1</v>
      </c>
      <c r="S89" s="310">
        <f>IF(dashboard!$F59="o.k.",IF(S$6&lt;=dashboard!$D59,MIN(1-dashboard!$E59*(1-(dashboard!$D59-S$6)/dashboard!$C59),1),1-dashboard!$E59),1)</f>
        <v>1</v>
      </c>
      <c r="T89" s="310">
        <f>IF(dashboard!$F59="o.k.",IF(T$6&lt;=dashboard!$D59,MIN(1-dashboard!$E59*(1-(dashboard!$D59-T$6)/dashboard!$C59),1),1-dashboard!$E59),1)</f>
        <v>1</v>
      </c>
      <c r="U89" s="310">
        <f>IF(dashboard!$F59="o.k.",IF(U$6&lt;=dashboard!$D59,MIN(1-dashboard!$E59*(1-(dashboard!$D59-U$6)/dashboard!$C59),1),1-dashboard!$E59),1)</f>
        <v>1</v>
      </c>
      <c r="V89" s="310">
        <f>IF(dashboard!$F59="o.k.",IF(V$6&lt;=dashboard!$D59,MIN(1-dashboard!$E59*(1-(dashboard!$D59-V$6)/dashboard!$C59),1),1-dashboard!$E59),1)</f>
        <v>1</v>
      </c>
      <c r="W89" s="310">
        <f>IF(dashboard!$F59="o.k.",IF(W$6&lt;=dashboard!$D59,MIN(1-dashboard!$E59*(1-(dashboard!$D59-W$6)/dashboard!$C59),1),1-dashboard!$E59),1)</f>
        <v>1</v>
      </c>
      <c r="X89" s="310">
        <f>IF(dashboard!$F59="o.k.",IF(X$6&lt;=dashboard!$D59,MIN(1-dashboard!$E59*(1-(dashboard!$D59-X$6)/dashboard!$C59),1),1-dashboard!$E59),1)</f>
        <v>1</v>
      </c>
      <c r="Y89" s="310">
        <f>IF(dashboard!$F59="o.k.",IF(Y$6&lt;=dashboard!$D59,MIN(1-dashboard!$E59*(1-(dashboard!$D59-Y$6)/dashboard!$C59),1),1-dashboard!$E59),1)</f>
        <v>1</v>
      </c>
      <c r="Z89" s="310">
        <f>IF(dashboard!$F59="o.k.",IF(Z$6&lt;=dashboard!$D59,MIN(1-dashboard!$E59*(1-(dashboard!$D59-Z$6)/dashboard!$C59),1),1-dashboard!$E59),1)</f>
        <v>1</v>
      </c>
      <c r="AA89" s="310">
        <f>IF(dashboard!$F59="o.k.",IF(AA$6&lt;=dashboard!$D59,MIN(1-dashboard!$E59*(1-(dashboard!$D59-AA$6)/dashboard!$C59),1),1-dashboard!$E59),1)</f>
        <v>1</v>
      </c>
      <c r="AB89" s="310">
        <f>IF(dashboard!$F59="o.k.",IF(AB$6&lt;=dashboard!$D59,MIN(1-dashboard!$E59*(1-(dashboard!$D59-AB$6)/dashboard!$C59),1),1-dashboard!$E59),1)</f>
        <v>1</v>
      </c>
      <c r="AC89" s="310">
        <f>IF(dashboard!$F59="o.k.",IF(AC$6&lt;=dashboard!$D59,MIN(1-dashboard!$E59*(1-(dashboard!$D59-AC$6)/dashboard!$C59),1),1-dashboard!$E59),1)</f>
        <v>1</v>
      </c>
      <c r="AD89" s="310">
        <f>IF(dashboard!$F59="o.k.",IF(AD$6&lt;=dashboard!$D59,MIN(1-dashboard!$E59*(1-(dashboard!$D59-AD$6)/dashboard!$C59),1),1-dashboard!$E59),1)</f>
        <v>1</v>
      </c>
      <c r="AE89" s="310">
        <f>IF(dashboard!$F59="o.k.",IF(AE$6&lt;=dashboard!$D59,MIN(1-dashboard!$E59*(1-(dashboard!$D59-AE$6)/dashboard!$C59),1),1-dashboard!$E59),1)</f>
        <v>1</v>
      </c>
      <c r="AF89" s="310">
        <f>IF(dashboard!$F59="o.k.",IF(AF$6&lt;=dashboard!$D59,MIN(1-dashboard!$E59*(1-(dashboard!$D59-AF$6)/dashboard!$C59),1),1-dashboard!$E59),1)</f>
        <v>1</v>
      </c>
      <c r="AG89" s="310">
        <f>IF(dashboard!$F59="o.k.",IF(AG$6&lt;=dashboard!$D59,MIN(1-dashboard!$E59*(1-(dashboard!$D59-AG$6)/dashboard!$C59),1),1-dashboard!$E59),1)</f>
        <v>1</v>
      </c>
    </row>
    <row r="90" spans="1:33" ht="12.9" customHeight="1">
      <c r="A90" s="38" t="s">
        <v>450</v>
      </c>
      <c r="B90" s="38" t="s">
        <v>464</v>
      </c>
      <c r="C90" s="310">
        <f>IF(dashboard!$F60="o.k.",IF(C$6&lt;=dashboard!$D60,MIN(1-dashboard!$E60*(1-(dashboard!$D60-C$6)/dashboard!$C60),1),1-dashboard!$E60),1)</f>
        <v>1</v>
      </c>
      <c r="D90" s="310">
        <f>IF(dashboard!$F60="o.k.",IF(D$6&lt;=dashboard!$D60,MIN(1-dashboard!$E60*(1-(dashboard!$D60-D$6)/dashboard!$C60),1),1-dashboard!$E60),1)</f>
        <v>0.96</v>
      </c>
      <c r="E90" s="310">
        <f>IF(dashboard!$F60="o.k.",IF(E$6&lt;=dashboard!$D60,MIN(1-dashboard!$E60*(1-(dashboard!$D60-E$6)/dashboard!$C60),1),1-dashboard!$E60),1)</f>
        <v>0.91999999999999993</v>
      </c>
      <c r="F90" s="310">
        <f>IF(dashboard!$F60="o.k.",IF(F$6&lt;=dashboard!$D60,MIN(1-dashboard!$E60*(1-(dashboard!$D60-F$6)/dashboard!$C60),1),1-dashboard!$E60),1)</f>
        <v>0.88</v>
      </c>
      <c r="G90" s="310">
        <f>IF(dashboard!$F60="o.k.",IF(G$6&lt;=dashboard!$D60,MIN(1-dashboard!$E60*(1-(dashboard!$D60-G$6)/dashboard!$C60),1),1-dashboard!$E60),1)</f>
        <v>0.84</v>
      </c>
      <c r="H90" s="310">
        <f>IF(dashboard!$F60="o.k.",IF(H$6&lt;=dashboard!$D60,MIN(1-dashboard!$E60*(1-(dashboard!$D60-H$6)/dashboard!$C60),1),1-dashboard!$E60),1)</f>
        <v>0.8</v>
      </c>
      <c r="I90" s="310">
        <f>IF(dashboard!$F60="o.k.",IF(I$6&lt;=dashboard!$D60,MIN(1-dashboard!$E60*(1-(dashboard!$D60-I$6)/dashboard!$C60),1),1-dashboard!$E60),1)</f>
        <v>0.8</v>
      </c>
      <c r="J90" s="310">
        <f>IF(dashboard!$F60="o.k.",IF(J$6&lt;=dashboard!$D60,MIN(1-dashboard!$E60*(1-(dashboard!$D60-J$6)/dashboard!$C60),1),1-dashboard!$E60),1)</f>
        <v>0.8</v>
      </c>
      <c r="K90" s="310">
        <f>IF(dashboard!$F60="o.k.",IF(K$6&lt;=dashboard!$D60,MIN(1-dashboard!$E60*(1-(dashboard!$D60-K$6)/dashboard!$C60),1),1-dashboard!$E60),1)</f>
        <v>0.8</v>
      </c>
      <c r="L90" s="310">
        <f>IF(dashboard!$F60="o.k.",IF(L$6&lt;=dashboard!$D60,MIN(1-dashboard!$E60*(1-(dashboard!$D60-L$6)/dashboard!$C60),1),1-dashboard!$E60),1)</f>
        <v>0.8</v>
      </c>
      <c r="M90" s="310">
        <f>IF(dashboard!$F60="o.k.",IF(M$6&lt;=dashboard!$D60,MIN(1-dashboard!$E60*(1-(dashboard!$D60-M$6)/dashboard!$C60),1),1-dashboard!$E60),1)</f>
        <v>0.8</v>
      </c>
      <c r="N90" s="310">
        <f>IF(dashboard!$F60="o.k.",IF(N$6&lt;=dashboard!$D60,MIN(1-dashboard!$E60*(1-(dashboard!$D60-N$6)/dashboard!$C60),1),1-dashboard!$E60),1)</f>
        <v>0.8</v>
      </c>
      <c r="O90" s="310">
        <f>IF(dashboard!$F60="o.k.",IF(O$6&lt;=dashboard!$D60,MIN(1-dashboard!$E60*(1-(dashboard!$D60-O$6)/dashboard!$C60),1),1-dashboard!$E60),1)</f>
        <v>0.8</v>
      </c>
      <c r="P90" s="310">
        <f>IF(dashboard!$F60="o.k.",IF(P$6&lt;=dashboard!$D60,MIN(1-dashboard!$E60*(1-(dashboard!$D60-P$6)/dashboard!$C60),1),1-dashboard!$E60),1)</f>
        <v>0.8</v>
      </c>
      <c r="Q90" s="310">
        <f>IF(dashboard!$F60="o.k.",IF(Q$6&lt;=dashboard!$D60,MIN(1-dashboard!$E60*(1-(dashboard!$D60-Q$6)/dashboard!$C60),1),1-dashboard!$E60),1)</f>
        <v>0.8</v>
      </c>
      <c r="R90" s="310">
        <f>IF(dashboard!$F60="o.k.",IF(R$6&lt;=dashboard!$D60,MIN(1-dashboard!$E60*(1-(dashboard!$D60-R$6)/dashboard!$C60),1),1-dashboard!$E60),1)</f>
        <v>0.8</v>
      </c>
      <c r="S90" s="310">
        <f>IF(dashboard!$F60="o.k.",IF(S$6&lt;=dashboard!$D60,MIN(1-dashboard!$E60*(1-(dashboard!$D60-S$6)/dashboard!$C60),1),1-dashboard!$E60),1)</f>
        <v>0.8</v>
      </c>
      <c r="T90" s="310">
        <f>IF(dashboard!$F60="o.k.",IF(T$6&lt;=dashboard!$D60,MIN(1-dashboard!$E60*(1-(dashboard!$D60-T$6)/dashboard!$C60),1),1-dashboard!$E60),1)</f>
        <v>0.8</v>
      </c>
      <c r="U90" s="310">
        <f>IF(dashboard!$F60="o.k.",IF(U$6&lt;=dashboard!$D60,MIN(1-dashboard!$E60*(1-(dashboard!$D60-U$6)/dashboard!$C60),1),1-dashboard!$E60),1)</f>
        <v>0.8</v>
      </c>
      <c r="V90" s="310">
        <f>IF(dashboard!$F60="o.k.",IF(V$6&lt;=dashboard!$D60,MIN(1-dashboard!$E60*(1-(dashboard!$D60-V$6)/dashboard!$C60),1),1-dashboard!$E60),1)</f>
        <v>0.8</v>
      </c>
      <c r="W90" s="310">
        <f>IF(dashboard!$F60="o.k.",IF(W$6&lt;=dashboard!$D60,MIN(1-dashboard!$E60*(1-(dashboard!$D60-W$6)/dashboard!$C60),1),1-dashboard!$E60),1)</f>
        <v>0.8</v>
      </c>
      <c r="X90" s="310">
        <f>IF(dashboard!$F60="o.k.",IF(X$6&lt;=dashboard!$D60,MIN(1-dashboard!$E60*(1-(dashboard!$D60-X$6)/dashboard!$C60),1),1-dashboard!$E60),1)</f>
        <v>0.8</v>
      </c>
      <c r="Y90" s="310">
        <f>IF(dashboard!$F60="o.k.",IF(Y$6&lt;=dashboard!$D60,MIN(1-dashboard!$E60*(1-(dashboard!$D60-Y$6)/dashboard!$C60),1),1-dashboard!$E60),1)</f>
        <v>0.8</v>
      </c>
      <c r="Z90" s="310">
        <f>IF(dashboard!$F60="o.k.",IF(Z$6&lt;=dashboard!$D60,MIN(1-dashboard!$E60*(1-(dashboard!$D60-Z$6)/dashboard!$C60),1),1-dashboard!$E60),1)</f>
        <v>0.8</v>
      </c>
      <c r="AA90" s="310">
        <f>IF(dashboard!$F60="o.k.",IF(AA$6&lt;=dashboard!$D60,MIN(1-dashboard!$E60*(1-(dashboard!$D60-AA$6)/dashboard!$C60),1),1-dashboard!$E60),1)</f>
        <v>0.8</v>
      </c>
      <c r="AB90" s="310">
        <f>IF(dashboard!$F60="o.k.",IF(AB$6&lt;=dashboard!$D60,MIN(1-dashboard!$E60*(1-(dashboard!$D60-AB$6)/dashboard!$C60),1),1-dashboard!$E60),1)</f>
        <v>0.8</v>
      </c>
      <c r="AC90" s="310">
        <f>IF(dashboard!$F60="o.k.",IF(AC$6&lt;=dashboard!$D60,MIN(1-dashboard!$E60*(1-(dashboard!$D60-AC$6)/dashboard!$C60),1),1-dashboard!$E60),1)</f>
        <v>0.8</v>
      </c>
      <c r="AD90" s="310">
        <f>IF(dashboard!$F60="o.k.",IF(AD$6&lt;=dashboard!$D60,MIN(1-dashboard!$E60*(1-(dashboard!$D60-AD$6)/dashboard!$C60),1),1-dashboard!$E60),1)</f>
        <v>0.8</v>
      </c>
      <c r="AE90" s="310">
        <f>IF(dashboard!$F60="o.k.",IF(AE$6&lt;=dashboard!$D60,MIN(1-dashboard!$E60*(1-(dashboard!$D60-AE$6)/dashboard!$C60),1),1-dashboard!$E60),1)</f>
        <v>0.8</v>
      </c>
      <c r="AF90" s="310">
        <f>IF(dashboard!$F60="o.k.",IF(AF$6&lt;=dashboard!$D60,MIN(1-dashboard!$E60*(1-(dashboard!$D60-AF$6)/dashboard!$C60),1),1-dashboard!$E60),1)</f>
        <v>0.8</v>
      </c>
      <c r="AG90" s="310">
        <f>IF(dashboard!$F60="o.k.",IF(AG$6&lt;=dashboard!$D60,MIN(1-dashboard!$E60*(1-(dashboard!$D60-AG$6)/dashboard!$C60),1),1-dashboard!$E60),1)</f>
        <v>0.8</v>
      </c>
    </row>
    <row r="91" spans="1:33" ht="12.9" customHeight="1">
      <c r="A91" s="38" t="s">
        <v>451</v>
      </c>
      <c r="B91" s="38" t="s">
        <v>464</v>
      </c>
      <c r="C91" s="310">
        <f>IF(dashboard!$F61="o.k.",IF(C$6&lt;=dashboard!$D61,MIN(1-dashboard!$E61*(1-(dashboard!$D61-C$6)/dashboard!$C61),1),1-dashboard!$E61),1)</f>
        <v>1</v>
      </c>
      <c r="D91" s="310">
        <f>IF(dashboard!$F61="o.k.",IF(D$6&lt;=dashboard!$D61,MIN(1-dashboard!$E61*(1-(dashboard!$D61-D$6)/dashboard!$C61),1),1-dashboard!$E61),1)</f>
        <v>1</v>
      </c>
      <c r="E91" s="310">
        <f>IF(dashboard!$F61="o.k.",IF(E$6&lt;=dashboard!$D61,MIN(1-dashboard!$E61*(1-(dashboard!$D61-E$6)/dashboard!$C61),1),1-dashboard!$E61),1)</f>
        <v>1</v>
      </c>
      <c r="F91" s="310">
        <f>IF(dashboard!$F61="o.k.",IF(F$6&lt;=dashboard!$D61,MIN(1-dashboard!$E61*(1-(dashboard!$D61-F$6)/dashboard!$C61),1),1-dashboard!$E61),1)</f>
        <v>1</v>
      </c>
      <c r="G91" s="310">
        <f>IF(dashboard!$F61="o.k.",IF(G$6&lt;=dashboard!$D61,MIN(1-dashboard!$E61*(1-(dashboard!$D61-G$6)/dashboard!$C61),1),1-dashboard!$E61),1)</f>
        <v>1</v>
      </c>
      <c r="H91" s="310">
        <f>IF(dashboard!$F61="o.k.",IF(H$6&lt;=dashboard!$D61,MIN(1-dashboard!$E61*(1-(dashboard!$D61-H$6)/dashboard!$C61),1),1-dashboard!$E61),1)</f>
        <v>1</v>
      </c>
      <c r="I91" s="310">
        <f>IF(dashboard!$F61="o.k.",IF(I$6&lt;=dashboard!$D61,MIN(1-dashboard!$E61*(1-(dashboard!$D61-I$6)/dashboard!$C61),1),1-dashboard!$E61),1)</f>
        <v>1</v>
      </c>
      <c r="J91" s="310">
        <f>IF(dashboard!$F61="o.k.",IF(J$6&lt;=dashboard!$D61,MIN(1-dashboard!$E61*(1-(dashboard!$D61-J$6)/dashboard!$C61),1),1-dashboard!$E61),1)</f>
        <v>1</v>
      </c>
      <c r="K91" s="310">
        <f>IF(dashboard!$F61="o.k.",IF(K$6&lt;=dashboard!$D61,MIN(1-dashboard!$E61*(1-(dashboard!$D61-K$6)/dashboard!$C61),1),1-dashboard!$E61),1)</f>
        <v>1</v>
      </c>
      <c r="L91" s="310">
        <f>IF(dashboard!$F61="o.k.",IF(L$6&lt;=dashboard!$D61,MIN(1-dashboard!$E61*(1-(dashboard!$D61-L$6)/dashboard!$C61),1),1-dashboard!$E61),1)</f>
        <v>1</v>
      </c>
      <c r="M91" s="310">
        <f>IF(dashboard!$F61="o.k.",IF(M$6&lt;=dashboard!$D61,MIN(1-dashboard!$E61*(1-(dashboard!$D61-M$6)/dashboard!$C61),1),1-dashboard!$E61),1)</f>
        <v>1</v>
      </c>
      <c r="N91" s="310">
        <f>IF(dashboard!$F61="o.k.",IF(N$6&lt;=dashboard!$D61,MIN(1-dashboard!$E61*(1-(dashboard!$D61-N$6)/dashboard!$C61),1),1-dashboard!$E61),1)</f>
        <v>1</v>
      </c>
      <c r="O91" s="310">
        <f>IF(dashboard!$F61="o.k.",IF(O$6&lt;=dashboard!$D61,MIN(1-dashboard!$E61*(1-(dashboard!$D61-O$6)/dashboard!$C61),1),1-dashboard!$E61),1)</f>
        <v>1</v>
      </c>
      <c r="P91" s="310">
        <f>IF(dashboard!$F61="o.k.",IF(P$6&lt;=dashboard!$D61,MIN(1-dashboard!$E61*(1-(dashboard!$D61-P$6)/dashboard!$C61),1),1-dashboard!$E61),1)</f>
        <v>1</v>
      </c>
      <c r="Q91" s="310">
        <f>IF(dashboard!$F61="o.k.",IF(Q$6&lt;=dashboard!$D61,MIN(1-dashboard!$E61*(1-(dashboard!$D61-Q$6)/dashboard!$C61),1),1-dashboard!$E61),1)</f>
        <v>1</v>
      </c>
      <c r="R91" s="310">
        <f>IF(dashboard!$F61="o.k.",IF(R$6&lt;=dashboard!$D61,MIN(1-dashboard!$E61*(1-(dashboard!$D61-R$6)/dashboard!$C61),1),1-dashboard!$E61),1)</f>
        <v>1</v>
      </c>
      <c r="S91" s="310">
        <f>IF(dashboard!$F61="o.k.",IF(S$6&lt;=dashboard!$D61,MIN(1-dashboard!$E61*(1-(dashboard!$D61-S$6)/dashboard!$C61),1),1-dashboard!$E61),1)</f>
        <v>1</v>
      </c>
      <c r="T91" s="310">
        <f>IF(dashboard!$F61="o.k.",IF(T$6&lt;=dashboard!$D61,MIN(1-dashboard!$E61*(1-(dashboard!$D61-T$6)/dashboard!$C61),1),1-dashboard!$E61),1)</f>
        <v>1</v>
      </c>
      <c r="U91" s="310">
        <f>IF(dashboard!$F61="o.k.",IF(U$6&lt;=dashboard!$D61,MIN(1-dashboard!$E61*(1-(dashboard!$D61-U$6)/dashboard!$C61),1),1-dashboard!$E61),1)</f>
        <v>1</v>
      </c>
      <c r="V91" s="310">
        <f>IF(dashboard!$F61="o.k.",IF(V$6&lt;=dashboard!$D61,MIN(1-dashboard!$E61*(1-(dashboard!$D61-V$6)/dashboard!$C61),1),1-dashboard!$E61),1)</f>
        <v>1</v>
      </c>
      <c r="W91" s="310">
        <f>IF(dashboard!$F61="o.k.",IF(W$6&lt;=dashboard!$D61,MIN(1-dashboard!$E61*(1-(dashboard!$D61-W$6)/dashboard!$C61),1),1-dashboard!$E61),1)</f>
        <v>1</v>
      </c>
      <c r="X91" s="310">
        <f>IF(dashboard!$F61="o.k.",IF(X$6&lt;=dashboard!$D61,MIN(1-dashboard!$E61*(1-(dashboard!$D61-X$6)/dashboard!$C61),1),1-dashboard!$E61),1)</f>
        <v>1</v>
      </c>
      <c r="Y91" s="310">
        <f>IF(dashboard!$F61="o.k.",IF(Y$6&lt;=dashboard!$D61,MIN(1-dashboard!$E61*(1-(dashboard!$D61-Y$6)/dashboard!$C61),1),1-dashboard!$E61),1)</f>
        <v>1</v>
      </c>
      <c r="Z91" s="310">
        <f>IF(dashboard!$F61="o.k.",IF(Z$6&lt;=dashboard!$D61,MIN(1-dashboard!$E61*(1-(dashboard!$D61-Z$6)/dashboard!$C61),1),1-dashboard!$E61),1)</f>
        <v>1</v>
      </c>
      <c r="AA91" s="310">
        <f>IF(dashboard!$F61="o.k.",IF(AA$6&lt;=dashboard!$D61,MIN(1-dashboard!$E61*(1-(dashboard!$D61-AA$6)/dashboard!$C61),1),1-dashboard!$E61),1)</f>
        <v>1</v>
      </c>
      <c r="AB91" s="310">
        <f>IF(dashboard!$F61="o.k.",IF(AB$6&lt;=dashboard!$D61,MIN(1-dashboard!$E61*(1-(dashboard!$D61-AB$6)/dashboard!$C61),1),1-dashboard!$E61),1)</f>
        <v>1</v>
      </c>
      <c r="AC91" s="310">
        <f>IF(dashboard!$F61="o.k.",IF(AC$6&lt;=dashboard!$D61,MIN(1-dashboard!$E61*(1-(dashboard!$D61-AC$6)/dashboard!$C61),1),1-dashboard!$E61),1)</f>
        <v>1</v>
      </c>
      <c r="AD91" s="310">
        <f>IF(dashboard!$F61="o.k.",IF(AD$6&lt;=dashboard!$D61,MIN(1-dashboard!$E61*(1-(dashboard!$D61-AD$6)/dashboard!$C61),1),1-dashboard!$E61),1)</f>
        <v>1</v>
      </c>
      <c r="AE91" s="310">
        <f>IF(dashboard!$F61="o.k.",IF(AE$6&lt;=dashboard!$D61,MIN(1-dashboard!$E61*(1-(dashboard!$D61-AE$6)/dashboard!$C61),1),1-dashboard!$E61),1)</f>
        <v>1</v>
      </c>
      <c r="AF91" s="310">
        <f>IF(dashboard!$F61="o.k.",IF(AF$6&lt;=dashboard!$D61,MIN(1-dashboard!$E61*(1-(dashboard!$D61-AF$6)/dashboard!$C61),1),1-dashboard!$E61),1)</f>
        <v>1</v>
      </c>
      <c r="AG91" s="310">
        <f>IF(dashboard!$F61="o.k.",IF(AG$6&lt;=dashboard!$D61,MIN(1-dashboard!$E61*(1-(dashboard!$D61-AG$6)/dashboard!$C61),1),1-dashboard!$E61),1)</f>
        <v>1</v>
      </c>
    </row>
    <row r="92" spans="1:33" ht="12.9" customHeight="1">
      <c r="A92" s="65" t="s">
        <v>452</v>
      </c>
      <c r="B92" s="38" t="s">
        <v>464</v>
      </c>
      <c r="C92" s="310">
        <f>IF(dashboard!$F62="o.k.",IF(C$6&lt;=dashboard!$D62,MIN(1-dashboard!$E62*(1-(dashboard!$D62-C$6)/dashboard!$C62),1),1-dashboard!$E62),1)</f>
        <v>1</v>
      </c>
      <c r="D92" s="310">
        <f>IF(dashboard!$F62="o.k.",IF(D$6&lt;=dashboard!$D62,MIN(1-dashboard!$E62*(1-(dashboard!$D62-D$6)/dashboard!$C62),1),1-dashboard!$E62),1)</f>
        <v>1</v>
      </c>
      <c r="E92" s="310">
        <f>IF(dashboard!$F62="o.k.",IF(E$6&lt;=dashboard!$D62,MIN(1-dashboard!$E62*(1-(dashboard!$D62-E$6)/dashboard!$C62),1),1-dashboard!$E62),1)</f>
        <v>1</v>
      </c>
      <c r="F92" s="310">
        <f>IF(dashboard!$F62="o.k.",IF(F$6&lt;=dashboard!$D62,MIN(1-dashboard!$E62*(1-(dashboard!$D62-F$6)/dashboard!$C62),1),1-dashboard!$E62),1)</f>
        <v>1</v>
      </c>
      <c r="G92" s="310">
        <f>IF(dashboard!$F62="o.k.",IF(G$6&lt;=dashboard!$D62,MIN(1-dashboard!$E62*(1-(dashboard!$D62-G$6)/dashboard!$C62),1),1-dashboard!$E62),1)</f>
        <v>1</v>
      </c>
      <c r="H92" s="310">
        <f>IF(dashboard!$F62="o.k.",IF(H$6&lt;=dashboard!$D62,MIN(1-dashboard!$E62*(1-(dashboard!$D62-H$6)/dashboard!$C62),1),1-dashboard!$E62),1)</f>
        <v>1</v>
      </c>
      <c r="I92" s="310">
        <f>IF(dashboard!$F62="o.k.",IF(I$6&lt;=dashboard!$D62,MIN(1-dashboard!$E62*(1-(dashboard!$D62-I$6)/dashboard!$C62),1),1-dashboard!$E62),1)</f>
        <v>1</v>
      </c>
      <c r="J92" s="310">
        <f>IF(dashboard!$F62="o.k.",IF(J$6&lt;=dashboard!$D62,MIN(1-dashboard!$E62*(1-(dashboard!$D62-J$6)/dashboard!$C62),1),1-dashboard!$E62),1)</f>
        <v>1</v>
      </c>
      <c r="K92" s="310">
        <f>IF(dashboard!$F62="o.k.",IF(K$6&lt;=dashboard!$D62,MIN(1-dashboard!$E62*(1-(dashboard!$D62-K$6)/dashboard!$C62),1),1-dashboard!$E62),1)</f>
        <v>1</v>
      </c>
      <c r="L92" s="310">
        <f>IF(dashboard!$F62="o.k.",IF(L$6&lt;=dashboard!$D62,MIN(1-dashboard!$E62*(1-(dashboard!$D62-L$6)/dashboard!$C62),1),1-dashboard!$E62),1)</f>
        <v>1</v>
      </c>
      <c r="M92" s="310">
        <f>IF(dashboard!$F62="o.k.",IF(M$6&lt;=dashboard!$D62,MIN(1-dashboard!$E62*(1-(dashboard!$D62-M$6)/dashboard!$C62),1),1-dashboard!$E62),1)</f>
        <v>1</v>
      </c>
      <c r="N92" s="310">
        <f>IF(dashboard!$F62="o.k.",IF(N$6&lt;=dashboard!$D62,MIN(1-dashboard!$E62*(1-(dashboard!$D62-N$6)/dashboard!$C62),1),1-dashboard!$E62),1)</f>
        <v>1</v>
      </c>
      <c r="O92" s="310">
        <f>IF(dashboard!$F62="o.k.",IF(O$6&lt;=dashboard!$D62,MIN(1-dashboard!$E62*(1-(dashboard!$D62-O$6)/dashboard!$C62),1),1-dashboard!$E62),1)</f>
        <v>1</v>
      </c>
      <c r="P92" s="310">
        <f>IF(dashboard!$F62="o.k.",IF(P$6&lt;=dashboard!$D62,MIN(1-dashboard!$E62*(1-(dashboard!$D62-P$6)/dashboard!$C62),1),1-dashboard!$E62),1)</f>
        <v>1</v>
      </c>
      <c r="Q92" s="310">
        <f>IF(dashboard!$F62="o.k.",IF(Q$6&lt;=dashboard!$D62,MIN(1-dashboard!$E62*(1-(dashboard!$D62-Q$6)/dashboard!$C62),1),1-dashboard!$E62),1)</f>
        <v>1</v>
      </c>
      <c r="R92" s="310">
        <f>IF(dashboard!$F62="o.k.",IF(R$6&lt;=dashboard!$D62,MIN(1-dashboard!$E62*(1-(dashboard!$D62-R$6)/dashboard!$C62),1),1-dashboard!$E62),1)</f>
        <v>1</v>
      </c>
      <c r="S92" s="310">
        <f>IF(dashboard!$F62="o.k.",IF(S$6&lt;=dashboard!$D62,MIN(1-dashboard!$E62*(1-(dashboard!$D62-S$6)/dashboard!$C62),1),1-dashboard!$E62),1)</f>
        <v>1</v>
      </c>
      <c r="T92" s="310">
        <f>IF(dashboard!$F62="o.k.",IF(T$6&lt;=dashboard!$D62,MIN(1-dashboard!$E62*(1-(dashboard!$D62-T$6)/dashboard!$C62),1),1-dashboard!$E62),1)</f>
        <v>1</v>
      </c>
      <c r="U92" s="310">
        <f>IF(dashboard!$F62="o.k.",IF(U$6&lt;=dashboard!$D62,MIN(1-dashboard!$E62*(1-(dashboard!$D62-U$6)/dashboard!$C62),1),1-dashboard!$E62),1)</f>
        <v>1</v>
      </c>
      <c r="V92" s="310">
        <f>IF(dashboard!$F62="o.k.",IF(V$6&lt;=dashboard!$D62,MIN(1-dashboard!$E62*(1-(dashboard!$D62-V$6)/dashboard!$C62),1),1-dashboard!$E62),1)</f>
        <v>1</v>
      </c>
      <c r="W92" s="310">
        <f>IF(dashboard!$F62="o.k.",IF(W$6&lt;=dashboard!$D62,MIN(1-dashboard!$E62*(1-(dashboard!$D62-W$6)/dashboard!$C62),1),1-dashboard!$E62),1)</f>
        <v>1</v>
      </c>
      <c r="X92" s="310">
        <f>IF(dashboard!$F62="o.k.",IF(X$6&lt;=dashboard!$D62,MIN(1-dashboard!$E62*(1-(dashboard!$D62-X$6)/dashboard!$C62),1),1-dashboard!$E62),1)</f>
        <v>1</v>
      </c>
      <c r="Y92" s="310">
        <f>IF(dashboard!$F62="o.k.",IF(Y$6&lt;=dashboard!$D62,MIN(1-dashboard!$E62*(1-(dashboard!$D62-Y$6)/dashboard!$C62),1),1-dashboard!$E62),1)</f>
        <v>1</v>
      </c>
      <c r="Z92" s="310">
        <f>IF(dashboard!$F62="o.k.",IF(Z$6&lt;=dashboard!$D62,MIN(1-dashboard!$E62*(1-(dashboard!$D62-Z$6)/dashboard!$C62),1),1-dashboard!$E62),1)</f>
        <v>1</v>
      </c>
      <c r="AA92" s="310">
        <f>IF(dashboard!$F62="o.k.",IF(AA$6&lt;=dashboard!$D62,MIN(1-dashboard!$E62*(1-(dashboard!$D62-AA$6)/dashboard!$C62),1),1-dashboard!$E62),1)</f>
        <v>1</v>
      </c>
      <c r="AB92" s="310">
        <f>IF(dashboard!$F62="o.k.",IF(AB$6&lt;=dashboard!$D62,MIN(1-dashboard!$E62*(1-(dashboard!$D62-AB$6)/dashboard!$C62),1),1-dashboard!$E62),1)</f>
        <v>1</v>
      </c>
      <c r="AC92" s="310">
        <f>IF(dashboard!$F62="o.k.",IF(AC$6&lt;=dashboard!$D62,MIN(1-dashboard!$E62*(1-(dashboard!$D62-AC$6)/dashboard!$C62),1),1-dashboard!$E62),1)</f>
        <v>1</v>
      </c>
      <c r="AD92" s="310">
        <f>IF(dashboard!$F62="o.k.",IF(AD$6&lt;=dashboard!$D62,MIN(1-dashboard!$E62*(1-(dashboard!$D62-AD$6)/dashboard!$C62),1),1-dashboard!$E62),1)</f>
        <v>1</v>
      </c>
      <c r="AE92" s="310">
        <f>IF(dashboard!$F62="o.k.",IF(AE$6&lt;=dashboard!$D62,MIN(1-dashboard!$E62*(1-(dashboard!$D62-AE$6)/dashboard!$C62),1),1-dashboard!$E62),1)</f>
        <v>1</v>
      </c>
      <c r="AF92" s="310">
        <f>IF(dashboard!$F62="o.k.",IF(AF$6&lt;=dashboard!$D62,MIN(1-dashboard!$E62*(1-(dashboard!$D62-AF$6)/dashboard!$C62),1),1-dashboard!$E62),1)</f>
        <v>1</v>
      </c>
      <c r="AG92" s="310">
        <f>IF(dashboard!$F62="o.k.",IF(AG$6&lt;=dashboard!$D62,MIN(1-dashboard!$E62*(1-(dashboard!$D62-AG$6)/dashboard!$C62),1),1-dashboard!$E62),1)</f>
        <v>1</v>
      </c>
    </row>
    <row r="93" spans="1:33" ht="12.9" customHeight="1">
      <c r="A93" s="38" t="s">
        <v>453</v>
      </c>
      <c r="B93" s="38" t="s">
        <v>464</v>
      </c>
      <c r="C93" s="310">
        <f>IF(dashboard!$F63="o.k.",IF(C$6&lt;=dashboard!$D63,MIN(1-dashboard!$E63*(1-(dashboard!$D63-C$6)/dashboard!$C63),1),1-dashboard!$E63),1)</f>
        <v>1</v>
      </c>
      <c r="D93" s="310">
        <f>IF(dashboard!$F63="o.k.",IF(D$6&lt;=dashboard!$D63,MIN(1-dashboard!$E63*(1-(dashboard!$D63-D$6)/dashboard!$C63),1),1-dashboard!$E63),1)</f>
        <v>0.98833333333333329</v>
      </c>
      <c r="E93" s="310">
        <f>IF(dashboard!$F63="o.k.",IF(E$6&lt;=dashboard!$D63,MIN(1-dashboard!$E63*(1-(dashboard!$D63-E$6)/dashboard!$C63),1),1-dashboard!$E63),1)</f>
        <v>0.97666666666666668</v>
      </c>
      <c r="F93" s="310">
        <f>IF(dashboard!$F63="o.k.",IF(F$6&lt;=dashboard!$D63,MIN(1-dashboard!$E63*(1-(dashboard!$D63-F$6)/dashboard!$C63),1),1-dashboard!$E63),1)</f>
        <v>0.96499999999999997</v>
      </c>
      <c r="G93" s="310">
        <f>IF(dashboard!$F63="o.k.",IF(G$6&lt;=dashboard!$D63,MIN(1-dashboard!$E63*(1-(dashboard!$D63-G$6)/dashboard!$C63),1),1-dashboard!$E63),1)</f>
        <v>0.95333333333333337</v>
      </c>
      <c r="H93" s="310">
        <f>IF(dashboard!$F63="o.k.",IF(H$6&lt;=dashboard!$D63,MIN(1-dashboard!$E63*(1-(dashboard!$D63-H$6)/dashboard!$C63),1),1-dashboard!$E63),1)</f>
        <v>0.94166666666666665</v>
      </c>
      <c r="I93" s="310">
        <f>IF(dashboard!$F63="o.k.",IF(I$6&lt;=dashboard!$D63,MIN(1-dashboard!$E63*(1-(dashboard!$D63-I$6)/dashboard!$C63),1),1-dashboard!$E63),1)</f>
        <v>0.93</v>
      </c>
      <c r="J93" s="310">
        <f>IF(dashboard!$F63="o.k.",IF(J$6&lt;=dashboard!$D63,MIN(1-dashboard!$E63*(1-(dashboard!$D63-J$6)/dashboard!$C63),1),1-dashboard!$E63),1)</f>
        <v>0.91833333333333333</v>
      </c>
      <c r="K93" s="310">
        <f>IF(dashboard!$F63="o.k.",IF(K$6&lt;=dashboard!$D63,MIN(1-dashboard!$E63*(1-(dashboard!$D63-K$6)/dashboard!$C63),1),1-dashboard!$E63),1)</f>
        <v>0.90666666666666662</v>
      </c>
      <c r="L93" s="310">
        <f>IF(dashboard!$F63="o.k.",IF(L$6&lt;=dashboard!$D63,MIN(1-dashboard!$E63*(1-(dashboard!$D63-L$6)/dashboard!$C63),1),1-dashboard!$E63),1)</f>
        <v>0.89500000000000002</v>
      </c>
      <c r="M93" s="310">
        <f>IF(dashboard!$F63="o.k.",IF(M$6&lt;=dashboard!$D63,MIN(1-dashboard!$E63*(1-(dashboard!$D63-M$6)/dashboard!$C63),1),1-dashboard!$E63),1)</f>
        <v>0.8833333333333333</v>
      </c>
      <c r="N93" s="310">
        <f>IF(dashboard!$F63="o.k.",IF(N$6&lt;=dashboard!$D63,MIN(1-dashboard!$E63*(1-(dashboard!$D63-N$6)/dashboard!$C63),1),1-dashboard!$E63),1)</f>
        <v>0.8716666666666667</v>
      </c>
      <c r="O93" s="310">
        <f>IF(dashboard!$F63="o.k.",IF(O$6&lt;=dashboard!$D63,MIN(1-dashboard!$E63*(1-(dashboard!$D63-O$6)/dashboard!$C63),1),1-dashboard!$E63),1)</f>
        <v>0.86</v>
      </c>
      <c r="P93" s="310">
        <f>IF(dashboard!$F63="o.k.",IF(P$6&lt;=dashboard!$D63,MIN(1-dashboard!$E63*(1-(dashboard!$D63-P$6)/dashboard!$C63),1),1-dashboard!$E63),1)</f>
        <v>0.84833333333333338</v>
      </c>
      <c r="Q93" s="310">
        <f>IF(dashboard!$F63="o.k.",IF(Q$6&lt;=dashboard!$D63,MIN(1-dashboard!$E63*(1-(dashboard!$D63-Q$6)/dashboard!$C63),1),1-dashboard!$E63),1)</f>
        <v>0.83666666666666667</v>
      </c>
      <c r="R93" s="310">
        <f>IF(dashboard!$F63="o.k.",IF(R$6&lt;=dashboard!$D63,MIN(1-dashboard!$E63*(1-(dashboard!$D63-R$6)/dashboard!$C63),1),1-dashboard!$E63),1)</f>
        <v>0.82499999999999996</v>
      </c>
      <c r="S93" s="310">
        <f>IF(dashboard!$F63="o.k.",IF(S$6&lt;=dashboard!$D63,MIN(1-dashboard!$E63*(1-(dashboard!$D63-S$6)/dashboard!$C63),1),1-dashboard!$E63),1)</f>
        <v>0.81333333333333335</v>
      </c>
      <c r="T93" s="310">
        <f>IF(dashboard!$F63="o.k.",IF(T$6&lt;=dashboard!$D63,MIN(1-dashboard!$E63*(1-(dashboard!$D63-T$6)/dashboard!$C63),1),1-dashboard!$E63),1)</f>
        <v>0.80166666666666675</v>
      </c>
      <c r="U93" s="310">
        <f>IF(dashboard!$F63="o.k.",IF(U$6&lt;=dashboard!$D63,MIN(1-dashboard!$E63*(1-(dashboard!$D63-U$6)/dashboard!$C63),1),1-dashboard!$E63),1)</f>
        <v>0.79</v>
      </c>
      <c r="V93" s="310">
        <f>IF(dashboard!$F63="o.k.",IF(V$6&lt;=dashboard!$D63,MIN(1-dashboard!$E63*(1-(dashboard!$D63-V$6)/dashboard!$C63),1),1-dashboard!$E63),1)</f>
        <v>0.77833333333333332</v>
      </c>
      <c r="W93" s="310">
        <f>IF(dashboard!$F63="o.k.",IF(W$6&lt;=dashboard!$D63,MIN(1-dashboard!$E63*(1-(dashboard!$D63-W$6)/dashboard!$C63),1),1-dashboard!$E63),1)</f>
        <v>0.76666666666666661</v>
      </c>
      <c r="X93" s="310">
        <f>IF(dashboard!$F63="o.k.",IF(X$6&lt;=dashboard!$D63,MIN(1-dashboard!$E63*(1-(dashboard!$D63-X$6)/dashboard!$C63),1),1-dashboard!$E63),1)</f>
        <v>0.755</v>
      </c>
      <c r="Y93" s="310">
        <f>IF(dashboard!$F63="o.k.",IF(Y$6&lt;=dashboard!$D63,MIN(1-dashboard!$E63*(1-(dashboard!$D63-Y$6)/dashboard!$C63),1),1-dashboard!$E63),1)</f>
        <v>0.7433333333333334</v>
      </c>
      <c r="Z93" s="310">
        <f>IF(dashboard!$F63="o.k.",IF(Z$6&lt;=dashboard!$D63,MIN(1-dashboard!$E63*(1-(dashboard!$D63-Z$6)/dashboard!$C63),1),1-dashboard!$E63),1)</f>
        <v>0.73166666666666669</v>
      </c>
      <c r="AA93" s="310">
        <f>IF(dashboard!$F63="o.k.",IF(AA$6&lt;=dashboard!$D63,MIN(1-dashboard!$E63*(1-(dashboard!$D63-AA$6)/dashboard!$C63),1),1-dashboard!$E63),1)</f>
        <v>0.72</v>
      </c>
      <c r="AB93" s="310">
        <f>IF(dashboard!$F63="o.k.",IF(AB$6&lt;=dashboard!$D63,MIN(1-dashboard!$E63*(1-(dashboard!$D63-AB$6)/dashboard!$C63),1),1-dashboard!$E63),1)</f>
        <v>0.70833333333333326</v>
      </c>
      <c r="AC93" s="310">
        <f>IF(dashboard!$F63="o.k.",IF(AC$6&lt;=dashboard!$D63,MIN(1-dashboard!$E63*(1-(dashboard!$D63-AC$6)/dashboard!$C63),1),1-dashboard!$E63),1)</f>
        <v>0.69666666666666666</v>
      </c>
      <c r="AD93" s="310">
        <f>IF(dashboard!$F63="o.k.",IF(AD$6&lt;=dashboard!$D63,MIN(1-dashboard!$E63*(1-(dashboard!$D63-AD$6)/dashboard!$C63),1),1-dashboard!$E63),1)</f>
        <v>0.68500000000000005</v>
      </c>
      <c r="AE93" s="310">
        <f>IF(dashboard!$F63="o.k.",IF(AE$6&lt;=dashboard!$D63,MIN(1-dashboard!$E63*(1-(dashboard!$D63-AE$6)/dashboard!$C63),1),1-dashboard!$E63),1)</f>
        <v>0.67333333333333334</v>
      </c>
      <c r="AF93" s="310">
        <f>IF(dashboard!$F63="o.k.",IF(AF$6&lt;=dashboard!$D63,MIN(1-dashboard!$E63*(1-(dashboard!$D63-AF$6)/dashboard!$C63),1),1-dashboard!$E63),1)</f>
        <v>0.66166666666666663</v>
      </c>
      <c r="AG93" s="310">
        <f>IF(dashboard!$F63="o.k.",IF(AG$6&lt;=dashboard!$D63,MIN(1-dashboard!$E63*(1-(dashboard!$D63-AG$6)/dashboard!$C63),1),1-dashboard!$E63),1)</f>
        <v>0.65</v>
      </c>
    </row>
    <row r="94" spans="1:33" ht="12.9" customHeight="1">
      <c r="A94" s="38" t="s">
        <v>454</v>
      </c>
      <c r="B94" s="38" t="s">
        <v>464</v>
      </c>
      <c r="C94" s="310">
        <f>IF(dashboard!$F64="o.k.",IF(C$6&lt;=dashboard!$D64,MIN(1-dashboard!$E64*(1-(dashboard!$D64-C$6)/dashboard!$C64),1),1-dashboard!$E64),1)</f>
        <v>1</v>
      </c>
      <c r="D94" s="310">
        <f>IF(dashboard!$F64="o.k.",IF(D$6&lt;=dashboard!$D64,MIN(1-dashboard!$E64*(1-(dashboard!$D64-D$6)/dashboard!$C64),1),1-dashboard!$E64),1)</f>
        <v>1</v>
      </c>
      <c r="E94" s="310">
        <f>IF(dashboard!$F64="o.k.",IF(E$6&lt;=dashboard!$D64,MIN(1-dashboard!$E64*(1-(dashboard!$D64-E$6)/dashboard!$C64),1),1-dashboard!$E64),1)</f>
        <v>1</v>
      </c>
      <c r="F94" s="310">
        <f>IF(dashboard!$F64="o.k.",IF(F$6&lt;=dashboard!$D64,MIN(1-dashboard!$E64*(1-(dashboard!$D64-F$6)/dashboard!$C64),1),1-dashboard!$E64),1)</f>
        <v>1</v>
      </c>
      <c r="G94" s="310">
        <f>IF(dashboard!$F64="o.k.",IF(G$6&lt;=dashboard!$D64,MIN(1-dashboard!$E64*(1-(dashboard!$D64-G$6)/dashboard!$C64),1),1-dashboard!$E64),1)</f>
        <v>1</v>
      </c>
      <c r="H94" s="310">
        <f>IF(dashboard!$F64="o.k.",IF(H$6&lt;=dashboard!$D64,MIN(1-dashboard!$E64*(1-(dashboard!$D64-H$6)/dashboard!$C64),1),1-dashboard!$E64),1)</f>
        <v>1</v>
      </c>
      <c r="I94" s="310">
        <f>IF(dashboard!$F64="o.k.",IF(I$6&lt;=dashboard!$D64,MIN(1-dashboard!$E64*(1-(dashboard!$D64-I$6)/dashboard!$C64),1),1-dashboard!$E64),1)</f>
        <v>1</v>
      </c>
      <c r="J94" s="310">
        <f>IF(dashboard!$F64="o.k.",IF(J$6&lt;=dashboard!$D64,MIN(1-dashboard!$E64*(1-(dashboard!$D64-J$6)/dashboard!$C64),1),1-dashboard!$E64),1)</f>
        <v>1</v>
      </c>
      <c r="K94" s="310">
        <f>IF(dashboard!$F64="o.k.",IF(K$6&lt;=dashboard!$D64,MIN(1-dashboard!$E64*(1-(dashboard!$D64-K$6)/dashboard!$C64),1),1-dashboard!$E64),1)</f>
        <v>1</v>
      </c>
      <c r="L94" s="310">
        <f>IF(dashboard!$F64="o.k.",IF(L$6&lt;=dashboard!$D64,MIN(1-dashboard!$E64*(1-(dashboard!$D64-L$6)/dashboard!$C64),1),1-dashboard!$E64),1)</f>
        <v>1</v>
      </c>
      <c r="M94" s="310">
        <f>IF(dashboard!$F64="o.k.",IF(M$6&lt;=dashboard!$D64,MIN(1-dashboard!$E64*(1-(dashboard!$D64-M$6)/dashboard!$C64),1),1-dashboard!$E64),1)</f>
        <v>1</v>
      </c>
      <c r="N94" s="310">
        <f>IF(dashboard!$F64="o.k.",IF(N$6&lt;=dashboard!$D64,MIN(1-dashboard!$E64*(1-(dashboard!$D64-N$6)/dashboard!$C64),1),1-dashboard!$E64),1)</f>
        <v>1</v>
      </c>
      <c r="O94" s="310">
        <f>IF(dashboard!$F64="o.k.",IF(O$6&lt;=dashboard!$D64,MIN(1-dashboard!$E64*(1-(dashboard!$D64-O$6)/dashboard!$C64),1),1-dashboard!$E64),1)</f>
        <v>1</v>
      </c>
      <c r="P94" s="310">
        <f>IF(dashboard!$F64="o.k.",IF(P$6&lt;=dashboard!$D64,MIN(1-dashboard!$E64*(1-(dashboard!$D64-P$6)/dashboard!$C64),1),1-dashboard!$E64),1)</f>
        <v>1</v>
      </c>
      <c r="Q94" s="310">
        <f>IF(dashboard!$F64="o.k.",IF(Q$6&lt;=dashboard!$D64,MIN(1-dashboard!$E64*(1-(dashboard!$D64-Q$6)/dashboard!$C64),1),1-dashboard!$E64),1)</f>
        <v>1</v>
      </c>
      <c r="R94" s="310">
        <f>IF(dashboard!$F64="o.k.",IF(R$6&lt;=dashboard!$D64,MIN(1-dashboard!$E64*(1-(dashboard!$D64-R$6)/dashboard!$C64),1),1-dashboard!$E64),1)</f>
        <v>1</v>
      </c>
      <c r="S94" s="310">
        <f>IF(dashboard!$F64="o.k.",IF(S$6&lt;=dashboard!$D64,MIN(1-dashboard!$E64*(1-(dashboard!$D64-S$6)/dashboard!$C64),1),1-dashboard!$E64),1)</f>
        <v>1</v>
      </c>
      <c r="T94" s="310">
        <f>IF(dashboard!$F64="o.k.",IF(T$6&lt;=dashboard!$D64,MIN(1-dashboard!$E64*(1-(dashboard!$D64-T$6)/dashboard!$C64),1),1-dashboard!$E64),1)</f>
        <v>1</v>
      </c>
      <c r="U94" s="310">
        <f>IF(dashboard!$F64="o.k.",IF(U$6&lt;=dashboard!$D64,MIN(1-dashboard!$E64*(1-(dashboard!$D64-U$6)/dashboard!$C64),1),1-dashboard!$E64),1)</f>
        <v>1</v>
      </c>
      <c r="V94" s="310">
        <f>IF(dashboard!$F64="o.k.",IF(V$6&lt;=dashboard!$D64,MIN(1-dashboard!$E64*(1-(dashboard!$D64-V$6)/dashboard!$C64),1),1-dashboard!$E64),1)</f>
        <v>1</v>
      </c>
      <c r="W94" s="310">
        <f>IF(dashboard!$F64="o.k.",IF(W$6&lt;=dashboard!$D64,MIN(1-dashboard!$E64*(1-(dashboard!$D64-W$6)/dashboard!$C64),1),1-dashboard!$E64),1)</f>
        <v>1</v>
      </c>
      <c r="X94" s="310">
        <f>IF(dashboard!$F64="o.k.",IF(X$6&lt;=dashboard!$D64,MIN(1-dashboard!$E64*(1-(dashboard!$D64-X$6)/dashboard!$C64),1),1-dashboard!$E64),1)</f>
        <v>1</v>
      </c>
      <c r="Y94" s="310">
        <f>IF(dashboard!$F64="o.k.",IF(Y$6&lt;=dashboard!$D64,MIN(1-dashboard!$E64*(1-(dashboard!$D64-Y$6)/dashboard!$C64),1),1-dashboard!$E64),1)</f>
        <v>1</v>
      </c>
      <c r="Z94" s="310">
        <f>IF(dashboard!$F64="o.k.",IF(Z$6&lt;=dashboard!$D64,MIN(1-dashboard!$E64*(1-(dashboard!$D64-Z$6)/dashboard!$C64),1),1-dashboard!$E64),1)</f>
        <v>1</v>
      </c>
      <c r="AA94" s="310">
        <f>IF(dashboard!$F64="o.k.",IF(AA$6&lt;=dashboard!$D64,MIN(1-dashboard!$E64*(1-(dashboard!$D64-AA$6)/dashboard!$C64),1),1-dashboard!$E64),1)</f>
        <v>1</v>
      </c>
      <c r="AB94" s="310">
        <f>IF(dashboard!$F64="o.k.",IF(AB$6&lt;=dashboard!$D64,MIN(1-dashboard!$E64*(1-(dashboard!$D64-AB$6)/dashboard!$C64),1),1-dashboard!$E64),1)</f>
        <v>1</v>
      </c>
      <c r="AC94" s="310">
        <f>IF(dashboard!$F64="o.k.",IF(AC$6&lt;=dashboard!$D64,MIN(1-dashboard!$E64*(1-(dashboard!$D64-AC$6)/dashboard!$C64),1),1-dashboard!$E64),1)</f>
        <v>1</v>
      </c>
      <c r="AD94" s="310">
        <f>IF(dashboard!$F64="o.k.",IF(AD$6&lt;=dashboard!$D64,MIN(1-dashboard!$E64*(1-(dashboard!$D64-AD$6)/dashboard!$C64),1),1-dashboard!$E64),1)</f>
        <v>1</v>
      </c>
      <c r="AE94" s="310">
        <f>IF(dashboard!$F64="o.k.",IF(AE$6&lt;=dashboard!$D64,MIN(1-dashboard!$E64*(1-(dashboard!$D64-AE$6)/dashboard!$C64),1),1-dashboard!$E64),1)</f>
        <v>1</v>
      </c>
      <c r="AF94" s="310">
        <f>IF(dashboard!$F64="o.k.",IF(AF$6&lt;=dashboard!$D64,MIN(1-dashboard!$E64*(1-(dashboard!$D64-AF$6)/dashboard!$C64),1),1-dashboard!$E64),1)</f>
        <v>1</v>
      </c>
      <c r="AG94" s="310">
        <f>IF(dashboard!$F64="o.k.",IF(AG$6&lt;=dashboard!$D64,MIN(1-dashboard!$E64*(1-(dashboard!$D64-AG$6)/dashboard!$C64),1),1-dashboard!$E64),1)</f>
        <v>1</v>
      </c>
    </row>
    <row r="95" spans="1:33" ht="12.9" customHeight="1">
      <c r="A95" s="65" t="s">
        <v>455</v>
      </c>
      <c r="B95" s="38" t="s">
        <v>464</v>
      </c>
      <c r="C95" s="310">
        <f>IF(dashboard!$F65="o.k.",IF(C$6&lt;=dashboard!$D65,MIN(1-dashboard!$E65*(1-(dashboard!$D65-C$6)/dashboard!$C65),1),1-dashboard!$E65),1)</f>
        <v>1</v>
      </c>
      <c r="D95" s="310">
        <f>IF(dashboard!$F65="o.k.",IF(D$6&lt;=dashboard!$D65,MIN(1-dashboard!$E65*(1-(dashboard!$D65-D$6)/dashboard!$C65),1),1-dashboard!$E65),1)</f>
        <v>1</v>
      </c>
      <c r="E95" s="310">
        <f>IF(dashboard!$F65="o.k.",IF(E$6&lt;=dashboard!$D65,MIN(1-dashboard!$E65*(1-(dashboard!$D65-E$6)/dashboard!$C65),1),1-dashboard!$E65),1)</f>
        <v>1</v>
      </c>
      <c r="F95" s="310">
        <f>IF(dashboard!$F65="o.k.",IF(F$6&lt;=dashboard!$D65,MIN(1-dashboard!$E65*(1-(dashboard!$D65-F$6)/dashboard!$C65),1),1-dashboard!$E65),1)</f>
        <v>1</v>
      </c>
      <c r="G95" s="310">
        <f>IF(dashboard!$F65="o.k.",IF(G$6&lt;=dashboard!$D65,MIN(1-dashboard!$E65*(1-(dashboard!$D65-G$6)/dashboard!$C65),1),1-dashboard!$E65),1)</f>
        <v>1</v>
      </c>
      <c r="H95" s="310">
        <f>IF(dashboard!$F65="o.k.",IF(H$6&lt;=dashboard!$D65,MIN(1-dashboard!$E65*(1-(dashboard!$D65-H$6)/dashboard!$C65),1),1-dashboard!$E65),1)</f>
        <v>1</v>
      </c>
      <c r="I95" s="310">
        <f>IF(dashboard!$F65="o.k.",IF(I$6&lt;=dashboard!$D65,MIN(1-dashboard!$E65*(1-(dashboard!$D65-I$6)/dashboard!$C65),1),1-dashboard!$E65),1)</f>
        <v>1</v>
      </c>
      <c r="J95" s="310">
        <f>IF(dashboard!$F65="o.k.",IF(J$6&lt;=dashboard!$D65,MIN(1-dashboard!$E65*(1-(dashboard!$D65-J$6)/dashboard!$C65),1),1-dashboard!$E65),1)</f>
        <v>1</v>
      </c>
      <c r="K95" s="310">
        <f>IF(dashboard!$F65="o.k.",IF(K$6&lt;=dashboard!$D65,MIN(1-dashboard!$E65*(1-(dashboard!$D65-K$6)/dashboard!$C65),1),1-dashboard!$E65),1)</f>
        <v>1</v>
      </c>
      <c r="L95" s="310">
        <f>IF(dashboard!$F65="o.k.",IF(L$6&lt;=dashboard!$D65,MIN(1-dashboard!$E65*(1-(dashboard!$D65-L$6)/dashboard!$C65),1),1-dashboard!$E65),1)</f>
        <v>1</v>
      </c>
      <c r="M95" s="310">
        <f>IF(dashboard!$F65="o.k.",IF(M$6&lt;=dashboard!$D65,MIN(1-dashboard!$E65*(1-(dashboard!$D65-M$6)/dashboard!$C65),1),1-dashboard!$E65),1)</f>
        <v>1</v>
      </c>
      <c r="N95" s="310">
        <f>IF(dashboard!$F65="o.k.",IF(N$6&lt;=dashboard!$D65,MIN(1-dashboard!$E65*(1-(dashboard!$D65-N$6)/dashboard!$C65),1),1-dashboard!$E65),1)</f>
        <v>1</v>
      </c>
      <c r="O95" s="310">
        <f>IF(dashboard!$F65="o.k.",IF(O$6&lt;=dashboard!$D65,MIN(1-dashboard!$E65*(1-(dashboard!$D65-O$6)/dashboard!$C65),1),1-dashboard!$E65),1)</f>
        <v>1</v>
      </c>
      <c r="P95" s="310">
        <f>IF(dashboard!$F65="o.k.",IF(P$6&lt;=dashboard!$D65,MIN(1-dashboard!$E65*(1-(dashboard!$D65-P$6)/dashboard!$C65),1),1-dashboard!$E65),1)</f>
        <v>1</v>
      </c>
      <c r="Q95" s="310">
        <f>IF(dashboard!$F65="o.k.",IF(Q$6&lt;=dashboard!$D65,MIN(1-dashboard!$E65*(1-(dashboard!$D65-Q$6)/dashboard!$C65),1),1-dashboard!$E65),1)</f>
        <v>1</v>
      </c>
      <c r="R95" s="310">
        <f>IF(dashboard!$F65="o.k.",IF(R$6&lt;=dashboard!$D65,MIN(1-dashboard!$E65*(1-(dashboard!$D65-R$6)/dashboard!$C65),1),1-dashboard!$E65),1)</f>
        <v>1</v>
      </c>
      <c r="S95" s="310">
        <f>IF(dashboard!$F65="o.k.",IF(S$6&lt;=dashboard!$D65,MIN(1-dashboard!$E65*(1-(dashboard!$D65-S$6)/dashboard!$C65),1),1-dashboard!$E65),1)</f>
        <v>1</v>
      </c>
      <c r="T95" s="310">
        <f>IF(dashboard!$F65="o.k.",IF(T$6&lt;=dashboard!$D65,MIN(1-dashboard!$E65*(1-(dashboard!$D65-T$6)/dashboard!$C65),1),1-dashboard!$E65),1)</f>
        <v>1</v>
      </c>
      <c r="U95" s="310">
        <f>IF(dashboard!$F65="o.k.",IF(U$6&lt;=dashboard!$D65,MIN(1-dashboard!$E65*(1-(dashboard!$D65-U$6)/dashboard!$C65),1),1-dashboard!$E65),1)</f>
        <v>1</v>
      </c>
      <c r="V95" s="310">
        <f>IF(dashboard!$F65="o.k.",IF(V$6&lt;=dashboard!$D65,MIN(1-dashboard!$E65*(1-(dashboard!$D65-V$6)/dashboard!$C65),1),1-dashboard!$E65),1)</f>
        <v>1</v>
      </c>
      <c r="W95" s="310">
        <f>IF(dashboard!$F65="o.k.",IF(W$6&lt;=dashboard!$D65,MIN(1-dashboard!$E65*(1-(dashboard!$D65-W$6)/dashboard!$C65),1),1-dashboard!$E65),1)</f>
        <v>1</v>
      </c>
      <c r="X95" s="310">
        <f>IF(dashboard!$F65="o.k.",IF(X$6&lt;=dashboard!$D65,MIN(1-dashboard!$E65*(1-(dashboard!$D65-X$6)/dashboard!$C65),1),1-dashboard!$E65),1)</f>
        <v>1</v>
      </c>
      <c r="Y95" s="310">
        <f>IF(dashboard!$F65="o.k.",IF(Y$6&lt;=dashboard!$D65,MIN(1-dashboard!$E65*(1-(dashboard!$D65-Y$6)/dashboard!$C65),1),1-dashboard!$E65),1)</f>
        <v>1</v>
      </c>
      <c r="Z95" s="310">
        <f>IF(dashboard!$F65="o.k.",IF(Z$6&lt;=dashboard!$D65,MIN(1-dashboard!$E65*(1-(dashboard!$D65-Z$6)/dashboard!$C65),1),1-dashboard!$E65),1)</f>
        <v>1</v>
      </c>
      <c r="AA95" s="310">
        <f>IF(dashboard!$F65="o.k.",IF(AA$6&lt;=dashboard!$D65,MIN(1-dashboard!$E65*(1-(dashboard!$D65-AA$6)/dashboard!$C65),1),1-dashboard!$E65),1)</f>
        <v>1</v>
      </c>
      <c r="AB95" s="310">
        <f>IF(dashboard!$F65="o.k.",IF(AB$6&lt;=dashboard!$D65,MIN(1-dashboard!$E65*(1-(dashboard!$D65-AB$6)/dashboard!$C65),1),1-dashboard!$E65),1)</f>
        <v>1</v>
      </c>
      <c r="AC95" s="310">
        <f>IF(dashboard!$F65="o.k.",IF(AC$6&lt;=dashboard!$D65,MIN(1-dashboard!$E65*(1-(dashboard!$D65-AC$6)/dashboard!$C65),1),1-dashboard!$E65),1)</f>
        <v>1</v>
      </c>
      <c r="AD95" s="310">
        <f>IF(dashboard!$F65="o.k.",IF(AD$6&lt;=dashboard!$D65,MIN(1-dashboard!$E65*(1-(dashboard!$D65-AD$6)/dashboard!$C65),1),1-dashboard!$E65),1)</f>
        <v>1</v>
      </c>
      <c r="AE95" s="310">
        <f>IF(dashboard!$F65="o.k.",IF(AE$6&lt;=dashboard!$D65,MIN(1-dashboard!$E65*(1-(dashboard!$D65-AE$6)/dashboard!$C65),1),1-dashboard!$E65),1)</f>
        <v>1</v>
      </c>
      <c r="AF95" s="310">
        <f>IF(dashboard!$F65="o.k.",IF(AF$6&lt;=dashboard!$D65,MIN(1-dashboard!$E65*(1-(dashboard!$D65-AF$6)/dashboard!$C65),1),1-dashboard!$E65),1)</f>
        <v>1</v>
      </c>
      <c r="AG95" s="310">
        <f>IF(dashboard!$F65="o.k.",IF(AG$6&lt;=dashboard!$D65,MIN(1-dashboard!$E65*(1-(dashboard!$D65-AG$6)/dashboard!$C65),1),1-dashboard!$E65),1)</f>
        <v>1</v>
      </c>
    </row>
    <row r="96" spans="1:33" s="396" customFormat="1" ht="12.9" customHeight="1">
      <c r="A96" s="50"/>
      <c r="B96" s="50"/>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row>
    <row r="97" spans="1:33" s="396" customFormat="1" ht="12.9" customHeight="1">
      <c r="A97" s="347" t="s">
        <v>1296</v>
      </c>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9"/>
    </row>
    <row r="98" spans="1:33" s="396" customFormat="1" ht="12.9" customHeight="1">
      <c r="A98" s="397" t="s">
        <v>432</v>
      </c>
      <c r="B98" s="397" t="s">
        <v>429</v>
      </c>
      <c r="C98" s="397">
        <v>2020</v>
      </c>
      <c r="D98" s="397">
        <v>2021</v>
      </c>
      <c r="E98" s="397">
        <v>2022</v>
      </c>
      <c r="F98" s="397">
        <v>2023</v>
      </c>
      <c r="G98" s="397">
        <v>2024</v>
      </c>
      <c r="H98" s="397">
        <v>2025</v>
      </c>
      <c r="I98" s="397">
        <v>2026</v>
      </c>
      <c r="J98" s="397">
        <v>2027</v>
      </c>
      <c r="K98" s="397">
        <v>2028</v>
      </c>
      <c r="L98" s="397">
        <v>2029</v>
      </c>
      <c r="M98" s="397">
        <v>2030</v>
      </c>
      <c r="N98" s="397">
        <v>2031</v>
      </c>
      <c r="O98" s="397">
        <v>2032</v>
      </c>
      <c r="P98" s="397">
        <v>2033</v>
      </c>
      <c r="Q98" s="397">
        <v>2034</v>
      </c>
      <c r="R98" s="397">
        <v>2035</v>
      </c>
      <c r="S98" s="397">
        <v>2036</v>
      </c>
      <c r="T98" s="397">
        <v>2037</v>
      </c>
      <c r="U98" s="397">
        <v>2038</v>
      </c>
      <c r="V98" s="397">
        <v>2039</v>
      </c>
      <c r="W98" s="397">
        <v>2040</v>
      </c>
      <c r="X98" s="397">
        <v>2041</v>
      </c>
      <c r="Y98" s="397">
        <v>2042</v>
      </c>
      <c r="Z98" s="397">
        <v>2043</v>
      </c>
      <c r="AA98" s="397">
        <v>2044</v>
      </c>
      <c r="AB98" s="397">
        <v>2045</v>
      </c>
      <c r="AC98" s="397">
        <v>2046</v>
      </c>
      <c r="AD98" s="397">
        <v>2047</v>
      </c>
      <c r="AE98" s="397">
        <v>2048</v>
      </c>
      <c r="AF98" s="397">
        <v>2049</v>
      </c>
      <c r="AG98" s="397">
        <v>2050</v>
      </c>
    </row>
    <row r="99" spans="1:33" s="396" customFormat="1" ht="12.9" customHeight="1">
      <c r="A99" s="65" t="s">
        <v>1304</v>
      </c>
      <c r="B99" s="5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c r="AF99" s="310"/>
      <c r="AG99" s="310"/>
    </row>
    <row r="100" spans="1:33" s="396" customFormat="1" ht="12.9" customHeight="1">
      <c r="A100" s="57" t="s">
        <v>426</v>
      </c>
      <c r="B100" s="50" t="s">
        <v>464</v>
      </c>
      <c r="C100" s="310">
        <f>IF(parameters!$B$37,MAX(0,MIN(1,(C$98-dashboard!$C$70)/parameters!$B$41)),0)</f>
        <v>0</v>
      </c>
      <c r="D100" s="310">
        <f>IF(parameters!$B$37,MAX(0,MIN(1,(D$98-dashboard!$C$70)/parameters!$B$41)),0)</f>
        <v>0.16666666666666666</v>
      </c>
      <c r="E100" s="310">
        <f>IF(parameters!$B$37,MAX(0,MIN(1,(E$98-dashboard!$C$70)/parameters!$B$41)),0)</f>
        <v>0.33333333333333331</v>
      </c>
      <c r="F100" s="310">
        <f>IF(parameters!$B$37,MAX(0,MIN(1,(F$98-dashboard!$C$70)/parameters!$B$41)),0)</f>
        <v>0.5</v>
      </c>
      <c r="G100" s="310">
        <f>IF(parameters!$B$37,MAX(0,MIN(1,(G$98-dashboard!$C$70)/parameters!$B$41)),0)</f>
        <v>0.66666666666666663</v>
      </c>
      <c r="H100" s="310">
        <f>IF(parameters!$B$37,MAX(0,MIN(1,(H$98-dashboard!$C$70)/parameters!$B$41)),0)</f>
        <v>0.83333333333333337</v>
      </c>
      <c r="I100" s="310">
        <f>IF(parameters!$B$37,MAX(0,MIN(1,(I$98-dashboard!$C$70)/parameters!$B$41)),0)</f>
        <v>1</v>
      </c>
      <c r="J100" s="310">
        <f>IF(parameters!$B$37,MAX(0,MIN(1,(J$98-dashboard!$C$70)/parameters!$B$41)),0)</f>
        <v>1</v>
      </c>
      <c r="K100" s="310">
        <f>IF(parameters!$B$37,MAX(0,MIN(1,(K$98-dashboard!$C$70)/parameters!$B$41)),0)</f>
        <v>1</v>
      </c>
      <c r="L100" s="310">
        <f>IF(parameters!$B$37,MAX(0,MIN(1,(L$98-dashboard!$C$70)/parameters!$B$41)),0)</f>
        <v>1</v>
      </c>
      <c r="M100" s="310">
        <f>IF(parameters!$B$37,MAX(0,MIN(1,(M$98-dashboard!$C$70)/parameters!$B$41)),0)</f>
        <v>1</v>
      </c>
      <c r="N100" s="310">
        <f>IF(parameters!$B$37,MAX(0,MIN(1,(N$98-dashboard!$C$70)/parameters!$B$41)),0)</f>
        <v>1</v>
      </c>
      <c r="O100" s="310">
        <f>IF(parameters!$B$37,MAX(0,MIN(1,(O$98-dashboard!$C$70)/parameters!$B$41)),0)</f>
        <v>1</v>
      </c>
      <c r="P100" s="310">
        <f>IF(parameters!$B$37,MAX(0,MIN(1,(P$98-dashboard!$C$70)/parameters!$B$41)),0)</f>
        <v>1</v>
      </c>
      <c r="Q100" s="310">
        <f>IF(parameters!$B$37,MAX(0,MIN(1,(Q$98-dashboard!$C$70)/parameters!$B$41)),0)</f>
        <v>1</v>
      </c>
      <c r="R100" s="310">
        <f>IF(parameters!$B$37,MAX(0,MIN(1,(R$98-dashboard!$C$70)/parameters!$B$41)),0)</f>
        <v>1</v>
      </c>
      <c r="S100" s="310">
        <f>IF(parameters!$B$37,MAX(0,MIN(1,(S$98-dashboard!$C$70)/parameters!$B$41)),0)</f>
        <v>1</v>
      </c>
      <c r="T100" s="310">
        <f>IF(parameters!$B$37,MAX(0,MIN(1,(T$98-dashboard!$C$70)/parameters!$B$41)),0)</f>
        <v>1</v>
      </c>
      <c r="U100" s="310">
        <f>IF(parameters!$B$37,MAX(0,MIN(1,(U$98-dashboard!$C$70)/parameters!$B$41)),0)</f>
        <v>1</v>
      </c>
      <c r="V100" s="310">
        <f>IF(parameters!$B$37,MAX(0,MIN(1,(V$98-dashboard!$C$70)/parameters!$B$41)),0)</f>
        <v>1</v>
      </c>
      <c r="W100" s="310">
        <f>IF(parameters!$B$37,MAX(0,MIN(1,(W$98-dashboard!$C$70)/parameters!$B$41)),0)</f>
        <v>1</v>
      </c>
      <c r="X100" s="310">
        <f>IF(parameters!$B$37,MAX(0,MIN(1,(X$98-dashboard!$C$70)/parameters!$B$41)),0)</f>
        <v>1</v>
      </c>
      <c r="Y100" s="310">
        <f>IF(parameters!$B$37,MAX(0,MIN(1,(Y$98-dashboard!$C$70)/parameters!$B$41)),0)</f>
        <v>1</v>
      </c>
      <c r="Z100" s="310">
        <f>IF(parameters!$B$37,MAX(0,MIN(1,(Z$98-dashboard!$C$70)/parameters!$B$41)),0)</f>
        <v>1</v>
      </c>
      <c r="AA100" s="310">
        <f>IF(parameters!$B$37,MAX(0,MIN(1,(AA$98-dashboard!$C$70)/parameters!$B$41)),0)</f>
        <v>1</v>
      </c>
      <c r="AB100" s="310">
        <f>IF(parameters!$B$37,MAX(0,MIN(1,(AB$98-dashboard!$C$70)/parameters!$B$41)),0)</f>
        <v>1</v>
      </c>
      <c r="AC100" s="310">
        <f>IF(parameters!$B$37,MAX(0,MIN(1,(AC$98-dashboard!$C$70)/parameters!$B$41)),0)</f>
        <v>1</v>
      </c>
      <c r="AD100" s="310">
        <f>IF(parameters!$B$37,MAX(0,MIN(1,(AD$98-dashboard!$C$70)/parameters!$B$41)),0)</f>
        <v>1</v>
      </c>
      <c r="AE100" s="310">
        <f>IF(parameters!$B$37,MAX(0,MIN(1,(AE$98-dashboard!$C$70)/parameters!$B$41)),0)</f>
        <v>1</v>
      </c>
      <c r="AF100" s="310">
        <f>IF(parameters!$B$37,MAX(0,MIN(1,(AF$98-dashboard!$C$70)/parameters!$B$41)),0)</f>
        <v>1</v>
      </c>
      <c r="AG100" s="310">
        <f>IF(parameters!$B$37,MAX(0,MIN(1,(AG$98-dashboard!$C$70)/parameters!$B$41)),0)</f>
        <v>1</v>
      </c>
    </row>
    <row r="101" spans="1:33" s="396" customFormat="1" ht="12.9" customHeight="1">
      <c r="A101" s="57" t="s">
        <v>469</v>
      </c>
      <c r="B101" s="50" t="s">
        <v>464</v>
      </c>
      <c r="C101" s="310">
        <f>IF(parameters!$B$38,MAX(0,MIN(1,(C$98-dashboard!$C$71)/parameters!$B$42)),0)</f>
        <v>0</v>
      </c>
      <c r="D101" s="310">
        <f>IF(parameters!$B$38,MAX(0,MIN(1,(D$98-dashboard!$C$71)/parameters!$B$42)),0)</f>
        <v>0</v>
      </c>
      <c r="E101" s="310">
        <f>IF(parameters!$B$38,MAX(0,MIN(1,(E$98-dashboard!$C$71)/parameters!$B$42)),0)</f>
        <v>0</v>
      </c>
      <c r="F101" s="310">
        <f>IF(parameters!$B$38,MAX(0,MIN(1,(F$98-dashboard!$C$71)/parameters!$B$42)),0)</f>
        <v>0</v>
      </c>
      <c r="G101" s="310">
        <f>IF(parameters!$B$38,MAX(0,MIN(1,(G$98-dashboard!$C$71)/parameters!$B$42)),0)</f>
        <v>0</v>
      </c>
      <c r="H101" s="310">
        <f>IF(parameters!$B$38,MAX(0,MIN(1,(H$98-dashboard!$C$71)/parameters!$B$42)),0)</f>
        <v>0</v>
      </c>
      <c r="I101" s="310">
        <f>IF(parameters!$B$38,MAX(0,MIN(1,(I$98-dashboard!$C$71)/parameters!$B$42)),0)</f>
        <v>0</v>
      </c>
      <c r="J101" s="310">
        <f>IF(parameters!$B$38,MAX(0,MIN(1,(J$98-dashboard!$C$71)/parameters!$B$42)),0)</f>
        <v>0</v>
      </c>
      <c r="K101" s="310">
        <f>IF(parameters!$B$38,MAX(0,MIN(1,(K$98-dashboard!$C$71)/parameters!$B$42)),0)</f>
        <v>0</v>
      </c>
      <c r="L101" s="310">
        <f>IF(parameters!$B$38,MAX(0,MIN(1,(L$98-dashboard!$C$71)/parameters!$B$42)),0)</f>
        <v>0</v>
      </c>
      <c r="M101" s="310">
        <f>IF(parameters!$B$38,MAX(0,MIN(1,(M$98-dashboard!$C$71)/parameters!$B$42)),0)</f>
        <v>6.25E-2</v>
      </c>
      <c r="N101" s="310">
        <f>IF(parameters!$B$38,MAX(0,MIN(1,(N$98-dashboard!$C$71)/parameters!$B$42)),0)</f>
        <v>0.125</v>
      </c>
      <c r="O101" s="310">
        <f>IF(parameters!$B$38,MAX(0,MIN(1,(O$98-dashboard!$C$71)/parameters!$B$42)),0)</f>
        <v>0.1875</v>
      </c>
      <c r="P101" s="310">
        <f>IF(parameters!$B$38,MAX(0,MIN(1,(P$98-dashboard!$C$71)/parameters!$B$42)),0)</f>
        <v>0.25</v>
      </c>
      <c r="Q101" s="310">
        <f>IF(parameters!$B$38,MAX(0,MIN(1,(Q$98-dashboard!$C$71)/parameters!$B$42)),0)</f>
        <v>0.3125</v>
      </c>
      <c r="R101" s="310">
        <f>IF(parameters!$B$38,MAX(0,MIN(1,(R$98-dashboard!$C$71)/parameters!$B$42)),0)</f>
        <v>0.375</v>
      </c>
      <c r="S101" s="310">
        <f>IF(parameters!$B$38,MAX(0,MIN(1,(S$98-dashboard!$C$71)/parameters!$B$42)),0)</f>
        <v>0.4375</v>
      </c>
      <c r="T101" s="310">
        <f>IF(parameters!$B$38,MAX(0,MIN(1,(T$98-dashboard!$C$71)/parameters!$B$42)),0)</f>
        <v>0.5</v>
      </c>
      <c r="U101" s="310">
        <f>IF(parameters!$B$38,MAX(0,MIN(1,(U$98-dashboard!$C$71)/parameters!$B$42)),0)</f>
        <v>0.5625</v>
      </c>
      <c r="V101" s="310">
        <f>IF(parameters!$B$38,MAX(0,MIN(1,(V$98-dashboard!$C$71)/parameters!$B$42)),0)</f>
        <v>0.625</v>
      </c>
      <c r="W101" s="310">
        <f>IF(parameters!$B$38,MAX(0,MIN(1,(W$98-dashboard!$C$71)/parameters!$B$42)),0)</f>
        <v>0.6875</v>
      </c>
      <c r="X101" s="310">
        <f>IF(parameters!$B$38,MAX(0,MIN(1,(X$98-dashboard!$C$71)/parameters!$B$42)),0)</f>
        <v>0.75</v>
      </c>
      <c r="Y101" s="310">
        <f>IF(parameters!$B$38,MAX(0,MIN(1,(Y$98-dashboard!$C$71)/parameters!$B$42)),0)</f>
        <v>0.8125</v>
      </c>
      <c r="Z101" s="310">
        <f>IF(parameters!$B$38,MAX(0,MIN(1,(Z$98-dashboard!$C$71)/parameters!$B$42)),0)</f>
        <v>0.875</v>
      </c>
      <c r="AA101" s="310">
        <f>IF(parameters!$B$38,MAX(0,MIN(1,(AA$98-dashboard!$C$71)/parameters!$B$42)),0)</f>
        <v>0.9375</v>
      </c>
      <c r="AB101" s="310">
        <f>IF(parameters!$B$38,MAX(0,MIN(1,(AB$98-dashboard!$C$71)/parameters!$B$42)),0)</f>
        <v>1</v>
      </c>
      <c r="AC101" s="310">
        <f>IF(parameters!$B$38,MAX(0,MIN(1,(AC$98-dashboard!$C$71)/parameters!$B$42)),0)</f>
        <v>1</v>
      </c>
      <c r="AD101" s="310">
        <f>IF(parameters!$B$38,MAX(0,MIN(1,(AD$98-dashboard!$C$71)/parameters!$B$42)),0)</f>
        <v>1</v>
      </c>
      <c r="AE101" s="310">
        <f>IF(parameters!$B$38,MAX(0,MIN(1,(AE$98-dashboard!$C$71)/parameters!$B$42)),0)</f>
        <v>1</v>
      </c>
      <c r="AF101" s="310">
        <f>IF(parameters!$B$38,MAX(0,MIN(1,(AF$98-dashboard!$C$71)/parameters!$B$42)),0)</f>
        <v>1</v>
      </c>
      <c r="AG101" s="310">
        <f>IF(parameters!$B$38,MAX(0,MIN(1,(AG$98-dashboard!$C$71)/parameters!$B$42)),0)</f>
        <v>1</v>
      </c>
    </row>
    <row r="102" spans="1:33" s="396" customFormat="1" ht="12.9" customHeight="1">
      <c r="A102" s="401" t="s">
        <v>425</v>
      </c>
      <c r="B102" s="50" t="s">
        <v>464</v>
      </c>
      <c r="C102" s="310">
        <f>IF(parameters!$B$39,MAX(0,MIN(1,(C$98-dashboard!$C$72)/parameters!$B$43)),0)</f>
        <v>0</v>
      </c>
      <c r="D102" s="310">
        <f>IF(parameters!$B$39,MAX(0,MIN(1,(D$98-dashboard!$C$72)/parameters!$B$43)),0)</f>
        <v>0</v>
      </c>
      <c r="E102" s="310">
        <f>IF(parameters!$B$39,MAX(0,MIN(1,(E$98-dashboard!$C$72)/parameters!$B$43)),0)</f>
        <v>0</v>
      </c>
      <c r="F102" s="310">
        <f>IF(parameters!$B$39,MAX(0,MIN(1,(F$98-dashboard!$C$72)/parameters!$B$43)),0)</f>
        <v>0</v>
      </c>
      <c r="G102" s="310">
        <f>IF(parameters!$B$39,MAX(0,MIN(1,(G$98-dashboard!$C$72)/parameters!$B$43)),0)</f>
        <v>0</v>
      </c>
      <c r="H102" s="310">
        <f>IF(parameters!$B$39,MAX(0,MIN(1,(H$98-dashboard!$C$72)/parameters!$B$43)),0)</f>
        <v>0</v>
      </c>
      <c r="I102" s="310">
        <f>IF(parameters!$B$39,MAX(0,MIN(1,(I$98-dashboard!$C$72)/parameters!$B$43)),0)</f>
        <v>0.05</v>
      </c>
      <c r="J102" s="310">
        <f>IF(parameters!$B$39,MAX(0,MIN(1,(J$98-dashboard!$C$72)/parameters!$B$43)),0)</f>
        <v>0.1</v>
      </c>
      <c r="K102" s="310">
        <f>IF(parameters!$B$39,MAX(0,MIN(1,(K$98-dashboard!$C$72)/parameters!$B$43)),0)</f>
        <v>0.15</v>
      </c>
      <c r="L102" s="310">
        <f>IF(parameters!$B$39,MAX(0,MIN(1,(L$98-dashboard!$C$72)/parameters!$B$43)),0)</f>
        <v>0.2</v>
      </c>
      <c r="M102" s="310">
        <f>IF(parameters!$B$39,MAX(0,MIN(1,(M$98-dashboard!$C$72)/parameters!$B$43)),0)</f>
        <v>0.25</v>
      </c>
      <c r="N102" s="310">
        <f>IF(parameters!$B$39,MAX(0,MIN(1,(N$98-dashboard!$C$72)/parameters!$B$43)),0)</f>
        <v>0.3</v>
      </c>
      <c r="O102" s="310">
        <f>IF(parameters!$B$39,MAX(0,MIN(1,(O$98-dashboard!$C$72)/parameters!$B$43)),0)</f>
        <v>0.35</v>
      </c>
      <c r="P102" s="310">
        <f>IF(parameters!$B$39,MAX(0,MIN(1,(P$98-dashboard!$C$72)/parameters!$B$43)),0)</f>
        <v>0.4</v>
      </c>
      <c r="Q102" s="310">
        <f>IF(parameters!$B$39,MAX(0,MIN(1,(Q$98-dashboard!$C$72)/parameters!$B$43)),0)</f>
        <v>0.45</v>
      </c>
      <c r="R102" s="310">
        <f>IF(parameters!$B$39,MAX(0,MIN(1,(R$98-dashboard!$C$72)/parameters!$B$43)),0)</f>
        <v>0.5</v>
      </c>
      <c r="S102" s="310">
        <f>IF(parameters!$B$39,MAX(0,MIN(1,(S$98-dashboard!$C$72)/parameters!$B$43)),0)</f>
        <v>0.55000000000000004</v>
      </c>
      <c r="T102" s="310">
        <f>IF(parameters!$B$39,MAX(0,MIN(1,(T$98-dashboard!$C$72)/parameters!$B$43)),0)</f>
        <v>0.6</v>
      </c>
      <c r="U102" s="310">
        <f>IF(parameters!$B$39,MAX(0,MIN(1,(U$98-dashboard!$C$72)/parameters!$B$43)),0)</f>
        <v>0.65</v>
      </c>
      <c r="V102" s="310">
        <f>IF(parameters!$B$39,MAX(0,MIN(1,(V$98-dashboard!$C$72)/parameters!$B$43)),0)</f>
        <v>0.7</v>
      </c>
      <c r="W102" s="310">
        <f>IF(parameters!$B$39,MAX(0,MIN(1,(W$98-dashboard!$C$72)/parameters!$B$43)),0)</f>
        <v>0.75</v>
      </c>
      <c r="X102" s="310">
        <f>IF(parameters!$B$39,MAX(0,MIN(1,(X$98-dashboard!$C$72)/parameters!$B$43)),0)</f>
        <v>0.8</v>
      </c>
      <c r="Y102" s="310">
        <f>IF(parameters!$B$39,MAX(0,MIN(1,(Y$98-dashboard!$C$72)/parameters!$B$43)),0)</f>
        <v>0.85</v>
      </c>
      <c r="Z102" s="310">
        <f>IF(parameters!$B$39,MAX(0,MIN(1,(Z$98-dashboard!$C$72)/parameters!$B$43)),0)</f>
        <v>0.9</v>
      </c>
      <c r="AA102" s="310">
        <f>IF(parameters!$B$39,MAX(0,MIN(1,(AA$98-dashboard!$C$72)/parameters!$B$43)),0)</f>
        <v>0.95</v>
      </c>
      <c r="AB102" s="310">
        <f>IF(parameters!$B$39,MAX(0,MIN(1,(AB$98-dashboard!$C$72)/parameters!$B$43)),0)</f>
        <v>1</v>
      </c>
      <c r="AC102" s="310">
        <f>IF(parameters!$B$39,MAX(0,MIN(1,(AC$98-dashboard!$C$72)/parameters!$B$43)),0)</f>
        <v>1</v>
      </c>
      <c r="AD102" s="310">
        <f>IF(parameters!$B$39,MAX(0,MIN(1,(AD$98-dashboard!$C$72)/parameters!$B$43)),0)</f>
        <v>1</v>
      </c>
      <c r="AE102" s="310">
        <f>IF(parameters!$B$39,MAX(0,MIN(1,(AE$98-dashboard!$C$72)/parameters!$B$43)),0)</f>
        <v>1</v>
      </c>
      <c r="AF102" s="310">
        <f>IF(parameters!$B$39,MAX(0,MIN(1,(AF$98-dashboard!$C$72)/parameters!$B$43)),0)</f>
        <v>1</v>
      </c>
      <c r="AG102" s="310">
        <f>IF(parameters!$B$39,MAX(0,MIN(1,(AG$98-dashboard!$C$72)/parameters!$B$43)),0)</f>
        <v>1</v>
      </c>
    </row>
    <row r="103" spans="1:33" s="396" customFormat="1" ht="12.9" customHeight="1">
      <c r="A103" s="50"/>
      <c r="B103" s="5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row>
    <row r="104" spans="1:33" s="291" customFormat="1" ht="12.9" customHeight="1">
      <c r="A104" s="347" t="s">
        <v>1231</v>
      </c>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9"/>
    </row>
    <row r="105" spans="1:33" s="377" customFormat="1" ht="12.9" customHeight="1">
      <c r="A105" s="379" t="s">
        <v>432</v>
      </c>
      <c r="B105" s="379" t="s">
        <v>429</v>
      </c>
      <c r="C105" s="379">
        <v>2020</v>
      </c>
      <c r="D105" s="379">
        <v>2021</v>
      </c>
      <c r="E105" s="379">
        <v>2022</v>
      </c>
      <c r="F105" s="379">
        <v>2023</v>
      </c>
      <c r="G105" s="379">
        <v>2024</v>
      </c>
      <c r="H105" s="379">
        <v>2025</v>
      </c>
      <c r="I105" s="379">
        <v>2026</v>
      </c>
      <c r="J105" s="379">
        <v>2027</v>
      </c>
      <c r="K105" s="379">
        <v>2028</v>
      </c>
      <c r="L105" s="379">
        <v>2029</v>
      </c>
      <c r="M105" s="379">
        <v>2030</v>
      </c>
      <c r="N105" s="379">
        <v>2031</v>
      </c>
      <c r="O105" s="379">
        <v>2032</v>
      </c>
      <c r="P105" s="379">
        <v>2033</v>
      </c>
      <c r="Q105" s="379">
        <v>2034</v>
      </c>
      <c r="R105" s="379">
        <v>2035</v>
      </c>
      <c r="S105" s="379">
        <v>2036</v>
      </c>
      <c r="T105" s="379">
        <v>2037</v>
      </c>
      <c r="U105" s="379">
        <v>2038</v>
      </c>
      <c r="V105" s="379">
        <v>2039</v>
      </c>
      <c r="W105" s="379">
        <v>2040</v>
      </c>
      <c r="X105" s="379">
        <v>2041</v>
      </c>
      <c r="Y105" s="379">
        <v>2042</v>
      </c>
      <c r="Z105" s="379">
        <v>2043</v>
      </c>
      <c r="AA105" s="379">
        <v>2044</v>
      </c>
      <c r="AB105" s="379">
        <v>2045</v>
      </c>
      <c r="AC105" s="379">
        <v>2046</v>
      </c>
      <c r="AD105" s="379">
        <v>2047</v>
      </c>
      <c r="AE105" s="379">
        <v>2048</v>
      </c>
      <c r="AF105" s="379">
        <v>2049</v>
      </c>
      <c r="AG105" s="379">
        <v>2050</v>
      </c>
    </row>
    <row r="106" spans="1:33" ht="12.9" customHeight="1">
      <c r="A106" s="38" t="s">
        <v>876</v>
      </c>
      <c r="B106" s="38"/>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row>
    <row r="107" spans="1:33" ht="12.9" customHeight="1">
      <c r="A107" s="57" t="s">
        <v>877</v>
      </c>
      <c r="B107" s="38" t="s">
        <v>464</v>
      </c>
      <c r="C107" s="310">
        <f>IF(dashboard!$F83="o.k.",IF(C$6&lt;=dashboard!$D83,MIN(1-dashboard!$E83*(1-(dashboard!$D83-C$6)/dashboard!$C83),1),1-dashboard!$E83),1)</f>
        <v>1</v>
      </c>
      <c r="D107" s="310">
        <f>IF(dashboard!$F83="o.k.",IF(D$6&lt;=dashboard!$D83,MIN(1-dashboard!$E83*(1-(dashboard!$D83-D$6)/dashboard!$C83),1),1-dashboard!$E83),1)</f>
        <v>1</v>
      </c>
      <c r="E107" s="310">
        <f>IF(dashboard!$F83="o.k.",IF(E$6&lt;=dashboard!$D83,MIN(1-dashboard!$E83*(1-(dashboard!$D83-E$6)/dashboard!$C83),1),1-dashboard!$E83),1)</f>
        <v>1</v>
      </c>
      <c r="F107" s="310">
        <f>IF(dashboard!$F83="o.k.",IF(F$6&lt;=dashboard!$D83,MIN(1-dashboard!$E83*(1-(dashboard!$D83-F$6)/dashboard!$C83),1),1-dashboard!$E83),1)</f>
        <v>1</v>
      </c>
      <c r="G107" s="310">
        <f>IF(dashboard!$F83="o.k.",IF(G$6&lt;=dashboard!$D83,MIN(1-dashboard!$E83*(1-(dashboard!$D83-G$6)/dashboard!$C83),1),1-dashboard!$E83),1)</f>
        <v>1</v>
      </c>
      <c r="H107" s="310">
        <f>IF(dashboard!$F83="o.k.",IF(H$6&lt;=dashboard!$D83,MIN(1-dashboard!$E83*(1-(dashboard!$D83-H$6)/dashboard!$C83),1),1-dashboard!$E83),1)</f>
        <v>1</v>
      </c>
      <c r="I107" s="310">
        <f>IF(dashboard!$F83="o.k.",IF(I$6&lt;=dashboard!$D83,MIN(1-dashboard!$E83*(1-(dashboard!$D83-I$6)/dashboard!$C83),1),1-dashboard!$E83),1)</f>
        <v>1</v>
      </c>
      <c r="J107" s="310">
        <f>IF(dashboard!$F83="o.k.",IF(J$6&lt;=dashboard!$D83,MIN(1-dashboard!$E83*(1-(dashboard!$D83-J$6)/dashboard!$C83),1),1-dashboard!$E83),1)</f>
        <v>1</v>
      </c>
      <c r="K107" s="310">
        <f>IF(dashboard!$F83="o.k.",IF(K$6&lt;=dashboard!$D83,MIN(1-dashboard!$E83*(1-(dashboard!$D83-K$6)/dashboard!$C83),1),1-dashboard!$E83),1)</f>
        <v>1</v>
      </c>
      <c r="L107" s="310">
        <f>IF(dashboard!$F83="o.k.",IF(L$6&lt;=dashboard!$D83,MIN(1-dashboard!$E83*(1-(dashboard!$D83-L$6)/dashboard!$C83),1),1-dashboard!$E83),1)</f>
        <v>1</v>
      </c>
      <c r="M107" s="310">
        <f>IF(dashboard!$F83="o.k.",IF(M$6&lt;=dashboard!$D83,MIN(1-dashboard!$E83*(1-(dashboard!$D83-M$6)/dashboard!$C83),1),1-dashboard!$E83),1)</f>
        <v>1</v>
      </c>
      <c r="N107" s="310">
        <f>IF(dashboard!$F83="o.k.",IF(N$6&lt;=dashboard!$D83,MIN(1-dashboard!$E83*(1-(dashboard!$D83-N$6)/dashboard!$C83),1),1-dashboard!$E83),1)</f>
        <v>1</v>
      </c>
      <c r="O107" s="310">
        <f>IF(dashboard!$F83="o.k.",IF(O$6&lt;=dashboard!$D83,MIN(1-dashboard!$E83*(1-(dashboard!$D83-O$6)/dashboard!$C83),1),1-dashboard!$E83),1)</f>
        <v>1</v>
      </c>
      <c r="P107" s="310">
        <f>IF(dashboard!$F83="o.k.",IF(P$6&lt;=dashboard!$D83,MIN(1-dashboard!$E83*(1-(dashboard!$D83-P$6)/dashboard!$C83),1),1-dashboard!$E83),1)</f>
        <v>1</v>
      </c>
      <c r="Q107" s="310">
        <f>IF(dashboard!$F83="o.k.",IF(Q$6&lt;=dashboard!$D83,MIN(1-dashboard!$E83*(1-(dashboard!$D83-Q$6)/dashboard!$C83),1),1-dashboard!$E83),1)</f>
        <v>1</v>
      </c>
      <c r="R107" s="310">
        <f>IF(dashboard!$F83="o.k.",IF(R$6&lt;=dashboard!$D83,MIN(1-dashboard!$E83*(1-(dashboard!$D83-R$6)/dashboard!$C83),1),1-dashboard!$E83),1)</f>
        <v>1</v>
      </c>
      <c r="S107" s="310">
        <f>IF(dashboard!$F83="o.k.",IF(S$6&lt;=dashboard!$D83,MIN(1-dashboard!$E83*(1-(dashboard!$D83-S$6)/dashboard!$C83),1),1-dashboard!$E83),1)</f>
        <v>1</v>
      </c>
      <c r="T107" s="310">
        <f>IF(dashboard!$F83="o.k.",IF(T$6&lt;=dashboard!$D83,MIN(1-dashboard!$E83*(1-(dashboard!$D83-T$6)/dashboard!$C83),1),1-dashboard!$E83),1)</f>
        <v>1</v>
      </c>
      <c r="U107" s="310">
        <f>IF(dashboard!$F83="o.k.",IF(U$6&lt;=dashboard!$D83,MIN(1-dashboard!$E83*(1-(dashboard!$D83-U$6)/dashboard!$C83),1),1-dashboard!$E83),1)</f>
        <v>1</v>
      </c>
      <c r="V107" s="310">
        <f>IF(dashboard!$F83="o.k.",IF(V$6&lt;=dashboard!$D83,MIN(1-dashboard!$E83*(1-(dashboard!$D83-V$6)/dashboard!$C83),1),1-dashboard!$E83),1)</f>
        <v>1</v>
      </c>
      <c r="W107" s="310">
        <f>IF(dashboard!$F83="o.k.",IF(W$6&lt;=dashboard!$D83,MIN(1-dashboard!$E83*(1-(dashboard!$D83-W$6)/dashboard!$C83),1),1-dashboard!$E83),1)</f>
        <v>1</v>
      </c>
      <c r="X107" s="310">
        <f>IF(dashboard!$F83="o.k.",IF(X$6&lt;=dashboard!$D83,MIN(1-dashboard!$E83*(1-(dashboard!$D83-X$6)/dashboard!$C83),1),1-dashboard!$E83),1)</f>
        <v>1</v>
      </c>
      <c r="Y107" s="310">
        <f>IF(dashboard!$F83="o.k.",IF(Y$6&lt;=dashboard!$D83,MIN(1-dashboard!$E83*(1-(dashboard!$D83-Y$6)/dashboard!$C83),1),1-dashboard!$E83),1)</f>
        <v>1</v>
      </c>
      <c r="Z107" s="310">
        <f>IF(dashboard!$F83="o.k.",IF(Z$6&lt;=dashboard!$D83,MIN(1-dashboard!$E83*(1-(dashboard!$D83-Z$6)/dashboard!$C83),1),1-dashboard!$E83),1)</f>
        <v>1</v>
      </c>
      <c r="AA107" s="310">
        <f>IF(dashboard!$F83="o.k.",IF(AA$6&lt;=dashboard!$D83,MIN(1-dashboard!$E83*(1-(dashboard!$D83-AA$6)/dashboard!$C83),1),1-dashboard!$E83),1)</f>
        <v>1</v>
      </c>
      <c r="AB107" s="310">
        <f>IF(dashboard!$F83="o.k.",IF(AB$6&lt;=dashboard!$D83,MIN(1-dashboard!$E83*(1-(dashboard!$D83-AB$6)/dashboard!$C83),1),1-dashboard!$E83),1)</f>
        <v>1</v>
      </c>
      <c r="AC107" s="310">
        <f>IF(dashboard!$F83="o.k.",IF(AC$6&lt;=dashboard!$D83,MIN(1-dashboard!$E83*(1-(dashboard!$D83-AC$6)/dashboard!$C83),1),1-dashboard!$E83),1)</f>
        <v>1</v>
      </c>
      <c r="AD107" s="310">
        <f>IF(dashboard!$F83="o.k.",IF(AD$6&lt;=dashboard!$D83,MIN(1-dashboard!$E83*(1-(dashboard!$D83-AD$6)/dashboard!$C83),1),1-dashboard!$E83),1)</f>
        <v>1</v>
      </c>
      <c r="AE107" s="310">
        <f>IF(dashboard!$F83="o.k.",IF(AE$6&lt;=dashboard!$D83,MIN(1-dashboard!$E83*(1-(dashboard!$D83-AE$6)/dashboard!$C83),1),1-dashboard!$E83),1)</f>
        <v>1</v>
      </c>
      <c r="AF107" s="310">
        <f>IF(dashboard!$F83="o.k.",IF(AF$6&lt;=dashboard!$D83,MIN(1-dashboard!$E83*(1-(dashboard!$D83-AF$6)/dashboard!$C83),1),1-dashboard!$E83),1)</f>
        <v>1</v>
      </c>
      <c r="AG107" s="310">
        <f>IF(dashboard!$F83="o.k.",IF(AG$6&lt;=dashboard!$D83,MIN(1-dashboard!$E83*(1-(dashboard!$D83-AG$6)/dashboard!$C83),1),1-dashboard!$E83),1)</f>
        <v>1</v>
      </c>
    </row>
    <row r="108" spans="1:33" ht="12.9" customHeight="1">
      <c r="A108" s="57" t="s">
        <v>878</v>
      </c>
      <c r="B108" s="38" t="s">
        <v>464</v>
      </c>
      <c r="C108" s="310">
        <f>IF(dashboard!$F84="o.k.",IF(C$6&lt;=dashboard!$D84,MIN(1-dashboard!$E84*(1-(dashboard!$D84-C$6)/dashboard!$C84),1),1-dashboard!$E84),1)</f>
        <v>1</v>
      </c>
      <c r="D108" s="310">
        <f>IF(dashboard!$F84="o.k.",IF(D$6&lt;=dashboard!$D84,MIN(1-dashboard!$E84*(1-(dashboard!$D84-D$6)/dashboard!$C84),1),1-dashboard!$E84),1)</f>
        <v>1</v>
      </c>
      <c r="E108" s="310">
        <f>IF(dashboard!$F84="o.k.",IF(E$6&lt;=dashboard!$D84,MIN(1-dashboard!$E84*(1-(dashboard!$D84-E$6)/dashboard!$C84),1),1-dashboard!$E84),1)</f>
        <v>1</v>
      </c>
      <c r="F108" s="310">
        <f>IF(dashboard!$F84="o.k.",IF(F$6&lt;=dashboard!$D84,MIN(1-dashboard!$E84*(1-(dashboard!$D84-F$6)/dashboard!$C84),1),1-dashboard!$E84),1)</f>
        <v>1</v>
      </c>
      <c r="G108" s="310">
        <f>IF(dashboard!$F84="o.k.",IF(G$6&lt;=dashboard!$D84,MIN(1-dashboard!$E84*(1-(dashboard!$D84-G$6)/dashboard!$C84),1),1-dashboard!$E84),1)</f>
        <v>1</v>
      </c>
      <c r="H108" s="310">
        <f>IF(dashboard!$F84="o.k.",IF(H$6&lt;=dashboard!$D84,MIN(1-dashboard!$E84*(1-(dashboard!$D84-H$6)/dashboard!$C84),1),1-dashboard!$E84),1)</f>
        <v>1</v>
      </c>
      <c r="I108" s="310">
        <f>IF(dashboard!$F84="o.k.",IF(I$6&lt;=dashboard!$D84,MIN(1-dashboard!$E84*(1-(dashboard!$D84-I$6)/dashboard!$C84),1),1-dashboard!$E84),1)</f>
        <v>1</v>
      </c>
      <c r="J108" s="310">
        <f>IF(dashboard!$F84="o.k.",IF(J$6&lt;=dashboard!$D84,MIN(1-dashboard!$E84*(1-(dashboard!$D84-J$6)/dashboard!$C84),1),1-dashboard!$E84),1)</f>
        <v>1</v>
      </c>
      <c r="K108" s="310">
        <f>IF(dashboard!$F84="o.k.",IF(K$6&lt;=dashboard!$D84,MIN(1-dashboard!$E84*(1-(dashboard!$D84-K$6)/dashboard!$C84),1),1-dashboard!$E84),1)</f>
        <v>1</v>
      </c>
      <c r="L108" s="310">
        <f>IF(dashboard!$F84="o.k.",IF(L$6&lt;=dashboard!$D84,MIN(1-dashboard!$E84*(1-(dashboard!$D84-L$6)/dashboard!$C84),1),1-dashboard!$E84),1)</f>
        <v>1</v>
      </c>
      <c r="M108" s="310">
        <f>IF(dashboard!$F84="o.k.",IF(M$6&lt;=dashboard!$D84,MIN(1-dashboard!$E84*(1-(dashboard!$D84-M$6)/dashboard!$C84),1),1-dashboard!$E84),1)</f>
        <v>1</v>
      </c>
      <c r="N108" s="310">
        <f>IF(dashboard!$F84="o.k.",IF(N$6&lt;=dashboard!$D84,MIN(1-dashboard!$E84*(1-(dashboard!$D84-N$6)/dashboard!$C84),1),1-dashboard!$E84),1)</f>
        <v>1</v>
      </c>
      <c r="O108" s="310">
        <f>IF(dashboard!$F84="o.k.",IF(O$6&lt;=dashboard!$D84,MIN(1-dashboard!$E84*(1-(dashboard!$D84-O$6)/dashboard!$C84),1),1-dashboard!$E84),1)</f>
        <v>1</v>
      </c>
      <c r="P108" s="310">
        <f>IF(dashboard!$F84="o.k.",IF(P$6&lt;=dashboard!$D84,MIN(1-dashboard!$E84*(1-(dashboard!$D84-P$6)/dashboard!$C84),1),1-dashboard!$E84),1)</f>
        <v>1</v>
      </c>
      <c r="Q108" s="310">
        <f>IF(dashboard!$F84="o.k.",IF(Q$6&lt;=dashboard!$D84,MIN(1-dashboard!$E84*(1-(dashboard!$D84-Q$6)/dashboard!$C84),1),1-dashboard!$E84),1)</f>
        <v>1</v>
      </c>
      <c r="R108" s="310">
        <f>IF(dashboard!$F84="o.k.",IF(R$6&lt;=dashboard!$D84,MIN(1-dashboard!$E84*(1-(dashboard!$D84-R$6)/dashboard!$C84),1),1-dashboard!$E84),1)</f>
        <v>1</v>
      </c>
      <c r="S108" s="310">
        <f>IF(dashboard!$F84="o.k.",IF(S$6&lt;=dashboard!$D84,MIN(1-dashboard!$E84*(1-(dashboard!$D84-S$6)/dashboard!$C84),1),1-dashboard!$E84),1)</f>
        <v>1</v>
      </c>
      <c r="T108" s="310">
        <f>IF(dashboard!$F84="o.k.",IF(T$6&lt;=dashboard!$D84,MIN(1-dashboard!$E84*(1-(dashboard!$D84-T$6)/dashboard!$C84),1),1-dashboard!$E84),1)</f>
        <v>1</v>
      </c>
      <c r="U108" s="310">
        <f>IF(dashboard!$F84="o.k.",IF(U$6&lt;=dashboard!$D84,MIN(1-dashboard!$E84*(1-(dashboard!$D84-U$6)/dashboard!$C84),1),1-dashboard!$E84),1)</f>
        <v>1</v>
      </c>
      <c r="V108" s="310">
        <f>IF(dashboard!$F84="o.k.",IF(V$6&lt;=dashboard!$D84,MIN(1-dashboard!$E84*(1-(dashboard!$D84-V$6)/dashboard!$C84),1),1-dashboard!$E84),1)</f>
        <v>1</v>
      </c>
      <c r="W108" s="310">
        <f>IF(dashboard!$F84="o.k.",IF(W$6&lt;=dashboard!$D84,MIN(1-dashboard!$E84*(1-(dashboard!$D84-W$6)/dashboard!$C84),1),1-dashboard!$E84),1)</f>
        <v>1</v>
      </c>
      <c r="X108" s="310">
        <f>IF(dashboard!$F84="o.k.",IF(X$6&lt;=dashboard!$D84,MIN(1-dashboard!$E84*(1-(dashboard!$D84-X$6)/dashboard!$C84),1),1-dashboard!$E84),1)</f>
        <v>1</v>
      </c>
      <c r="Y108" s="310">
        <f>IF(dashboard!$F84="o.k.",IF(Y$6&lt;=dashboard!$D84,MIN(1-dashboard!$E84*(1-(dashboard!$D84-Y$6)/dashboard!$C84),1),1-dashboard!$E84),1)</f>
        <v>1</v>
      </c>
      <c r="Z108" s="310">
        <f>IF(dashboard!$F84="o.k.",IF(Z$6&lt;=dashboard!$D84,MIN(1-dashboard!$E84*(1-(dashboard!$D84-Z$6)/dashboard!$C84),1),1-dashboard!$E84),1)</f>
        <v>1</v>
      </c>
      <c r="AA108" s="310">
        <f>IF(dashboard!$F84="o.k.",IF(AA$6&lt;=dashboard!$D84,MIN(1-dashboard!$E84*(1-(dashboard!$D84-AA$6)/dashboard!$C84),1),1-dashboard!$E84),1)</f>
        <v>1</v>
      </c>
      <c r="AB108" s="310">
        <f>IF(dashboard!$F84="o.k.",IF(AB$6&lt;=dashboard!$D84,MIN(1-dashboard!$E84*(1-(dashboard!$D84-AB$6)/dashboard!$C84),1),1-dashboard!$E84),1)</f>
        <v>1</v>
      </c>
      <c r="AC108" s="310">
        <f>IF(dashboard!$F84="o.k.",IF(AC$6&lt;=dashboard!$D84,MIN(1-dashboard!$E84*(1-(dashboard!$D84-AC$6)/dashboard!$C84),1),1-dashboard!$E84),1)</f>
        <v>1</v>
      </c>
      <c r="AD108" s="310">
        <f>IF(dashboard!$F84="o.k.",IF(AD$6&lt;=dashboard!$D84,MIN(1-dashboard!$E84*(1-(dashboard!$D84-AD$6)/dashboard!$C84),1),1-dashboard!$E84),1)</f>
        <v>1</v>
      </c>
      <c r="AE108" s="310">
        <f>IF(dashboard!$F84="o.k.",IF(AE$6&lt;=dashboard!$D84,MIN(1-dashboard!$E84*(1-(dashboard!$D84-AE$6)/dashboard!$C84),1),1-dashboard!$E84),1)</f>
        <v>1</v>
      </c>
      <c r="AF108" s="310">
        <f>IF(dashboard!$F84="o.k.",IF(AF$6&lt;=dashboard!$D84,MIN(1-dashboard!$E84*(1-(dashboard!$D84-AF$6)/dashboard!$C84),1),1-dashboard!$E84),1)</f>
        <v>1</v>
      </c>
      <c r="AG108" s="310">
        <f>IF(dashboard!$F84="o.k.",IF(AG$6&lt;=dashboard!$D84,MIN(1-dashboard!$E84*(1-(dashboard!$D84-AG$6)/dashboard!$C84),1),1-dashboard!$E84),1)</f>
        <v>1</v>
      </c>
    </row>
    <row r="109" spans="1:33" ht="12.9" customHeight="1">
      <c r="A109" s="38" t="s">
        <v>875</v>
      </c>
      <c r="B109" s="38"/>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row>
    <row r="110" spans="1:33" ht="12.9" customHeight="1">
      <c r="A110" s="57" t="s">
        <v>877</v>
      </c>
      <c r="B110" s="38" t="s">
        <v>874</v>
      </c>
      <c r="C110" s="312">
        <f>C107*parameters!$B$71</f>
        <v>70.876666666666651</v>
      </c>
      <c r="D110" s="312">
        <f>D107*parameters!$B$71</f>
        <v>70.876666666666651</v>
      </c>
      <c r="E110" s="312">
        <f>E107*parameters!$B$71</f>
        <v>70.876666666666651</v>
      </c>
      <c r="F110" s="312">
        <f>F107*parameters!$B$71</f>
        <v>70.876666666666651</v>
      </c>
      <c r="G110" s="312">
        <f>G107*parameters!$B$71</f>
        <v>70.876666666666651</v>
      </c>
      <c r="H110" s="312">
        <f>H107*parameters!$B$71</f>
        <v>70.876666666666651</v>
      </c>
      <c r="I110" s="312">
        <f>I107*parameters!$B$71</f>
        <v>70.876666666666651</v>
      </c>
      <c r="J110" s="312">
        <f>J107*parameters!$B$71</f>
        <v>70.876666666666651</v>
      </c>
      <c r="K110" s="312">
        <f>K107*parameters!$B$71</f>
        <v>70.876666666666651</v>
      </c>
      <c r="L110" s="312">
        <f>L107*parameters!$B$71</f>
        <v>70.876666666666651</v>
      </c>
      <c r="M110" s="312">
        <f>M107*parameters!$B$71</f>
        <v>70.876666666666651</v>
      </c>
      <c r="N110" s="312">
        <f>N107*parameters!$B$71</f>
        <v>70.876666666666651</v>
      </c>
      <c r="O110" s="312">
        <f>O107*parameters!$B$71</f>
        <v>70.876666666666651</v>
      </c>
      <c r="P110" s="312">
        <f>P107*parameters!$B$71</f>
        <v>70.876666666666651</v>
      </c>
      <c r="Q110" s="312">
        <f>Q107*parameters!$B$71</f>
        <v>70.876666666666651</v>
      </c>
      <c r="R110" s="312">
        <f>R107*parameters!$B$71</f>
        <v>70.876666666666651</v>
      </c>
      <c r="S110" s="312">
        <f>S107*parameters!$B$71</f>
        <v>70.876666666666651</v>
      </c>
      <c r="T110" s="312">
        <f>T107*parameters!$B$71</f>
        <v>70.876666666666651</v>
      </c>
      <c r="U110" s="312">
        <f>U107*parameters!$B$71</f>
        <v>70.876666666666651</v>
      </c>
      <c r="V110" s="312">
        <f>V107*parameters!$B$71</f>
        <v>70.876666666666651</v>
      </c>
      <c r="W110" s="312">
        <f>W107*parameters!$B$71</f>
        <v>70.876666666666651</v>
      </c>
      <c r="X110" s="312">
        <f>X107*parameters!$B$71</f>
        <v>70.876666666666651</v>
      </c>
      <c r="Y110" s="312">
        <f>Y107*parameters!$B$71</f>
        <v>70.876666666666651</v>
      </c>
      <c r="Z110" s="312">
        <f>Z107*parameters!$B$71</f>
        <v>70.876666666666651</v>
      </c>
      <c r="AA110" s="312">
        <f>AA107*parameters!$B$71</f>
        <v>70.876666666666651</v>
      </c>
      <c r="AB110" s="312">
        <f>AB107*parameters!$B$71</f>
        <v>70.876666666666651</v>
      </c>
      <c r="AC110" s="312">
        <f>AC107*parameters!$B$71</f>
        <v>70.876666666666651</v>
      </c>
      <c r="AD110" s="312">
        <f>AD107*parameters!$B$71</f>
        <v>70.876666666666651</v>
      </c>
      <c r="AE110" s="312">
        <f>AE107*parameters!$B$71</f>
        <v>70.876666666666651</v>
      </c>
      <c r="AF110" s="312">
        <f>AF107*parameters!$B$71</f>
        <v>70.876666666666651</v>
      </c>
      <c r="AG110" s="312">
        <f>AG107*parameters!$B$71</f>
        <v>70.876666666666651</v>
      </c>
    </row>
    <row r="111" spans="1:33" ht="12.9" customHeight="1">
      <c r="A111" s="57" t="s">
        <v>878</v>
      </c>
      <c r="B111" s="38" t="s">
        <v>874</v>
      </c>
      <c r="C111" s="312">
        <f>C108*parameters!$B$80</f>
        <v>73.150000000000006</v>
      </c>
      <c r="D111" s="312">
        <f>D108*parameters!$B$80</f>
        <v>73.150000000000006</v>
      </c>
      <c r="E111" s="312">
        <f>E108*parameters!$B$80</f>
        <v>73.150000000000006</v>
      </c>
      <c r="F111" s="312">
        <f>F108*parameters!$B$80</f>
        <v>73.150000000000006</v>
      </c>
      <c r="G111" s="312">
        <f>G108*parameters!$B$80</f>
        <v>73.150000000000006</v>
      </c>
      <c r="H111" s="312">
        <f>H108*parameters!$B$80</f>
        <v>73.150000000000006</v>
      </c>
      <c r="I111" s="312">
        <f>I108*parameters!$B$80</f>
        <v>73.150000000000006</v>
      </c>
      <c r="J111" s="312">
        <f>J108*parameters!$B$80</f>
        <v>73.150000000000006</v>
      </c>
      <c r="K111" s="312">
        <f>K108*parameters!$B$80</f>
        <v>73.150000000000006</v>
      </c>
      <c r="L111" s="312">
        <f>L108*parameters!$B$80</f>
        <v>73.150000000000006</v>
      </c>
      <c r="M111" s="312">
        <f>M108*parameters!$B$80</f>
        <v>73.150000000000006</v>
      </c>
      <c r="N111" s="312">
        <f>N108*parameters!$B$80</f>
        <v>73.150000000000006</v>
      </c>
      <c r="O111" s="312">
        <f>O108*parameters!$B$80</f>
        <v>73.150000000000006</v>
      </c>
      <c r="P111" s="312">
        <f>P108*parameters!$B$80</f>
        <v>73.150000000000006</v>
      </c>
      <c r="Q111" s="312">
        <f>Q108*parameters!$B$80</f>
        <v>73.150000000000006</v>
      </c>
      <c r="R111" s="312">
        <f>R108*parameters!$B$80</f>
        <v>73.150000000000006</v>
      </c>
      <c r="S111" s="312">
        <f>S108*parameters!$B$80</f>
        <v>73.150000000000006</v>
      </c>
      <c r="T111" s="312">
        <f>T108*parameters!$B$80</f>
        <v>73.150000000000006</v>
      </c>
      <c r="U111" s="312">
        <f>U108*parameters!$B$80</f>
        <v>73.150000000000006</v>
      </c>
      <c r="V111" s="312">
        <f>V108*parameters!$B$80</f>
        <v>73.150000000000006</v>
      </c>
      <c r="W111" s="312">
        <f>W108*parameters!$B$80</f>
        <v>73.150000000000006</v>
      </c>
      <c r="X111" s="312">
        <f>X108*parameters!$B$80</f>
        <v>73.150000000000006</v>
      </c>
      <c r="Y111" s="312">
        <f>Y108*parameters!$B$80</f>
        <v>73.150000000000006</v>
      </c>
      <c r="Z111" s="312">
        <f>Z108*parameters!$B$80</f>
        <v>73.150000000000006</v>
      </c>
      <c r="AA111" s="312">
        <f>AA108*parameters!$B$80</f>
        <v>73.150000000000006</v>
      </c>
      <c r="AB111" s="312">
        <f>AB108*parameters!$B$80</f>
        <v>73.150000000000006</v>
      </c>
      <c r="AC111" s="312">
        <f>AC108*parameters!$B$80</f>
        <v>73.150000000000006</v>
      </c>
      <c r="AD111" s="312">
        <f>AD108*parameters!$B$80</f>
        <v>73.150000000000006</v>
      </c>
      <c r="AE111" s="312">
        <f>AE108*parameters!$B$80</f>
        <v>73.150000000000006</v>
      </c>
      <c r="AF111" s="312">
        <f>AF108*parameters!$B$80</f>
        <v>73.150000000000006</v>
      </c>
      <c r="AG111" s="312">
        <f>AG108*parameters!$B$80</f>
        <v>73.150000000000006</v>
      </c>
    </row>
    <row r="112" spans="1:33" s="291" customFormat="1" ht="12.9" customHeight="1">
      <c r="A112" s="50"/>
      <c r="B112" s="50"/>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row>
    <row r="113" spans="1:39" s="291" customFormat="1" ht="12.9" customHeight="1">
      <c r="A113" s="347" t="s">
        <v>466</v>
      </c>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c r="AF113" s="348"/>
      <c r="AG113" s="349"/>
    </row>
    <row r="114" spans="1:39" s="377" customFormat="1" ht="12.9" customHeight="1">
      <c r="A114" s="379" t="s">
        <v>432</v>
      </c>
      <c r="B114" s="379" t="s">
        <v>429</v>
      </c>
      <c r="C114" s="379">
        <v>2020</v>
      </c>
      <c r="D114" s="379">
        <v>2021</v>
      </c>
      <c r="E114" s="379">
        <v>2022</v>
      </c>
      <c r="F114" s="379">
        <v>2023</v>
      </c>
      <c r="G114" s="379">
        <v>2024</v>
      </c>
      <c r="H114" s="379">
        <v>2025</v>
      </c>
      <c r="I114" s="379">
        <v>2026</v>
      </c>
      <c r="J114" s="379">
        <v>2027</v>
      </c>
      <c r="K114" s="379">
        <v>2028</v>
      </c>
      <c r="L114" s="379">
        <v>2029</v>
      </c>
      <c r="M114" s="379">
        <v>2030</v>
      </c>
      <c r="N114" s="379">
        <v>2031</v>
      </c>
      <c r="O114" s="379">
        <v>2032</v>
      </c>
      <c r="P114" s="379">
        <v>2033</v>
      </c>
      <c r="Q114" s="379">
        <v>2034</v>
      </c>
      <c r="R114" s="379">
        <v>2035</v>
      </c>
      <c r="S114" s="379">
        <v>2036</v>
      </c>
      <c r="T114" s="379">
        <v>2037</v>
      </c>
      <c r="U114" s="379">
        <v>2038</v>
      </c>
      <c r="V114" s="379">
        <v>2039</v>
      </c>
      <c r="W114" s="379">
        <v>2040</v>
      </c>
      <c r="X114" s="379">
        <v>2041</v>
      </c>
      <c r="Y114" s="379">
        <v>2042</v>
      </c>
      <c r="Z114" s="379">
        <v>2043</v>
      </c>
      <c r="AA114" s="379">
        <v>2044</v>
      </c>
      <c r="AB114" s="379">
        <v>2045</v>
      </c>
      <c r="AC114" s="379">
        <v>2046</v>
      </c>
      <c r="AD114" s="379">
        <v>2047</v>
      </c>
      <c r="AE114" s="379">
        <v>2048</v>
      </c>
      <c r="AF114" s="379">
        <v>2049</v>
      </c>
      <c r="AG114" s="379">
        <v>2050</v>
      </c>
    </row>
    <row r="115" spans="1:39" ht="12.9" customHeight="1">
      <c r="A115" s="40" t="s">
        <v>463</v>
      </c>
      <c r="C115" s="45"/>
      <c r="D115" s="45"/>
      <c r="E115" s="45"/>
      <c r="F115" s="45"/>
      <c r="G115" s="45"/>
      <c r="H115" s="45"/>
      <c r="I115" s="45"/>
      <c r="J115" s="45"/>
      <c r="K115" s="45"/>
      <c r="L115" s="45"/>
      <c r="M115" s="45" t="s">
        <v>208</v>
      </c>
      <c r="N115" s="45"/>
      <c r="O115" s="45"/>
      <c r="P115" s="45"/>
      <c r="Q115" s="45"/>
      <c r="R115" s="45"/>
      <c r="S115" s="45"/>
      <c r="T115" s="45"/>
      <c r="U115" s="45"/>
      <c r="V115" s="45"/>
      <c r="W115" s="45"/>
      <c r="X115" s="130"/>
      <c r="Y115" s="130"/>
      <c r="Z115" s="130"/>
      <c r="AA115" s="130"/>
      <c r="AB115" s="130"/>
      <c r="AC115" s="130"/>
      <c r="AD115" s="130"/>
      <c r="AE115" s="130"/>
      <c r="AF115" s="130"/>
      <c r="AG115" s="130"/>
    </row>
    <row r="116" spans="1:39" ht="12.9" customHeight="1">
      <c r="A116" s="57" t="s">
        <v>286</v>
      </c>
      <c r="B116" s="38" t="s">
        <v>1082</v>
      </c>
      <c r="C116" s="230">
        <f>C114-parameters!$B$126</f>
        <v>3</v>
      </c>
      <c r="D116" s="230">
        <f>D114-parameters!$B$126</f>
        <v>4</v>
      </c>
      <c r="E116" s="230">
        <f>E114-parameters!$B$126</f>
        <v>5</v>
      </c>
      <c r="F116" s="230">
        <f>F114-parameters!$B$126</f>
        <v>6</v>
      </c>
      <c r="G116" s="230">
        <f>G114-parameters!$B$126</f>
        <v>7</v>
      </c>
      <c r="H116" s="230">
        <f>H114-parameters!$B$126</f>
        <v>8</v>
      </c>
      <c r="I116" s="230">
        <f>I114-parameters!$B$126</f>
        <v>9</v>
      </c>
      <c r="J116" s="230">
        <f>J114-parameters!$B$126</f>
        <v>10</v>
      </c>
      <c r="K116" s="230">
        <f>K114-parameters!$B$126</f>
        <v>11</v>
      </c>
      <c r="L116" s="230">
        <f>L114-parameters!$B$126</f>
        <v>12</v>
      </c>
      <c r="M116" s="230">
        <f>M114-parameters!$B$126</f>
        <v>13</v>
      </c>
      <c r="N116" s="230">
        <f>N114-parameters!$B$126</f>
        <v>14</v>
      </c>
      <c r="O116" s="230">
        <f>O114-parameters!$B$126</f>
        <v>15</v>
      </c>
      <c r="P116" s="230">
        <f>P114-parameters!$B$126</f>
        <v>16</v>
      </c>
      <c r="Q116" s="230">
        <f>Q114-parameters!$B$126</f>
        <v>17</v>
      </c>
      <c r="R116" s="230">
        <f>R114-parameters!$B$126</f>
        <v>18</v>
      </c>
      <c r="S116" s="230">
        <f>S114-parameters!$B$126</f>
        <v>19</v>
      </c>
      <c r="T116" s="230">
        <f>T114-parameters!$B$126</f>
        <v>20</v>
      </c>
      <c r="U116" s="230">
        <f>U114-parameters!$B$126</f>
        <v>21</v>
      </c>
      <c r="V116" s="230">
        <f>V114-parameters!$B$126</f>
        <v>22</v>
      </c>
      <c r="W116" s="230">
        <f>W114-parameters!$B$126</f>
        <v>23</v>
      </c>
      <c r="X116" s="230">
        <f>X114-parameters!$B$126</f>
        <v>24</v>
      </c>
      <c r="Y116" s="230">
        <f>Y114-parameters!$B$126</f>
        <v>25</v>
      </c>
      <c r="Z116" s="230">
        <f>Z114-parameters!$B$126</f>
        <v>26</v>
      </c>
      <c r="AA116" s="230">
        <f>AA114-parameters!$B$126</f>
        <v>27</v>
      </c>
      <c r="AB116" s="230">
        <f>AB114-parameters!$B$126</f>
        <v>28</v>
      </c>
      <c r="AC116" s="230">
        <f>AC114-parameters!$B$126</f>
        <v>29</v>
      </c>
      <c r="AD116" s="230">
        <f>AD114-parameters!$B$126</f>
        <v>30</v>
      </c>
      <c r="AE116" s="230">
        <f>AE114-parameters!$B$126</f>
        <v>31</v>
      </c>
      <c r="AF116" s="230">
        <f>AF114-parameters!$B$126</f>
        <v>32</v>
      </c>
      <c r="AG116" s="230">
        <f>AG114-parameters!$B$126</f>
        <v>33</v>
      </c>
    </row>
    <row r="117" spans="1:39" ht="12.9" customHeight="1">
      <c r="A117" s="40" t="s">
        <v>130</v>
      </c>
      <c r="B117" s="38" t="s">
        <v>462</v>
      </c>
      <c r="C117" s="354">
        <f>parameters!$B$127*(1+parameters!$B$137)^(C116-1)</f>
        <v>2217.9693982719996</v>
      </c>
      <c r="D117" s="354">
        <f>parameters!$B$127*(1+parameters!$B$137)^(D116-1)</f>
        <v>2279.8507444837887</v>
      </c>
      <c r="E117" s="354">
        <f>parameters!$B$127*(1+parameters!$B$137)^(E116-1)</f>
        <v>2343.4585802548859</v>
      </c>
      <c r="F117" s="354">
        <f>parameters!$B$127*(1+parameters!$B$137)^(F116-1)</f>
        <v>2408.8410746439972</v>
      </c>
      <c r="G117" s="354">
        <f>parameters!$B$127*(1+parameters!$B$137)^(G116-1)</f>
        <v>2476.047740626565</v>
      </c>
      <c r="H117" s="354">
        <f>parameters!$B$127*(1+parameters!$B$137)^(H116-1)</f>
        <v>2545.1294725900461</v>
      </c>
      <c r="I117" s="354">
        <f>parameters!$B$127*(1+parameters!$B$137)^(I116-1)</f>
        <v>2616.1385848753084</v>
      </c>
      <c r="J117" s="354">
        <f>parameters!$B$127*(1+parameters!$B$137)^(J116-1)</f>
        <v>2689.1288513933291</v>
      </c>
      <c r="K117" s="354">
        <f>parameters!$B$127*(1+parameters!$B$137)^(K116-1)</f>
        <v>2764.1555463472032</v>
      </c>
      <c r="L117" s="354">
        <f>parameters!$B$127*(1+parameters!$B$137)^(L116-1)</f>
        <v>2841.2754860902905</v>
      </c>
      <c r="M117" s="354">
        <f>parameters!$B$127*(1+parameters!$B$137)^(M116-1)</f>
        <v>2920.5470721522092</v>
      </c>
      <c r="N117" s="354">
        <f>parameters!$B$127*(1+parameters!$B$137)^(N116-1)</f>
        <v>3002.0303354652551</v>
      </c>
      <c r="O117" s="354">
        <f>parameters!$B$127*(1+parameters!$B$137)^(O116-1)</f>
        <v>3085.7869818247364</v>
      </c>
      <c r="P117" s="354">
        <f>parameters!$B$127*(1+parameters!$B$137)^(P116-1)</f>
        <v>3171.8804386176466</v>
      </c>
      <c r="Q117" s="354">
        <f>parameters!$B$127*(1+parameters!$B$137)^(Q116-1)</f>
        <v>3260.3759028550785</v>
      </c>
      <c r="R117" s="354">
        <f>parameters!$B$127*(1+parameters!$B$137)^(R116-1)</f>
        <v>3351.3403905447353</v>
      </c>
      <c r="S117" s="354">
        <f>parameters!$B$127*(1+parameters!$B$137)^(S116-1)</f>
        <v>3444.8427874409331</v>
      </c>
      <c r="T117" s="354">
        <f>parameters!$B$127*(1+parameters!$B$137)^(T116-1)</f>
        <v>3540.9539012105356</v>
      </c>
      <c r="U117" s="354">
        <f>parameters!$B$127*(1+parameters!$B$137)^(U116-1)</f>
        <v>3639.7465150543094</v>
      </c>
      <c r="V117" s="354">
        <f>parameters!$B$127*(1+parameters!$B$137)^(V116-1)</f>
        <v>3741.2954428243243</v>
      </c>
      <c r="W117" s="354">
        <f>parameters!$B$127*(1+parameters!$B$137)^(W116-1)</f>
        <v>3845.6775856791228</v>
      </c>
      <c r="X117" s="354">
        <f>parameters!$B$127*(1+parameters!$B$137)^(X116-1)</f>
        <v>3952.971990319571</v>
      </c>
      <c r="Y117" s="354">
        <f>parameters!$B$127*(1+parameters!$B$137)^(Y116-1)</f>
        <v>4063.2599088494862</v>
      </c>
      <c r="Z117" s="354">
        <f>parameters!$B$127*(1+parameters!$B$137)^(Z116-1)</f>
        <v>4176.6248603063868</v>
      </c>
      <c r="AA117" s="354">
        <f>parameters!$B$127*(1+parameters!$B$137)^(AA116-1)</f>
        <v>4293.1526939089354</v>
      </c>
      <c r="AB117" s="354">
        <f>parameters!$B$127*(1+parameters!$B$137)^(AB116-1)</f>
        <v>4412.9316540689942</v>
      </c>
      <c r="AC117" s="354">
        <f>parameters!$B$127*(1+parameters!$B$137)^(AC116-1)</f>
        <v>4536.0524472175184</v>
      </c>
      <c r="AD117" s="354">
        <f>parameters!$B$127*(1+parameters!$B$137)^(AD116-1)</f>
        <v>4662.6083104948875</v>
      </c>
      <c r="AE117" s="354">
        <f>parameters!$B$127*(1+parameters!$B$137)^(AE116-1)</f>
        <v>4792.6950823576954</v>
      </c>
      <c r="AF117" s="354">
        <f>parameters!$B$127*(1+parameters!$B$137)^(AF116-1)</f>
        <v>4926.4112751554749</v>
      </c>
      <c r="AG117" s="354">
        <f>parameters!$B$127*(1+parameters!$B$137)^(AG116-1)</f>
        <v>5063.8581497323121</v>
      </c>
    </row>
    <row r="118" spans="1:39" ht="12.9" customHeight="1">
      <c r="A118" s="40" t="s">
        <v>131</v>
      </c>
      <c r="B118" s="38" t="s">
        <v>462</v>
      </c>
      <c r="C118" s="354">
        <f>parameters!$B$128*(1+parameters!$B$137)^(C116-1)</f>
        <v>10053.311873797698</v>
      </c>
      <c r="D118" s="354">
        <f>parameters!$B$128*(1+parameters!$B$137)^(D116-1)</f>
        <v>10333.799275076655</v>
      </c>
      <c r="E118" s="354">
        <f>parameters!$B$128*(1+parameters!$B$137)^(E116-1)</f>
        <v>10622.112274851293</v>
      </c>
      <c r="F118" s="354">
        <f>parameters!$B$128*(1+parameters!$B$137)^(F116-1)</f>
        <v>10918.469207319644</v>
      </c>
      <c r="G118" s="354">
        <f>parameters!$B$128*(1+parameters!$B$137)^(G116-1)</f>
        <v>11223.094498203862</v>
      </c>
      <c r="H118" s="354">
        <f>parameters!$B$128*(1+parameters!$B$137)^(H116-1)</f>
        <v>11536.21883470375</v>
      </c>
      <c r="I118" s="354">
        <f>parameters!$B$128*(1+parameters!$B$137)^(I116-1)</f>
        <v>11858.079340191984</v>
      </c>
      <c r="J118" s="354">
        <f>parameters!$B$128*(1+parameters!$B$137)^(J116-1)</f>
        <v>12188.919753783341</v>
      </c>
      <c r="K118" s="354">
        <f>parameters!$B$128*(1+parameters!$B$137)^(K116-1)</f>
        <v>12528.990614913895</v>
      </c>
      <c r="L118" s="354">
        <f>parameters!$B$128*(1+parameters!$B$137)^(L116-1)</f>
        <v>12878.549453069994</v>
      </c>
      <c r="M118" s="354">
        <f>parameters!$B$128*(1+parameters!$B$137)^(M116-1)</f>
        <v>13237.860982810646</v>
      </c>
      <c r="N118" s="354">
        <f>parameters!$B$128*(1+parameters!$B$137)^(N116-1)</f>
        <v>13607.19730423106</v>
      </c>
      <c r="O118" s="354">
        <f>parameters!$B$128*(1+parameters!$B$137)^(O116-1)</f>
        <v>13986.838109019107</v>
      </c>
      <c r="P118" s="354">
        <f>parameters!$B$128*(1+parameters!$B$137)^(P116-1)</f>
        <v>14377.070892260743</v>
      </c>
      <c r="Q118" s="354">
        <f>parameters!$B$128*(1+parameters!$B$137)^(Q116-1)</f>
        <v>14778.191170154814</v>
      </c>
      <c r="R118" s="354">
        <f>parameters!$B$128*(1+parameters!$B$137)^(R116-1)</f>
        <v>15190.502703802134</v>
      </c>
      <c r="S118" s="354">
        <f>parameters!$B$128*(1+parameters!$B$137)^(S116-1)</f>
        <v>15614.317729238213</v>
      </c>
      <c r="T118" s="354">
        <f>parameters!$B$128*(1+parameters!$B$137)^(T116-1)</f>
        <v>16049.957193883962</v>
      </c>
      <c r="U118" s="354">
        <f>parameters!$B$128*(1+parameters!$B$137)^(U116-1)</f>
        <v>16497.750999593321</v>
      </c>
      <c r="V118" s="354">
        <f>parameters!$B$128*(1+parameters!$B$137)^(V116-1)</f>
        <v>16958.038252481976</v>
      </c>
      <c r="W118" s="354">
        <f>parameters!$B$128*(1+parameters!$B$137)^(W116-1)</f>
        <v>17431.167519726223</v>
      </c>
      <c r="X118" s="354">
        <f>parameters!$B$128*(1+parameters!$B$137)^(X116-1)</f>
        <v>17917.497093526585</v>
      </c>
      <c r="Y118" s="354">
        <f>parameters!$B$128*(1+parameters!$B$137)^(Y116-1)</f>
        <v>18417.395262435974</v>
      </c>
      <c r="Z118" s="354">
        <f>parameters!$B$128*(1+parameters!$B$137)^(Z116-1)</f>
        <v>18931.240590257938</v>
      </c>
      <c r="AA118" s="354">
        <f>parameters!$B$128*(1+parameters!$B$137)^(AA116-1)</f>
        <v>19459.422202726135</v>
      </c>
      <c r="AB118" s="354">
        <f>parameters!$B$128*(1+parameters!$B$137)^(AB116-1)</f>
        <v>20002.340082182192</v>
      </c>
      <c r="AC118" s="354">
        <f>parameters!$B$128*(1+parameters!$B$137)^(AC116-1)</f>
        <v>20560.405370475073</v>
      </c>
      <c r="AD118" s="354">
        <f>parameters!$B$128*(1+parameters!$B$137)^(AD116-1)</f>
        <v>21134.040680311326</v>
      </c>
      <c r="AE118" s="354">
        <f>parameters!$B$128*(1+parameters!$B$137)^(AE116-1)</f>
        <v>21723.680415292016</v>
      </c>
      <c r="AF118" s="354">
        <f>parameters!$B$128*(1+parameters!$B$137)^(AF116-1)</f>
        <v>22329.77109887866</v>
      </c>
      <c r="AG118" s="354">
        <f>parameters!$B$128*(1+parameters!$B$137)^(AG116-1)</f>
        <v>22952.771712537375</v>
      </c>
    </row>
    <row r="119" spans="1:39" ht="12.9" customHeight="1">
      <c r="A119" s="40" t="s">
        <v>132</v>
      </c>
      <c r="B119" s="38" t="s">
        <v>462</v>
      </c>
      <c r="C119" s="354">
        <f>parameters!$B$129*(1+parameters!$B$137)^(C116-1)</f>
        <v>4042.7542728306998</v>
      </c>
      <c r="D119" s="354">
        <f>parameters!$B$129*(1+parameters!$B$137)^(D116-1)</f>
        <v>4155.5471170426772</v>
      </c>
      <c r="E119" s="354">
        <f>parameters!$B$129*(1+parameters!$B$137)^(E116-1)</f>
        <v>4271.4868816081671</v>
      </c>
      <c r="F119" s="354">
        <f>parameters!$B$129*(1+parameters!$B$137)^(F116-1)</f>
        <v>4390.661365605034</v>
      </c>
      <c r="G119" s="354">
        <f>parameters!$B$129*(1+parameters!$B$137)^(G116-1)</f>
        <v>4513.160817705415</v>
      </c>
      <c r="H119" s="354">
        <f>parameters!$B$129*(1+parameters!$B$137)^(H116-1)</f>
        <v>4639.0780045193969</v>
      </c>
      <c r="I119" s="354">
        <f>parameters!$B$129*(1+parameters!$B$137)^(I116-1)</f>
        <v>4768.5082808454872</v>
      </c>
      <c r="J119" s="354">
        <f>parameters!$B$129*(1+parameters!$B$137)^(J116-1)</f>
        <v>4901.5496618810757</v>
      </c>
      <c r="K119" s="354">
        <f>parameters!$B$129*(1+parameters!$B$137)^(K116-1)</f>
        <v>5038.3028974475583</v>
      </c>
      <c r="L119" s="354">
        <f>parameters!$B$129*(1+parameters!$B$137)^(L116-1)</f>
        <v>5178.8715482863454</v>
      </c>
      <c r="M119" s="354">
        <f>parameters!$B$129*(1+parameters!$B$137)^(M116-1)</f>
        <v>5323.3620644835337</v>
      </c>
      <c r="N119" s="354">
        <f>parameters!$B$129*(1+parameters!$B$137)^(N116-1)</f>
        <v>5471.8838660826232</v>
      </c>
      <c r="O119" s="354">
        <f>parameters!$B$129*(1+parameters!$B$137)^(O116-1)</f>
        <v>5624.5494259463294</v>
      </c>
      <c r="P119" s="354">
        <f>parameters!$B$129*(1+parameters!$B$137)^(P116-1)</f>
        <v>5781.474354930232</v>
      </c>
      <c r="Q119" s="354">
        <f>parameters!$B$129*(1+parameters!$B$137)^(Q116-1)</f>
        <v>5942.7774894327849</v>
      </c>
      <c r="R119" s="354">
        <f>parameters!$B$129*(1+parameters!$B$137)^(R116-1)</f>
        <v>6108.5809813879596</v>
      </c>
      <c r="S119" s="354">
        <f>parameters!$B$129*(1+parameters!$B$137)^(S116-1)</f>
        <v>6279.0103907686835</v>
      </c>
      <c r="T119" s="354">
        <f>parameters!$B$129*(1+parameters!$B$137)^(T116-1)</f>
        <v>6454.1947806711305</v>
      </c>
      <c r="U119" s="354">
        <f>parameters!$B$129*(1+parameters!$B$137)^(U116-1)</f>
        <v>6634.2668150518548</v>
      </c>
      <c r="V119" s="354">
        <f>parameters!$B$129*(1+parameters!$B$137)^(V116-1)</f>
        <v>6819.3628591918005</v>
      </c>
      <c r="W119" s="354">
        <f>parameters!$B$129*(1+parameters!$B$137)^(W116-1)</f>
        <v>7009.6230829632523</v>
      </c>
      <c r="X119" s="354">
        <f>parameters!$B$129*(1+parameters!$B$137)^(X116-1)</f>
        <v>7205.1915669779273</v>
      </c>
      <c r="Y119" s="354">
        <f>parameters!$B$129*(1+parameters!$B$137)^(Y116-1)</f>
        <v>7406.2164116966105</v>
      </c>
      <c r="Z119" s="354">
        <f>parameters!$B$129*(1+parameters!$B$137)^(Z116-1)</f>
        <v>7612.8498495829454</v>
      </c>
      <c r="AA119" s="354">
        <f>parameters!$B$129*(1+parameters!$B$137)^(AA116-1)</f>
        <v>7825.2483603863102</v>
      </c>
      <c r="AB119" s="354">
        <f>parameters!$B$129*(1+parameters!$B$137)^(AB116-1)</f>
        <v>8043.572789641089</v>
      </c>
      <c r="AC119" s="354">
        <f>parameters!$B$129*(1+parameters!$B$137)^(AC116-1)</f>
        <v>8267.9884704720735</v>
      </c>
      <c r="AD119" s="354">
        <f>parameters!$B$129*(1+parameters!$B$137)^(AD116-1)</f>
        <v>8498.6653487982439</v>
      </c>
      <c r="AE119" s="354">
        <f>parameters!$B$129*(1+parameters!$B$137)^(AE116-1)</f>
        <v>8735.7781120297168</v>
      </c>
      <c r="AF119" s="354">
        <f>parameters!$B$129*(1+parameters!$B$137)^(AF116-1)</f>
        <v>8979.506321355344</v>
      </c>
      <c r="AG119" s="354">
        <f>parameters!$B$129*(1+parameters!$B$137)^(AG116-1)</f>
        <v>9230.0345477211577</v>
      </c>
    </row>
    <row r="120" spans="1:39" ht="12.9" customHeight="1">
      <c r="A120" s="40" t="s">
        <v>89</v>
      </c>
      <c r="C120" s="45"/>
      <c r="D120" s="45"/>
      <c r="E120" s="45"/>
      <c r="F120" s="45"/>
      <c r="G120" s="45"/>
      <c r="H120" s="45"/>
      <c r="I120" s="45"/>
      <c r="J120" s="45"/>
      <c r="K120" s="45"/>
      <c r="L120" s="45"/>
      <c r="M120" s="45"/>
      <c r="N120" s="45"/>
      <c r="O120" s="45"/>
      <c r="P120" s="45"/>
      <c r="Q120" s="45"/>
      <c r="R120" s="45"/>
      <c r="S120" s="45"/>
      <c r="T120" s="45"/>
      <c r="U120" s="45"/>
      <c r="V120" s="45"/>
      <c r="W120" s="45"/>
      <c r="X120" s="130"/>
      <c r="Y120" s="130"/>
      <c r="Z120" s="130"/>
      <c r="AA120" s="130"/>
      <c r="AB120" s="130"/>
      <c r="AC120" s="130"/>
      <c r="AD120" s="130"/>
      <c r="AE120" s="130"/>
      <c r="AF120" s="130"/>
      <c r="AG120" s="130"/>
      <c r="AH120" s="55"/>
      <c r="AI120" s="55"/>
      <c r="AJ120" s="55"/>
      <c r="AK120" s="55"/>
      <c r="AL120" s="55"/>
      <c r="AM120" s="55"/>
    </row>
    <row r="121" spans="1:39" s="55" customFormat="1" ht="12.9" customHeight="1">
      <c r="A121" s="69" t="s">
        <v>200</v>
      </c>
      <c r="B121" s="69"/>
      <c r="C121" s="355">
        <f>parameters!$B$135*(1+parameters!$B$138)^(C116)</f>
        <v>2831471.094906853</v>
      </c>
      <c r="D121" s="355">
        <f>parameters!$B$135*(1+parameters!$B$138)^(D116)</f>
        <v>2857189.3468618919</v>
      </c>
      <c r="E121" s="355">
        <f>parameters!$B$135*(1+parameters!$B$138)^(E116)</f>
        <v>2883141.1976994383</v>
      </c>
      <c r="F121" s="355">
        <f>parameters!$B$135*(1+parameters!$B$138)^(F116)</f>
        <v>2909328.769198142</v>
      </c>
      <c r="G121" s="355">
        <f>parameters!$B$135*(1+parameters!$B$138)^(G116)</f>
        <v>2935754.2024087692</v>
      </c>
      <c r="H121" s="355">
        <f>parameters!$B$135*(1+parameters!$B$138)^(H116)</f>
        <v>2962419.6578292474</v>
      </c>
      <c r="I121" s="355">
        <f>parameters!$B$135*(1+parameters!$B$138)^(I116)</f>
        <v>2989327.3155813105</v>
      </c>
      <c r="J121" s="355">
        <f>parameters!$B$135*(1+parameters!$B$138)^(J116)</f>
        <v>3016479.3755887356</v>
      </c>
      <c r="K121" s="355">
        <f>parameters!$B$135*(1+parameters!$B$138)^(K116)</f>
        <v>3043878.0577572081</v>
      </c>
      <c r="L121" s="355">
        <f>parameters!$B$135*(1+parameters!$B$138)^(L116)</f>
        <v>3071525.6021558163</v>
      </c>
      <c r="M121" s="355">
        <f>parameters!$B$135*(1+parameters!$B$138)^(M116)</f>
        <v>3099424.2692001974</v>
      </c>
      <c r="N121" s="355">
        <f>parameters!$B$135*(1+parameters!$B$138)^(N116)</f>
        <v>3127576.3398373425</v>
      </c>
      <c r="O121" s="355">
        <f>parameters!$B$135*(1+parameters!$B$138)^(O116)</f>
        <v>3155984.1157320859</v>
      </c>
      <c r="P121" s="355">
        <f>parameters!$B$135*(1+parameters!$B$138)^(P116)</f>
        <v>3184649.9194552796</v>
      </c>
      <c r="Q121" s="355">
        <f>parameters!$B$135*(1+parameters!$B$138)^(Q116)</f>
        <v>3213576.0946736918</v>
      </c>
      <c r="R121" s="355">
        <f>parameters!$B$135*(1+parameters!$B$138)^(R116)</f>
        <v>3242765.0063416129</v>
      </c>
      <c r="S121" s="355">
        <f>parameters!$B$135*(1+parameters!$B$138)^(S116)</f>
        <v>3272219.0408942141</v>
      </c>
      <c r="T121" s="355">
        <f>parameters!$B$135*(1+parameters!$B$138)^(T116)</f>
        <v>3301940.6064426559</v>
      </c>
      <c r="U121" s="355">
        <f>parameters!$B$135*(1+parameters!$B$138)^(U116)</f>
        <v>3331932.1329709738</v>
      </c>
      <c r="V121" s="355">
        <f>parameters!$B$135*(1+parameters!$B$138)^(V116)</f>
        <v>3362196.0725347498</v>
      </c>
      <c r="W121" s="355">
        <f>parameters!$B$135*(1+parameters!$B$138)^(W116)</f>
        <v>3392734.8994615828</v>
      </c>
      <c r="X121" s="355">
        <f>parameters!$B$135*(1+parameters!$B$138)^(X116)</f>
        <v>3423551.1105533917</v>
      </c>
      <c r="Y121" s="355">
        <f>parameters!$B$135*(1+parameters!$B$138)^(Y116)</f>
        <v>3454647.2252905485</v>
      </c>
      <c r="Z121" s="355">
        <f>parameters!$B$135*(1+parameters!$B$138)^(Z116)</f>
        <v>3486025.7860378623</v>
      </c>
      <c r="AA121" s="355">
        <f>parameters!$B$135*(1+parameters!$B$138)^(AA116)</f>
        <v>3517689.3582524443</v>
      </c>
      <c r="AB121" s="355">
        <f>parameters!$B$135*(1+parameters!$B$138)^(AB116)</f>
        <v>3549640.5306934509</v>
      </c>
      <c r="AC121" s="355">
        <f>parameters!$B$135*(1+parameters!$B$138)^(AC116)</f>
        <v>3581881.9156337394</v>
      </c>
      <c r="AD121" s="355">
        <f>parameters!$B$135*(1+parameters!$B$138)^(AD116)</f>
        <v>3614416.1490734401</v>
      </c>
      <c r="AE121" s="355">
        <f>parameters!$B$135*(1+parameters!$B$138)^(AE116)</f>
        <v>3647245.8909554747</v>
      </c>
      <c r="AF121" s="355">
        <f>parameters!$B$135*(1+parameters!$B$138)^(AF116)</f>
        <v>3680373.8253830224</v>
      </c>
      <c r="AG121" s="355">
        <f>parameters!$B$135*(1+parameters!$B$138)^(AG116)</f>
        <v>3713802.660838976</v>
      </c>
      <c r="AH121" s="40"/>
      <c r="AI121" s="40"/>
      <c r="AJ121" s="40"/>
      <c r="AK121" s="40"/>
      <c r="AL121" s="40"/>
      <c r="AM121" s="40"/>
    </row>
    <row r="122" spans="1:39" ht="12.9" customHeight="1">
      <c r="X122" s="224"/>
      <c r="Y122" s="224"/>
      <c r="Z122" s="224"/>
      <c r="AA122" s="224"/>
      <c r="AB122" s="224"/>
      <c r="AC122" s="224"/>
      <c r="AD122" s="224"/>
      <c r="AE122" s="224"/>
      <c r="AF122" s="224"/>
      <c r="AG122" s="224"/>
      <c r="AH122" s="40" t="s">
        <v>1051</v>
      </c>
    </row>
    <row r="123" spans="1:39" ht="12.9" customHeight="1">
      <c r="A123" s="53" t="s">
        <v>1025</v>
      </c>
      <c r="C123" s="355">
        <v>7554121.0340197785</v>
      </c>
      <c r="D123" s="355">
        <v>7632683.8927735835</v>
      </c>
      <c r="E123" s="355">
        <v>7712063.8052584287</v>
      </c>
      <c r="F123" s="355">
        <v>7791498.0624525901</v>
      </c>
      <c r="G123" s="355">
        <v>7870971.3426896064</v>
      </c>
      <c r="H123" s="355">
        <v>7949681.0561165027</v>
      </c>
      <c r="I123" s="355">
        <v>8027587.9304664452</v>
      </c>
      <c r="J123" s="355">
        <v>8105455.5333919702</v>
      </c>
      <c r="K123" s="355">
        <v>8182457.3609591946</v>
      </c>
      <c r="L123" s="355">
        <v>8258554.2144161155</v>
      </c>
      <c r="M123" s="355">
        <v>8334532.9131887443</v>
      </c>
      <c r="N123" s="355">
        <v>8408710.2561161239</v>
      </c>
      <c r="O123" s="355">
        <v>8481866.0353443343</v>
      </c>
      <c r="P123" s="355">
        <v>8553961.8966447599</v>
      </c>
      <c r="Q123" s="355">
        <v>8624959.7803869117</v>
      </c>
      <c r="R123" s="355">
        <v>8694821.9546080455</v>
      </c>
      <c r="S123" s="355">
        <v>8763511.0480494499</v>
      </c>
      <c r="T123" s="355">
        <v>8830990.0831194315</v>
      </c>
      <c r="U123" s="355">
        <v>8898105.6077511404</v>
      </c>
      <c r="V123" s="355">
        <v>8964841.3998092748</v>
      </c>
      <c r="W123" s="355">
        <v>9030284.7420278825</v>
      </c>
      <c r="X123" s="355">
        <f>W123*(1+X124)</f>
        <v>9094158.956103161</v>
      </c>
      <c r="Y123" s="355">
        <f t="shared" ref="Y123:AG123" si="0">X123*(1+Y124)</f>
        <v>9156993.531717198</v>
      </c>
      <c r="Z123" s="355">
        <f t="shared" si="0"/>
        <v>9218786.5519791897</v>
      </c>
      <c r="AA123" s="355">
        <f t="shared" si="0"/>
        <v>9279525.4900279455</v>
      </c>
      <c r="AB123" s="355">
        <f t="shared" si="0"/>
        <v>9339180.3727455474</v>
      </c>
      <c r="AC123" s="355">
        <f t="shared" si="0"/>
        <v>9397694.9074763469</v>
      </c>
      <c r="AD123" s="355">
        <f t="shared" si="0"/>
        <v>9454975.2174056415</v>
      </c>
      <c r="AE123" s="355">
        <f t="shared" si="0"/>
        <v>9510875.8314984944</v>
      </c>
      <c r="AF123" s="355">
        <f t="shared" si="0"/>
        <v>9565436.2266820595</v>
      </c>
      <c r="AG123" s="355">
        <f t="shared" si="0"/>
        <v>9618778.3521288149</v>
      </c>
    </row>
    <row r="124" spans="1:39" ht="12.9" customHeight="1">
      <c r="N124" s="356">
        <f t="shared" ref="N124:S124" si="1">(N123-M123)/M123</f>
        <v>8.8999999999999652E-3</v>
      </c>
      <c r="O124" s="356">
        <f t="shared" si="1"/>
        <v>8.7000000000000202E-3</v>
      </c>
      <c r="P124" s="356">
        <f t="shared" si="1"/>
        <v>8.4999999999998549E-3</v>
      </c>
      <c r="Q124" s="356">
        <f t="shared" si="1"/>
        <v>8.3000000000000313E-3</v>
      </c>
      <c r="R124" s="356">
        <f t="shared" si="1"/>
        <v>8.0999999999999805E-3</v>
      </c>
      <c r="S124" s="356">
        <f t="shared" si="1"/>
        <v>7.9000000000000962E-3</v>
      </c>
      <c r="T124" s="356">
        <f t="shared" ref="T124:W124" si="2">(T123-S123)/S123</f>
        <v>7.7000000000000939E-3</v>
      </c>
      <c r="U124" s="356">
        <f t="shared" si="2"/>
        <v>7.6000000000001336E-3</v>
      </c>
      <c r="V124" s="356">
        <f t="shared" si="2"/>
        <v>7.5000000000001012E-3</v>
      </c>
      <c r="W124" s="356">
        <f t="shared" si="2"/>
        <v>7.2999999999999957E-3</v>
      </c>
      <c r="X124" s="356">
        <f>TREND(N124:W124,N116:W116,X116:AG116)</f>
        <v>7.0733333333334461E-3</v>
      </c>
      <c r="Y124" s="356">
        <f t="shared" ref="Y124:AG124" si="3">TREND(O124:X124,O116:X116,Y116:AH116)</f>
        <v>6.9093333333334634E-3</v>
      </c>
      <c r="Z124" s="356">
        <f t="shared" si="3"/>
        <v>6.748177777777936E-3</v>
      </c>
      <c r="AA124" s="356">
        <f t="shared" si="3"/>
        <v>6.5886044444445936E-3</v>
      </c>
      <c r="AB124" s="356">
        <f t="shared" si="3"/>
        <v>6.4286565925927531E-3</v>
      </c>
      <c r="AC124" s="356">
        <f t="shared" si="3"/>
        <v>6.2654893037038598E-3</v>
      </c>
      <c r="AD124" s="356">
        <f t="shared" si="3"/>
        <v>6.0951446597532523E-3</v>
      </c>
      <c r="AE124" s="356">
        <f t="shared" si="3"/>
        <v>5.9122962046421557E-3</v>
      </c>
      <c r="AF124" s="356">
        <f t="shared" si="3"/>
        <v>5.7366320568364186E-3</v>
      </c>
      <c r="AG124" s="356">
        <f t="shared" si="3"/>
        <v>5.5765491695989097E-3</v>
      </c>
    </row>
  </sheetData>
  <phoneticPr fontId="7"/>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AV48"/>
  <sheetViews>
    <sheetView workbookViewId="0">
      <selection activeCell="B4" sqref="B4"/>
    </sheetView>
  </sheetViews>
  <sheetFormatPr defaultColWidth="9.33203125" defaultRowHeight="12"/>
  <cols>
    <col min="1" max="1" width="33.33203125" style="40" customWidth="1"/>
    <col min="2" max="37" width="8.88671875" style="40" customWidth="1"/>
    <col min="38" max="16384" width="9.33203125" style="40"/>
  </cols>
  <sheetData>
    <row r="1" spans="1:48" ht="26.15" customHeight="1">
      <c r="A1" s="281" t="s">
        <v>413</v>
      </c>
      <c r="B1" s="295" t="s">
        <v>1216</v>
      </c>
    </row>
    <row r="2" spans="1:48" ht="12.9" customHeight="1">
      <c r="A2" s="53" t="s">
        <v>414</v>
      </c>
      <c r="B2" s="41" t="str">
        <f>'consumption scenario A'!C2</f>
        <v>reference case: AEO 2019</v>
      </c>
      <c r="E2" s="40" t="s">
        <v>1102</v>
      </c>
    </row>
    <row r="3" spans="1:48" ht="12.9" customHeight="1">
      <c r="A3" s="53" t="s">
        <v>357</v>
      </c>
      <c r="B3" s="41" t="s">
        <v>1471</v>
      </c>
      <c r="H3" s="1"/>
      <c r="K3" s="1"/>
      <c r="M3"/>
      <c r="N3"/>
      <c r="O3"/>
      <c r="AV3" s="253" t="s">
        <v>1394</v>
      </c>
    </row>
    <row r="4" spans="1:48" ht="12.9" customHeight="1">
      <c r="D4" s="40" t="s">
        <v>19</v>
      </c>
      <c r="E4" s="40" t="s">
        <v>19</v>
      </c>
      <c r="F4" s="40" t="s">
        <v>19</v>
      </c>
      <c r="G4" s="40" t="s">
        <v>19</v>
      </c>
      <c r="M4"/>
      <c r="N4"/>
      <c r="O4"/>
      <c r="P4" s="40" t="s">
        <v>19</v>
      </c>
      <c r="Q4" s="40" t="s">
        <v>19</v>
      </c>
      <c r="R4" s="40" t="s">
        <v>19</v>
      </c>
      <c r="S4" s="40" t="s">
        <v>19</v>
      </c>
      <c r="T4" s="40" t="s">
        <v>19</v>
      </c>
      <c r="U4" s="40" t="s">
        <v>19</v>
      </c>
      <c r="V4" s="40" t="s">
        <v>19</v>
      </c>
      <c r="W4" s="40" t="s">
        <v>19</v>
      </c>
      <c r="X4" s="40" t="s">
        <v>19</v>
      </c>
      <c r="Y4" s="40" t="s">
        <v>19</v>
      </c>
      <c r="Z4" s="40" t="s">
        <v>19</v>
      </c>
      <c r="AA4" s="40" t="s">
        <v>19</v>
      </c>
      <c r="AB4" s="40" t="s">
        <v>19</v>
      </c>
      <c r="AC4" s="40" t="s">
        <v>19</v>
      </c>
      <c r="AD4" s="40" t="s">
        <v>19</v>
      </c>
      <c r="AE4" s="40" t="s">
        <v>19</v>
      </c>
      <c r="AF4" s="40" t="s">
        <v>19</v>
      </c>
      <c r="AV4" s="471" t="s">
        <v>1217</v>
      </c>
    </row>
    <row r="5" spans="1:48" ht="12.9" customHeight="1">
      <c r="A5" s="282" t="s">
        <v>20</v>
      </c>
      <c r="B5" s="282">
        <v>2005</v>
      </c>
      <c r="C5" s="282">
        <v>2006</v>
      </c>
      <c r="D5" s="282">
        <v>2007</v>
      </c>
      <c r="E5" s="282">
        <v>2008</v>
      </c>
      <c r="F5" s="282">
        <v>2009</v>
      </c>
      <c r="G5" s="282">
        <v>2010</v>
      </c>
      <c r="H5" s="282">
        <v>2011</v>
      </c>
      <c r="I5" s="282">
        <v>2012</v>
      </c>
      <c r="J5" s="282">
        <v>2013</v>
      </c>
      <c r="K5" s="282">
        <v>2014</v>
      </c>
      <c r="L5" s="282">
        <v>2015</v>
      </c>
      <c r="M5" s="282">
        <v>2016</v>
      </c>
      <c r="N5" s="282">
        <v>2017</v>
      </c>
      <c r="O5" s="282">
        <v>2018</v>
      </c>
      <c r="P5" s="282">
        <v>2019</v>
      </c>
      <c r="Q5" s="282">
        <v>2020</v>
      </c>
      <c r="R5" s="282">
        <v>2021</v>
      </c>
      <c r="S5" s="282">
        <v>2022</v>
      </c>
      <c r="T5" s="282">
        <v>2023</v>
      </c>
      <c r="U5" s="282">
        <v>2024</v>
      </c>
      <c r="V5" s="282">
        <v>2025</v>
      </c>
      <c r="W5" s="282">
        <v>2026</v>
      </c>
      <c r="X5" s="282">
        <v>2027</v>
      </c>
      <c r="Y5" s="282">
        <v>2028</v>
      </c>
      <c r="Z5" s="282">
        <v>2029</v>
      </c>
      <c r="AA5" s="282">
        <v>2030</v>
      </c>
      <c r="AB5" s="282">
        <v>2031</v>
      </c>
      <c r="AC5" s="282">
        <v>2032</v>
      </c>
      <c r="AD5" s="282">
        <v>2033</v>
      </c>
      <c r="AE5" s="282">
        <v>2034</v>
      </c>
      <c r="AF5" s="282">
        <v>2035</v>
      </c>
      <c r="AG5" s="282">
        <v>2036</v>
      </c>
      <c r="AH5" s="282">
        <v>2037</v>
      </c>
      <c r="AI5" s="282">
        <v>2038</v>
      </c>
      <c r="AJ5" s="282">
        <v>2039</v>
      </c>
      <c r="AK5" s="282">
        <v>2040</v>
      </c>
      <c r="AL5" s="282">
        <v>2041</v>
      </c>
      <c r="AM5" s="282">
        <v>2042</v>
      </c>
      <c r="AN5" s="282">
        <v>2043</v>
      </c>
      <c r="AO5" s="282">
        <v>2044</v>
      </c>
      <c r="AP5" s="282">
        <v>2045</v>
      </c>
      <c r="AQ5" s="282">
        <v>2046</v>
      </c>
      <c r="AR5" s="282">
        <v>2047</v>
      </c>
      <c r="AS5" s="282">
        <v>2048</v>
      </c>
      <c r="AT5" s="282">
        <v>2049</v>
      </c>
      <c r="AU5" s="282">
        <v>2050</v>
      </c>
      <c r="AV5" s="254" t="s">
        <v>1218</v>
      </c>
    </row>
    <row r="6" spans="1:48" ht="12.9" customHeight="1">
      <c r="A6" s="40" t="s">
        <v>21</v>
      </c>
      <c r="H6" s="1"/>
      <c r="I6" s="142"/>
      <c r="K6" s="156"/>
      <c r="M6" s="1"/>
      <c r="N6" s="142"/>
      <c r="O6" s="142"/>
    </row>
    <row r="7" spans="1:48" ht="12.9" customHeight="1">
      <c r="A7" s="40" t="s">
        <v>22</v>
      </c>
      <c r="B7" s="296">
        <v>26.051241846129606</v>
      </c>
      <c r="C7" s="296">
        <v>30.66863980999922</v>
      </c>
      <c r="D7" s="296">
        <v>33.494805329687082</v>
      </c>
      <c r="E7" s="296">
        <v>39.750843853397861</v>
      </c>
      <c r="F7" s="296">
        <v>33.68748039407636</v>
      </c>
      <c r="G7" s="296">
        <v>32.896204367100005</v>
      </c>
      <c r="H7" s="296">
        <v>26.402289025800002</v>
      </c>
      <c r="I7" s="296">
        <v>32.827971883030571</v>
      </c>
      <c r="J7" s="296">
        <v>31.825563371076825</v>
      </c>
      <c r="K7" s="296">
        <v>30.970272137119878</v>
      </c>
      <c r="L7" s="296">
        <v>21.634897387147461</v>
      </c>
      <c r="M7" s="296">
        <v>20.895941805744414</v>
      </c>
      <c r="N7" s="296">
        <v>21.402353005899997</v>
      </c>
      <c r="O7" s="296">
        <v>24.026717999999999</v>
      </c>
      <c r="P7" s="296">
        <v>26.796012999999999</v>
      </c>
      <c r="Q7" s="296">
        <v>28.587838999999999</v>
      </c>
      <c r="R7" s="296">
        <v>29.957803999999999</v>
      </c>
      <c r="S7" s="296">
        <v>31.268070000000002</v>
      </c>
      <c r="T7" s="296">
        <v>32.335315999999999</v>
      </c>
      <c r="U7" s="296">
        <v>33.417403999999998</v>
      </c>
      <c r="V7" s="296">
        <v>34.504601000000001</v>
      </c>
      <c r="W7" s="296">
        <v>35.468609000000001</v>
      </c>
      <c r="X7" s="296">
        <v>36.250328000000003</v>
      </c>
      <c r="Y7" s="296">
        <v>36.863334999999999</v>
      </c>
      <c r="Z7" s="296">
        <v>39.643250000000002</v>
      </c>
      <c r="AA7" s="296">
        <v>39.921745000000001</v>
      </c>
      <c r="AB7" s="296">
        <v>40.455536000000002</v>
      </c>
      <c r="AC7" s="296">
        <v>40.727454999999999</v>
      </c>
      <c r="AD7" s="296">
        <v>41.05162</v>
      </c>
      <c r="AE7" s="296">
        <v>41.385154999999997</v>
      </c>
      <c r="AF7" s="296">
        <v>41.698093</v>
      </c>
      <c r="AG7" s="296">
        <v>42.020218</v>
      </c>
      <c r="AH7" s="296">
        <v>42.283904999999997</v>
      </c>
      <c r="AI7" s="296">
        <v>42.494765999999998</v>
      </c>
      <c r="AJ7" s="296">
        <v>42.687435000000001</v>
      </c>
      <c r="AK7" s="296">
        <v>42.861911999999997</v>
      </c>
      <c r="AL7" s="296">
        <v>42.983058999999997</v>
      </c>
      <c r="AM7" s="296">
        <v>43.113213000000002</v>
      </c>
      <c r="AN7" s="296">
        <v>43.250655999999999</v>
      </c>
      <c r="AO7" s="296">
        <v>43.383381</v>
      </c>
      <c r="AP7" s="296">
        <v>43.481276999999999</v>
      </c>
      <c r="AQ7" s="296">
        <v>43.538116000000002</v>
      </c>
      <c r="AR7" s="296">
        <v>43.567355999999997</v>
      </c>
      <c r="AS7" s="296">
        <v>43.578364999999998</v>
      </c>
      <c r="AT7" s="296">
        <v>43.536366000000001</v>
      </c>
      <c r="AU7" s="296">
        <v>43.428074000000002</v>
      </c>
      <c r="AV7" s="297">
        <v>2.5234090440483803E-2</v>
      </c>
    </row>
    <row r="8" spans="1:48" ht="12.9" customHeight="1">
      <c r="A8" s="40" t="s">
        <v>23</v>
      </c>
      <c r="B8" s="296">
        <v>20.654778534439036</v>
      </c>
      <c r="C8" s="296">
        <v>21.813877535660978</v>
      </c>
      <c r="D8" s="296">
        <v>26.118203975052712</v>
      </c>
      <c r="E8" s="296">
        <v>28.360250296964857</v>
      </c>
      <c r="F8" s="296">
        <v>20.84400916446355</v>
      </c>
      <c r="G8" s="296">
        <v>23.640661560000002</v>
      </c>
      <c r="H8" s="296">
        <v>28.773628173599999</v>
      </c>
      <c r="I8" s="296">
        <v>33.762666430365009</v>
      </c>
      <c r="J8" s="296">
        <v>33.676814796651236</v>
      </c>
      <c r="K8" s="296">
        <v>32.484117417178155</v>
      </c>
      <c r="L8" s="296">
        <v>21.74043992991864</v>
      </c>
      <c r="M8" s="296">
        <v>16.891901336801794</v>
      </c>
      <c r="N8" s="296">
        <v>19.135932534824992</v>
      </c>
      <c r="O8" s="296">
        <v>21.856318000000002</v>
      </c>
      <c r="P8" s="296">
        <v>22.591221000000001</v>
      </c>
      <c r="Q8" s="296">
        <v>23.243964999999999</v>
      </c>
      <c r="R8" s="296">
        <v>23.554289000000001</v>
      </c>
      <c r="S8" s="296">
        <v>23.604921000000001</v>
      </c>
      <c r="T8" s="296">
        <v>24.158328999999998</v>
      </c>
      <c r="U8" s="296">
        <v>25.019112</v>
      </c>
      <c r="V8" s="296">
        <v>25.380568</v>
      </c>
      <c r="W8" s="296">
        <v>25.860652999999999</v>
      </c>
      <c r="X8" s="296">
        <v>26.504989999999999</v>
      </c>
      <c r="Y8" s="296">
        <v>26.697690999999999</v>
      </c>
      <c r="Z8" s="296">
        <v>27.409008</v>
      </c>
      <c r="AA8" s="296">
        <v>27.506865999999999</v>
      </c>
      <c r="AB8" s="296">
        <v>27.744880999999999</v>
      </c>
      <c r="AC8" s="296">
        <v>28.070539</v>
      </c>
      <c r="AD8" s="296">
        <v>28.330863999999998</v>
      </c>
      <c r="AE8" s="296">
        <v>28.383526</v>
      </c>
      <c r="AF8" s="296">
        <v>28.622097</v>
      </c>
      <c r="AG8" s="296">
        <v>28.966367999999999</v>
      </c>
      <c r="AH8" s="296">
        <v>28.927399000000001</v>
      </c>
      <c r="AI8" s="296">
        <v>29.101818000000002</v>
      </c>
      <c r="AJ8" s="296">
        <v>29.279848000000001</v>
      </c>
      <c r="AK8" s="296">
        <v>29.387568000000002</v>
      </c>
      <c r="AL8" s="296">
        <v>29.473253</v>
      </c>
      <c r="AM8" s="296">
        <v>29.748391999999999</v>
      </c>
      <c r="AN8" s="296">
        <v>29.797965999999999</v>
      </c>
      <c r="AO8" s="296">
        <v>29.766047</v>
      </c>
      <c r="AP8" s="296">
        <v>29.832816999999999</v>
      </c>
      <c r="AQ8" s="296">
        <v>29.854174</v>
      </c>
      <c r="AR8" s="296">
        <v>29.867487000000001</v>
      </c>
      <c r="AS8" s="296">
        <v>29.929006999999999</v>
      </c>
      <c r="AT8" s="296">
        <v>29.874903</v>
      </c>
      <c r="AU8" s="296">
        <v>29.852502999999999</v>
      </c>
      <c r="AV8" s="297">
        <v>1.1432885504777149E-2</v>
      </c>
    </row>
    <row r="9" spans="1:48" ht="12.9" customHeight="1">
      <c r="A9" s="40" t="s">
        <v>24</v>
      </c>
      <c r="B9" s="296">
        <v>14.064256366483393</v>
      </c>
      <c r="C9" s="296">
        <v>13.948068335222674</v>
      </c>
      <c r="D9" s="296">
        <v>13.786249584779203</v>
      </c>
      <c r="E9" s="296">
        <v>14.349725806705393</v>
      </c>
      <c r="F9" s="296">
        <v>13.021244137356957</v>
      </c>
      <c r="G9" s="296">
        <v>10.983029568600001</v>
      </c>
      <c r="H9" s="296">
        <v>10.777743023399999</v>
      </c>
      <c r="I9" s="296">
        <v>11.547649323472024</v>
      </c>
      <c r="J9" s="296">
        <v>11.940632153851961</v>
      </c>
      <c r="K9" s="296">
        <v>13.096351886482942</v>
      </c>
      <c r="L9" s="296">
        <v>13.012680876274734</v>
      </c>
      <c r="M9" s="296">
        <v>13.148625335831495</v>
      </c>
      <c r="N9" s="296">
        <v>12.857657429724997</v>
      </c>
      <c r="O9" s="296">
        <v>11.889313</v>
      </c>
      <c r="P9" s="296">
        <v>12.122930999999999</v>
      </c>
      <c r="Q9" s="296">
        <v>11.971394999999999</v>
      </c>
      <c r="R9" s="296">
        <v>11.630845000000001</v>
      </c>
      <c r="S9" s="296">
        <v>11.380217</v>
      </c>
      <c r="T9" s="296">
        <v>11.209633999999999</v>
      </c>
      <c r="U9" s="296">
        <v>11.029769999999999</v>
      </c>
      <c r="V9" s="296">
        <v>11.248926000000001</v>
      </c>
      <c r="W9" s="296">
        <v>11.379861999999999</v>
      </c>
      <c r="X9" s="296">
        <v>11.423484999999999</v>
      </c>
      <c r="Y9" s="296">
        <v>11.505354000000001</v>
      </c>
      <c r="Z9" s="296">
        <v>13.708961</v>
      </c>
      <c r="AA9" s="296">
        <v>13.769283</v>
      </c>
      <c r="AB9" s="296">
        <v>14.109347</v>
      </c>
      <c r="AC9" s="296">
        <v>14.221469000000001</v>
      </c>
      <c r="AD9" s="296">
        <v>14.314843</v>
      </c>
      <c r="AE9" s="296">
        <v>14.380561</v>
      </c>
      <c r="AF9" s="296">
        <v>14.443552</v>
      </c>
      <c r="AG9" s="296">
        <v>14.509767999999999</v>
      </c>
      <c r="AH9" s="296">
        <v>14.567409</v>
      </c>
      <c r="AI9" s="296">
        <v>14.599546</v>
      </c>
      <c r="AJ9" s="296">
        <v>14.637878000000001</v>
      </c>
      <c r="AK9" s="296">
        <v>14.706719</v>
      </c>
      <c r="AL9" s="296">
        <v>14.735201999999999</v>
      </c>
      <c r="AM9" s="296">
        <v>14.787333</v>
      </c>
      <c r="AN9" s="296">
        <v>14.861799</v>
      </c>
      <c r="AO9" s="296">
        <v>14.948676000000001</v>
      </c>
      <c r="AP9" s="296">
        <v>15.048655999999999</v>
      </c>
      <c r="AQ9" s="296">
        <v>15.131309</v>
      </c>
      <c r="AR9" s="296">
        <v>15.234745999999999</v>
      </c>
      <c r="AS9" s="296">
        <v>15.360277999999999</v>
      </c>
      <c r="AT9" s="296">
        <v>15.482372</v>
      </c>
      <c r="AU9" s="296">
        <v>15.578808</v>
      </c>
      <c r="AV9" s="297">
        <v>9.6975089098924414E-3</v>
      </c>
    </row>
    <row r="10" spans="1:48" ht="12.9" customHeight="1">
      <c r="A10" s="46" t="s">
        <v>8</v>
      </c>
      <c r="B10" s="296">
        <v>24.437607720489037</v>
      </c>
      <c r="C10" s="296">
        <v>26.748142607449822</v>
      </c>
      <c r="D10" s="296">
        <v>26.864904992864833</v>
      </c>
      <c r="E10" s="296">
        <v>25.673123481965842</v>
      </c>
      <c r="F10" s="296">
        <v>24.417329661592778</v>
      </c>
      <c r="G10" s="296">
        <v>24.222396268240214</v>
      </c>
      <c r="H10" s="296">
        <v>24.41365919630044</v>
      </c>
      <c r="I10" s="296">
        <v>28.925176719202749</v>
      </c>
      <c r="J10" s="296">
        <v>29.8739966865467</v>
      </c>
      <c r="K10" s="296">
        <v>29.552729330044723</v>
      </c>
      <c r="L10" s="296">
        <v>29.694798988934249</v>
      </c>
      <c r="M10" s="296">
        <v>29.672949676700952</v>
      </c>
      <c r="N10" s="296">
        <v>29.207648354107935</v>
      </c>
      <c r="O10" s="296">
        <v>27.575151236615874</v>
      </c>
      <c r="P10" s="296">
        <v>27.542566225754992</v>
      </c>
      <c r="Q10" s="296">
        <v>26.600343896313685</v>
      </c>
      <c r="R10" s="296">
        <v>25.622671137859996</v>
      </c>
      <c r="S10" s="296">
        <v>26.221300521308109</v>
      </c>
      <c r="T10" s="296">
        <v>27.224410822255582</v>
      </c>
      <c r="U10" s="296">
        <v>27.56659084626428</v>
      </c>
      <c r="V10" s="296">
        <v>28.480106434729503</v>
      </c>
      <c r="W10" s="296">
        <v>29.55864389082495</v>
      </c>
      <c r="X10" s="296">
        <v>29.989531918289302</v>
      </c>
      <c r="Y10" s="296">
        <v>30.350353237294357</v>
      </c>
      <c r="Z10" s="296">
        <v>30.890642855581209</v>
      </c>
      <c r="AA10" s="296">
        <v>31.470906108270643</v>
      </c>
      <c r="AB10" s="296">
        <v>32.089297849103687</v>
      </c>
      <c r="AC10" s="296">
        <v>32.654235999620774</v>
      </c>
      <c r="AD10" s="296">
        <v>32.994755763004356</v>
      </c>
      <c r="AE10" s="296">
        <v>33.327149215350623</v>
      </c>
      <c r="AF10" s="296">
        <v>33.685840948660008</v>
      </c>
      <c r="AG10" s="296">
        <v>34.226002569200347</v>
      </c>
      <c r="AH10" s="296">
        <v>34.632915443883533</v>
      </c>
      <c r="AI10" s="296">
        <v>34.840374438776834</v>
      </c>
      <c r="AJ10" s="296">
        <v>35.018346339282921</v>
      </c>
      <c r="AK10" s="296">
        <v>35.159025137904067</v>
      </c>
      <c r="AL10" s="296">
        <v>35.456284136351336</v>
      </c>
      <c r="AM10" s="296">
        <v>35.779292323979554</v>
      </c>
      <c r="AN10" s="296">
        <v>35.950744377919101</v>
      </c>
      <c r="AO10" s="296">
        <v>36.170148592460784</v>
      </c>
      <c r="AP10" s="296">
        <v>36.483411637648878</v>
      </c>
      <c r="AQ10" s="296">
        <v>36.797538513039314</v>
      </c>
      <c r="AR10" s="296">
        <v>37.036655617237805</v>
      </c>
      <c r="AS10" s="296">
        <v>37.276187632005929</v>
      </c>
      <c r="AT10" s="296">
        <v>37.464016595687028</v>
      </c>
      <c r="AU10" s="296">
        <v>37.579128617374664</v>
      </c>
      <c r="AV10" s="297">
        <v>0</v>
      </c>
    </row>
    <row r="11" spans="1:48" ht="12.9" customHeight="1">
      <c r="B11" s="138"/>
      <c r="C11" s="138"/>
      <c r="D11" s="138"/>
      <c r="E11" s="138"/>
      <c r="F11" s="138"/>
      <c r="G11" s="138"/>
      <c r="H11" s="138"/>
      <c r="I11" s="138"/>
      <c r="J11" s="138"/>
      <c r="K11" s="139"/>
      <c r="L11" s="138"/>
      <c r="M11" s="139"/>
      <c r="N11" s="178"/>
      <c r="O11" s="17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96"/>
      <c r="AM11" s="196"/>
      <c r="AN11" s="196"/>
      <c r="AO11" s="196"/>
      <c r="AP11" s="196"/>
      <c r="AQ11" s="196"/>
      <c r="AR11" s="196"/>
      <c r="AS11" s="196"/>
      <c r="AT11" s="196"/>
      <c r="AU11" s="196"/>
      <c r="AV11" s="199"/>
    </row>
    <row r="12" spans="1:48" ht="12.9" customHeight="1">
      <c r="A12" s="40" t="s">
        <v>77</v>
      </c>
      <c r="B12" s="139"/>
      <c r="C12" s="138"/>
      <c r="D12" s="138"/>
      <c r="E12" s="138"/>
      <c r="F12" s="138"/>
      <c r="G12" s="138"/>
      <c r="H12" s="138"/>
      <c r="I12" s="138"/>
      <c r="J12" s="138"/>
      <c r="K12" s="139"/>
      <c r="L12" s="138"/>
      <c r="M12" s="139"/>
      <c r="N12" s="178"/>
      <c r="O12" s="17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96"/>
      <c r="AM12" s="196"/>
      <c r="AN12" s="196"/>
      <c r="AO12" s="196"/>
      <c r="AP12" s="196"/>
      <c r="AQ12" s="196"/>
      <c r="AR12" s="196"/>
      <c r="AS12" s="196"/>
      <c r="AT12" s="196"/>
      <c r="AU12" s="196"/>
      <c r="AV12" s="199"/>
    </row>
    <row r="13" spans="1:48" ht="12.9" customHeight="1">
      <c r="A13" s="40" t="s">
        <v>22</v>
      </c>
      <c r="B13" s="296">
        <v>22.273055432643208</v>
      </c>
      <c r="C13" s="296">
        <v>27.821644812554112</v>
      </c>
      <c r="D13" s="296">
        <v>27.880069095901991</v>
      </c>
      <c r="E13" s="296">
        <v>31.033551188957645</v>
      </c>
      <c r="F13" s="296">
        <v>23.517310056456335</v>
      </c>
      <c r="G13" s="296">
        <v>26.521402959300005</v>
      </c>
      <c r="H13" s="296">
        <v>23.188544743200001</v>
      </c>
      <c r="I13" s="296">
        <v>26.507598792581543</v>
      </c>
      <c r="J13" s="296">
        <v>25.322604411743573</v>
      </c>
      <c r="K13" s="296">
        <v>25.548612004249346</v>
      </c>
      <c r="L13" s="296">
        <v>18.214250867579299</v>
      </c>
      <c r="M13" s="296">
        <v>17.493409780397585</v>
      </c>
      <c r="N13" s="296">
        <v>17.896012854399995</v>
      </c>
      <c r="O13" s="296">
        <v>19.493424999999998</v>
      </c>
      <c r="P13" s="296">
        <v>20.568432000000001</v>
      </c>
      <c r="Q13" s="296">
        <v>20.724325</v>
      </c>
      <c r="R13" s="296">
        <v>21.057566000000001</v>
      </c>
      <c r="S13" s="296">
        <v>21.630219</v>
      </c>
      <c r="T13" s="296">
        <v>22.039038000000001</v>
      </c>
      <c r="U13" s="296">
        <v>22.586746000000002</v>
      </c>
      <c r="V13" s="296">
        <v>23.164100999999999</v>
      </c>
      <c r="W13" s="296">
        <v>23.612912999999999</v>
      </c>
      <c r="X13" s="296">
        <v>23.919976999999999</v>
      </c>
      <c r="Y13" s="296">
        <v>24.134181999999999</v>
      </c>
      <c r="Z13" s="296">
        <v>26.199290999999999</v>
      </c>
      <c r="AA13" s="296">
        <v>26.254795000000001</v>
      </c>
      <c r="AB13" s="296">
        <v>26.579574999999998</v>
      </c>
      <c r="AC13" s="296">
        <v>26.747864</v>
      </c>
      <c r="AD13" s="296">
        <v>26.953564</v>
      </c>
      <c r="AE13" s="296">
        <v>27.146222999999999</v>
      </c>
      <c r="AF13" s="296">
        <v>27.308767</v>
      </c>
      <c r="AG13" s="296">
        <v>27.485765000000001</v>
      </c>
      <c r="AH13" s="296">
        <v>27.601700000000001</v>
      </c>
      <c r="AI13" s="296">
        <v>27.685053</v>
      </c>
      <c r="AJ13" s="296">
        <v>27.774585999999999</v>
      </c>
      <c r="AK13" s="296">
        <v>27.858264999999999</v>
      </c>
      <c r="AL13" s="296">
        <v>27.898174000000001</v>
      </c>
      <c r="AM13" s="296">
        <v>27.969211999999999</v>
      </c>
      <c r="AN13" s="296">
        <v>28.049977999999999</v>
      </c>
      <c r="AO13" s="296">
        <v>28.124182000000001</v>
      </c>
      <c r="AP13" s="296">
        <v>28.164836999999999</v>
      </c>
      <c r="AQ13" s="296">
        <v>28.177430999999999</v>
      </c>
      <c r="AR13" s="296">
        <v>28.180620000000001</v>
      </c>
      <c r="AS13" s="296">
        <v>28.179376999999999</v>
      </c>
      <c r="AT13" s="296">
        <v>28.135705999999999</v>
      </c>
      <c r="AU13" s="296">
        <v>28.047127</v>
      </c>
      <c r="AV13" s="297">
        <v>1.3712479335981237E-2</v>
      </c>
    </row>
    <row r="14" spans="1:48" ht="12.9" customHeight="1">
      <c r="A14" s="40" t="s">
        <v>23</v>
      </c>
      <c r="B14" s="296">
        <v>18.336578255962607</v>
      </c>
      <c r="C14" s="296">
        <v>19.362665933700775</v>
      </c>
      <c r="D14" s="296">
        <v>21.16174832675086</v>
      </c>
      <c r="E14" s="296">
        <v>25.764433837219542</v>
      </c>
      <c r="F14" s="296">
        <v>18.926205218183977</v>
      </c>
      <c r="G14" s="296">
        <v>23.231780717700001</v>
      </c>
      <c r="H14" s="296">
        <v>28.271112897599998</v>
      </c>
      <c r="I14" s="296">
        <v>33.159286638489348</v>
      </c>
      <c r="J14" s="296">
        <v>33.073435004775575</v>
      </c>
      <c r="K14" s="296">
        <v>31.922558113485184</v>
      </c>
      <c r="L14" s="296">
        <v>20.081025704897051</v>
      </c>
      <c r="M14" s="296">
        <v>16.07795196826989</v>
      </c>
      <c r="N14" s="296">
        <v>20.674324284824994</v>
      </c>
      <c r="O14" s="296">
        <v>23.525245999999999</v>
      </c>
      <c r="P14" s="296">
        <v>24.190204999999999</v>
      </c>
      <c r="Q14" s="296">
        <v>23.796192000000001</v>
      </c>
      <c r="R14" s="296">
        <v>23.166775000000001</v>
      </c>
      <c r="S14" s="296">
        <v>22.382401000000002</v>
      </c>
      <c r="T14" s="296">
        <v>22.009723999999999</v>
      </c>
      <c r="U14" s="296">
        <v>22.047388000000002</v>
      </c>
      <c r="V14" s="296">
        <v>22.581669000000002</v>
      </c>
      <c r="W14" s="296">
        <v>23.029392000000001</v>
      </c>
      <c r="X14" s="296">
        <v>23.689896000000001</v>
      </c>
      <c r="Y14" s="296">
        <v>23.948902</v>
      </c>
      <c r="Z14" s="296">
        <v>26.725059999999999</v>
      </c>
      <c r="AA14" s="296">
        <v>26.887356</v>
      </c>
      <c r="AB14" s="296">
        <v>27.432673999999999</v>
      </c>
      <c r="AC14" s="296">
        <v>27.753166</v>
      </c>
      <c r="AD14" s="296">
        <v>27.991185999999999</v>
      </c>
      <c r="AE14" s="296">
        <v>28.077691999999999</v>
      </c>
      <c r="AF14" s="296">
        <v>28.326263000000001</v>
      </c>
      <c r="AG14" s="296">
        <v>28.663737999999999</v>
      </c>
      <c r="AH14" s="296">
        <v>28.615437</v>
      </c>
      <c r="AI14" s="296">
        <v>28.797667000000001</v>
      </c>
      <c r="AJ14" s="296">
        <v>28.956769999999999</v>
      </c>
      <c r="AK14" s="296">
        <v>29.057278</v>
      </c>
      <c r="AL14" s="296">
        <v>29.105346999999998</v>
      </c>
      <c r="AM14" s="296">
        <v>29.331168999999999</v>
      </c>
      <c r="AN14" s="296">
        <v>29.343067000000001</v>
      </c>
      <c r="AO14" s="296">
        <v>29.232641000000001</v>
      </c>
      <c r="AP14" s="296">
        <v>29.265039000000002</v>
      </c>
      <c r="AQ14" s="296">
        <v>29.204478999999999</v>
      </c>
      <c r="AR14" s="296">
        <v>29.103828</v>
      </c>
      <c r="AS14" s="296">
        <v>29.147362000000001</v>
      </c>
      <c r="AT14" s="296">
        <v>29.093060999999999</v>
      </c>
      <c r="AU14" s="296">
        <v>29.073174999999999</v>
      </c>
      <c r="AV14" s="297">
        <v>7.3696479624485115E-3</v>
      </c>
    </row>
    <row r="15" spans="1:48" ht="12.9" customHeight="1">
      <c r="A15" s="40" t="s">
        <v>43</v>
      </c>
      <c r="B15" s="296">
        <v>12.921112351189148</v>
      </c>
      <c r="C15" s="296">
        <v>6.0615216361345912</v>
      </c>
      <c r="D15" s="296">
        <v>5.8083483068085409</v>
      </c>
      <c r="E15" s="296">
        <v>10.712581042967264</v>
      </c>
      <c r="F15" s="296">
        <v>6.4120503501815724</v>
      </c>
      <c r="G15" s="296">
        <v>12.935456585700001</v>
      </c>
      <c r="H15" s="296">
        <v>21.757031170800001</v>
      </c>
      <c r="I15" s="296">
        <v>20.778513714611861</v>
      </c>
      <c r="J15" s="296">
        <v>20.067517086109078</v>
      </c>
      <c r="K15" s="296">
        <v>14.79496045157877</v>
      </c>
      <c r="L15" s="296">
        <v>12.141037887954141</v>
      </c>
      <c r="M15" s="296">
        <v>8.5961481409439155</v>
      </c>
      <c r="N15" s="296">
        <v>11.024877150699997</v>
      </c>
      <c r="O15" s="296">
        <v>13.332437000000001</v>
      </c>
      <c r="P15" s="296">
        <v>9.8787369999999992</v>
      </c>
      <c r="Q15" s="296">
        <v>10.265613999999999</v>
      </c>
      <c r="R15" s="296">
        <v>10.486031000000001</v>
      </c>
      <c r="S15" s="296">
        <v>10.528746999999999</v>
      </c>
      <c r="T15" s="296">
        <v>10.947609</v>
      </c>
      <c r="U15" s="296">
        <v>11.540540999999999</v>
      </c>
      <c r="V15" s="296">
        <v>11.762791</v>
      </c>
      <c r="W15" s="296">
        <v>12.160868000000001</v>
      </c>
      <c r="X15" s="296">
        <v>12.705256</v>
      </c>
      <c r="Y15" s="296">
        <v>12.901865000000001</v>
      </c>
      <c r="Z15" s="296">
        <v>13.316670999999999</v>
      </c>
      <c r="AA15" s="296">
        <v>13.421931000000001</v>
      </c>
      <c r="AB15" s="296">
        <v>13.621895</v>
      </c>
      <c r="AC15" s="296">
        <v>13.856438000000001</v>
      </c>
      <c r="AD15" s="296">
        <v>14.002591000000001</v>
      </c>
      <c r="AE15" s="296">
        <v>14.099449</v>
      </c>
      <c r="AF15" s="296">
        <v>14.282861</v>
      </c>
      <c r="AG15" s="296">
        <v>14.554171999999999</v>
      </c>
      <c r="AH15" s="296">
        <v>14.690308</v>
      </c>
      <c r="AI15" s="296">
        <v>14.760121</v>
      </c>
      <c r="AJ15" s="296">
        <v>14.88829</v>
      </c>
      <c r="AK15" s="296">
        <v>14.982219000000001</v>
      </c>
      <c r="AL15" s="296">
        <v>15.077785</v>
      </c>
      <c r="AM15" s="296">
        <v>15.395372</v>
      </c>
      <c r="AN15" s="296">
        <v>15.406392</v>
      </c>
      <c r="AO15" s="296">
        <v>15.300700000000001</v>
      </c>
      <c r="AP15" s="296">
        <v>15.311681</v>
      </c>
      <c r="AQ15" s="296">
        <v>15.316814000000001</v>
      </c>
      <c r="AR15" s="296">
        <v>15.346301</v>
      </c>
      <c r="AS15" s="296">
        <v>15.366849999999999</v>
      </c>
      <c r="AT15" s="296">
        <v>15.336262</v>
      </c>
      <c r="AU15" s="296">
        <v>15.342311</v>
      </c>
      <c r="AV15" s="297">
        <v>4.7109588817108227E-3</v>
      </c>
    </row>
    <row r="16" spans="1:48" ht="12.9" customHeight="1">
      <c r="A16" s="40" t="s">
        <v>24</v>
      </c>
      <c r="B16" s="296">
        <v>12.4588911739857</v>
      </c>
      <c r="C16" s="296">
        <v>12.138027530451193</v>
      </c>
      <c r="D16" s="296">
        <v>12.253838968934737</v>
      </c>
      <c r="E16" s="296">
        <v>13.109720213375745</v>
      </c>
      <c r="F16" s="296">
        <v>10.911478280941965</v>
      </c>
      <c r="G16" s="296">
        <v>9.4729120800000004</v>
      </c>
      <c r="H16" s="296">
        <v>9.3063090174000003</v>
      </c>
      <c r="I16" s="296">
        <v>9.4340062849977713</v>
      </c>
      <c r="J16" s="296">
        <v>9.6516583141312768</v>
      </c>
      <c r="K16" s="296">
        <v>10.628701200965779</v>
      </c>
      <c r="L16" s="296">
        <v>9.8059545564290662</v>
      </c>
      <c r="M16" s="296">
        <v>9.9554157355696002</v>
      </c>
      <c r="N16" s="296">
        <v>9.669041221699997</v>
      </c>
      <c r="O16" s="296">
        <v>8.9304830000000006</v>
      </c>
      <c r="P16" s="296">
        <v>8.8499870000000005</v>
      </c>
      <c r="Q16" s="296">
        <v>8.9983559999999994</v>
      </c>
      <c r="R16" s="296">
        <v>8.9759429999999991</v>
      </c>
      <c r="S16" s="296">
        <v>9.0340520000000009</v>
      </c>
      <c r="T16" s="296">
        <v>9.1708800000000004</v>
      </c>
      <c r="U16" s="296">
        <v>9.3041149999999995</v>
      </c>
      <c r="V16" s="296">
        <v>9.5073319999999999</v>
      </c>
      <c r="W16" s="296">
        <v>9.6193120000000008</v>
      </c>
      <c r="X16" s="296">
        <v>9.6459609999999998</v>
      </c>
      <c r="Y16" s="296">
        <v>9.7137619999999991</v>
      </c>
      <c r="Z16" s="296">
        <v>11.751372</v>
      </c>
      <c r="AA16" s="296">
        <v>11.780252000000001</v>
      </c>
      <c r="AB16" s="296">
        <v>12.08018</v>
      </c>
      <c r="AC16" s="296">
        <v>12.178845000000001</v>
      </c>
      <c r="AD16" s="296">
        <v>12.261047</v>
      </c>
      <c r="AE16" s="296">
        <v>12.317386000000001</v>
      </c>
      <c r="AF16" s="296">
        <v>12.371734</v>
      </c>
      <c r="AG16" s="296">
        <v>12.42972</v>
      </c>
      <c r="AH16" s="296">
        <v>12.479036000000001</v>
      </c>
      <c r="AI16" s="296">
        <v>12.504175999999999</v>
      </c>
      <c r="AJ16" s="296">
        <v>12.535812</v>
      </c>
      <c r="AK16" s="296">
        <v>12.597868999999999</v>
      </c>
      <c r="AL16" s="296">
        <v>12.619534</v>
      </c>
      <c r="AM16" s="296">
        <v>12.665647999999999</v>
      </c>
      <c r="AN16" s="296">
        <v>12.734216</v>
      </c>
      <c r="AO16" s="296">
        <v>12.814878</v>
      </c>
      <c r="AP16" s="296">
        <v>12.909483</v>
      </c>
      <c r="AQ16" s="296">
        <v>12.987532</v>
      </c>
      <c r="AR16" s="296">
        <v>13.086663</v>
      </c>
      <c r="AS16" s="296">
        <v>13.207452999999999</v>
      </c>
      <c r="AT16" s="296">
        <v>13.325372</v>
      </c>
      <c r="AU16" s="296">
        <v>13.418079000000001</v>
      </c>
      <c r="AV16" s="297">
        <v>1.5703224002553948E-2</v>
      </c>
    </row>
    <row r="17" spans="1:48" ht="12.9" customHeight="1">
      <c r="A17" s="46" t="s">
        <v>8</v>
      </c>
      <c r="B17" s="296">
        <v>23.1460737255574</v>
      </c>
      <c r="C17" s="296">
        <v>24.624666882854779</v>
      </c>
      <c r="D17" s="296">
        <v>24.228302186069008</v>
      </c>
      <c r="E17" s="296">
        <v>23.393087422468135</v>
      </c>
      <c r="F17" s="296">
        <v>22.521179950466806</v>
      </c>
      <c r="G17" s="296">
        <v>23.088380996261964</v>
      </c>
      <c r="H17" s="296">
        <v>21.771570740789318</v>
      </c>
      <c r="I17" s="296">
        <v>25.425098586245213</v>
      </c>
      <c r="J17" s="296">
        <v>26.676530267276746</v>
      </c>
      <c r="K17" s="296">
        <v>28.139399716162046</v>
      </c>
      <c r="L17" s="296">
        <v>27.245925460011041</v>
      </c>
      <c r="M17" s="296">
        <v>25.768592421209323</v>
      </c>
      <c r="N17" s="296">
        <v>26.338304717148926</v>
      </c>
      <c r="O17" s="296">
        <v>24.646125513338959</v>
      </c>
      <c r="P17" s="296">
        <v>23.893430360659401</v>
      </c>
      <c r="Q17" s="296">
        <v>23.033947248830618</v>
      </c>
      <c r="R17" s="296">
        <v>22.275983611036121</v>
      </c>
      <c r="S17" s="296">
        <v>23.25219663304982</v>
      </c>
      <c r="T17" s="296">
        <v>23.847248851109224</v>
      </c>
      <c r="U17" s="296">
        <v>23.99585799084738</v>
      </c>
      <c r="V17" s="296">
        <v>25.088270182436698</v>
      </c>
      <c r="W17" s="296">
        <v>25.665060205842028</v>
      </c>
      <c r="X17" s="296">
        <v>25.82691722089999</v>
      </c>
      <c r="Y17" s="296">
        <v>25.867856782365696</v>
      </c>
      <c r="Z17" s="296">
        <v>26.104392539422285</v>
      </c>
      <c r="AA17" s="296">
        <v>26.469404086059296</v>
      </c>
      <c r="AB17" s="296">
        <v>26.72742068470945</v>
      </c>
      <c r="AC17" s="296">
        <v>26.98046837183302</v>
      </c>
      <c r="AD17" s="296">
        <v>26.993920877143303</v>
      </c>
      <c r="AE17" s="296">
        <v>27.006399178579631</v>
      </c>
      <c r="AF17" s="296">
        <v>27.068338966531588</v>
      </c>
      <c r="AG17" s="296">
        <v>27.350507211463636</v>
      </c>
      <c r="AH17" s="296">
        <v>27.457269813005983</v>
      </c>
      <c r="AI17" s="296">
        <v>27.390266169929554</v>
      </c>
      <c r="AJ17" s="296">
        <v>27.287458175638253</v>
      </c>
      <c r="AK17" s="296">
        <v>27.134609008143613</v>
      </c>
      <c r="AL17" s="296">
        <v>27.148088640196146</v>
      </c>
      <c r="AM17" s="296">
        <v>27.139409851810587</v>
      </c>
      <c r="AN17" s="296">
        <v>26.993329396219831</v>
      </c>
      <c r="AO17" s="296">
        <v>26.870858052065913</v>
      </c>
      <c r="AP17" s="296">
        <v>26.828478414413656</v>
      </c>
      <c r="AQ17" s="296">
        <v>26.77571690073178</v>
      </c>
      <c r="AR17" s="296">
        <v>26.656152245981438</v>
      </c>
      <c r="AS17" s="296">
        <v>26.554588543563042</v>
      </c>
      <c r="AT17" s="296">
        <v>26.408098238279553</v>
      </c>
      <c r="AU17" s="296">
        <v>26.210475792984731</v>
      </c>
      <c r="AV17" s="297">
        <v>0</v>
      </c>
    </row>
    <row r="18" spans="1:48" ht="12.9" customHeight="1">
      <c r="B18" s="138"/>
      <c r="C18" s="138"/>
      <c r="D18" s="138"/>
      <c r="E18" s="138"/>
      <c r="F18" s="138"/>
      <c r="G18" s="138"/>
      <c r="H18" s="138"/>
      <c r="I18" s="138"/>
      <c r="J18" s="138"/>
      <c r="K18" s="139"/>
      <c r="L18" s="138"/>
      <c r="M18" s="139"/>
      <c r="N18" s="178"/>
      <c r="O18" s="17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96"/>
      <c r="AM18" s="196"/>
      <c r="AN18" s="196"/>
      <c r="AO18" s="196"/>
      <c r="AP18" s="196"/>
      <c r="AQ18" s="196"/>
      <c r="AR18" s="196"/>
      <c r="AS18" s="196"/>
      <c r="AT18" s="196"/>
      <c r="AU18" s="196"/>
      <c r="AV18" s="199"/>
    </row>
    <row r="19" spans="1:48" ht="12.9" customHeight="1">
      <c r="A19" s="40" t="s">
        <v>78</v>
      </c>
      <c r="B19" s="139"/>
      <c r="C19" s="138"/>
      <c r="D19" s="138"/>
      <c r="E19" s="138"/>
      <c r="F19" s="138"/>
      <c r="G19" s="138"/>
      <c r="H19" s="138"/>
      <c r="I19" s="138"/>
      <c r="J19" s="138"/>
      <c r="K19" s="139"/>
      <c r="L19" s="138"/>
      <c r="M19" s="139"/>
      <c r="N19" s="178"/>
      <c r="O19" s="17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96"/>
      <c r="AM19" s="196"/>
      <c r="AN19" s="196"/>
      <c r="AO19" s="196"/>
      <c r="AP19" s="196"/>
      <c r="AQ19" s="196"/>
      <c r="AR19" s="196"/>
      <c r="AS19" s="196"/>
      <c r="AT19" s="196"/>
      <c r="AU19" s="196"/>
      <c r="AV19" s="199"/>
    </row>
    <row r="20" spans="1:48" ht="12.9" customHeight="1">
      <c r="A20" s="40" t="s">
        <v>22</v>
      </c>
      <c r="B20" s="296">
        <v>21.509851978559478</v>
      </c>
      <c r="C20" s="296">
        <v>26.868314656148534</v>
      </c>
      <c r="D20" s="296">
        <v>28.751324003003155</v>
      </c>
      <c r="E20" s="296">
        <v>26.965483053909633</v>
      </c>
      <c r="F20" s="296">
        <v>21.018354346330199</v>
      </c>
      <c r="G20" s="296">
        <v>29.179118348100001</v>
      </c>
      <c r="H20" s="296">
        <v>23.640283057799998</v>
      </c>
      <c r="I20" s="296">
        <v>25.77725531704467</v>
      </c>
      <c r="J20" s="296">
        <v>24.552358064198891</v>
      </c>
      <c r="K20" s="296">
        <v>22.218393563600216</v>
      </c>
      <c r="L20" s="296">
        <v>14.031746416077615</v>
      </c>
      <c r="M20" s="296">
        <v>12.845678590761379</v>
      </c>
      <c r="N20" s="296">
        <v>13.493766720474996</v>
      </c>
      <c r="O20" s="296">
        <v>13.672765</v>
      </c>
      <c r="P20" s="296">
        <v>14.229456000000001</v>
      </c>
      <c r="Q20" s="296">
        <v>14.146156</v>
      </c>
      <c r="R20" s="296">
        <v>14.457962999999999</v>
      </c>
      <c r="S20" s="296">
        <v>15.023512999999999</v>
      </c>
      <c r="T20" s="296">
        <v>15.380254000000001</v>
      </c>
      <c r="U20" s="296">
        <v>15.911362</v>
      </c>
      <c r="V20" s="296">
        <v>16.460713999999999</v>
      </c>
      <c r="W20" s="296">
        <v>16.864184999999999</v>
      </c>
      <c r="X20" s="296">
        <v>17.128959999999999</v>
      </c>
      <c r="Y20" s="296">
        <v>17.313670999999999</v>
      </c>
      <c r="Z20" s="296">
        <v>17.368544</v>
      </c>
      <c r="AA20" s="296">
        <v>17.412827</v>
      </c>
      <c r="AB20" s="296">
        <v>17.449695999999999</v>
      </c>
      <c r="AC20" s="296">
        <v>17.630033000000001</v>
      </c>
      <c r="AD20" s="296">
        <v>17.835062000000001</v>
      </c>
      <c r="AE20" s="296">
        <v>18.018039999999999</v>
      </c>
      <c r="AF20" s="296">
        <v>18.168431999999999</v>
      </c>
      <c r="AG20" s="296">
        <v>18.340063000000001</v>
      </c>
      <c r="AH20" s="296">
        <v>18.440995999999998</v>
      </c>
      <c r="AI20" s="296">
        <v>18.513914</v>
      </c>
      <c r="AJ20" s="296">
        <v>18.599658999999999</v>
      </c>
      <c r="AK20" s="296">
        <v>18.678830999999999</v>
      </c>
      <c r="AL20" s="296">
        <v>18.709066</v>
      </c>
      <c r="AM20" s="296">
        <v>18.781182999999999</v>
      </c>
      <c r="AN20" s="296">
        <v>18.860766999999999</v>
      </c>
      <c r="AO20" s="296">
        <v>18.930902</v>
      </c>
      <c r="AP20" s="296">
        <v>18.963881000000001</v>
      </c>
      <c r="AQ20" s="296">
        <v>18.969631</v>
      </c>
      <c r="AR20" s="296">
        <v>18.969342999999999</v>
      </c>
      <c r="AS20" s="296">
        <v>18.966394000000001</v>
      </c>
      <c r="AT20" s="296">
        <v>18.915438000000002</v>
      </c>
      <c r="AU20" s="296">
        <v>18.819983000000001</v>
      </c>
      <c r="AV20" s="297">
        <v>1.1764303891714662E-2</v>
      </c>
    </row>
    <row r="21" spans="1:48" ht="12.9" customHeight="1">
      <c r="A21" s="40" t="s">
        <v>23</v>
      </c>
      <c r="B21" s="296">
        <v>19.153648789949461</v>
      </c>
      <c r="C21" s="296">
        <v>20.236741970904106</v>
      </c>
      <c r="D21" s="296">
        <v>21.723221140235491</v>
      </c>
      <c r="E21" s="296">
        <v>25.880665116088384</v>
      </c>
      <c r="F21" s="296">
        <v>19.023063652554338</v>
      </c>
      <c r="G21" s="296">
        <v>23.027341889100001</v>
      </c>
      <c r="H21" s="296">
        <v>28.029164734799998</v>
      </c>
      <c r="I21" s="296">
        <v>32.879966534434686</v>
      </c>
      <c r="J21" s="296">
        <v>32.794114900720913</v>
      </c>
      <c r="K21" s="296">
        <v>31.641777282872919</v>
      </c>
      <c r="L21" s="296">
        <v>20.165046435446492</v>
      </c>
      <c r="M21" s="296">
        <v>15.631252723708403</v>
      </c>
      <c r="N21" s="296">
        <v>20.111313718799995</v>
      </c>
      <c r="O21" s="296">
        <v>22.960346000000001</v>
      </c>
      <c r="P21" s="296">
        <v>23.751418999999999</v>
      </c>
      <c r="Q21" s="296">
        <v>23.385469000000001</v>
      </c>
      <c r="R21" s="296">
        <v>22.835804</v>
      </c>
      <c r="S21" s="296">
        <v>22.148261999999999</v>
      </c>
      <c r="T21" s="296">
        <v>21.857569000000002</v>
      </c>
      <c r="U21" s="296">
        <v>21.994007</v>
      </c>
      <c r="V21" s="296">
        <v>22.556481999999999</v>
      </c>
      <c r="W21" s="296">
        <v>22.998926000000001</v>
      </c>
      <c r="X21" s="296">
        <v>23.662065999999999</v>
      </c>
      <c r="Y21" s="296">
        <v>23.931887</v>
      </c>
      <c r="Z21" s="296">
        <v>24.479118</v>
      </c>
      <c r="AA21" s="296">
        <v>24.651928000000002</v>
      </c>
      <c r="AB21" s="296">
        <v>24.882458</v>
      </c>
      <c r="AC21" s="296">
        <v>25.202105</v>
      </c>
      <c r="AD21" s="296">
        <v>25.436482999999999</v>
      </c>
      <c r="AE21" s="296">
        <v>25.528514999999999</v>
      </c>
      <c r="AF21" s="296">
        <v>25.778717</v>
      </c>
      <c r="AG21" s="296">
        <v>26.115079999999999</v>
      </c>
      <c r="AH21" s="296">
        <v>26.065258</v>
      </c>
      <c r="AI21" s="296">
        <v>26.248757999999999</v>
      </c>
      <c r="AJ21" s="296">
        <v>26.404775999999998</v>
      </c>
      <c r="AK21" s="296">
        <v>26.504104999999999</v>
      </c>
      <c r="AL21" s="296">
        <v>26.546037999999999</v>
      </c>
      <c r="AM21" s="296">
        <v>26.763817</v>
      </c>
      <c r="AN21" s="296">
        <v>26.769569000000001</v>
      </c>
      <c r="AO21" s="296">
        <v>26.646336000000002</v>
      </c>
      <c r="AP21" s="296">
        <v>26.673127999999998</v>
      </c>
      <c r="AQ21" s="296">
        <v>26.599201000000001</v>
      </c>
      <c r="AR21" s="296">
        <v>26.479959000000001</v>
      </c>
      <c r="AS21" s="296">
        <v>26.520557</v>
      </c>
      <c r="AT21" s="296">
        <v>26.466222999999999</v>
      </c>
      <c r="AU21" s="296">
        <v>26.446749000000001</v>
      </c>
      <c r="AV21" s="297">
        <v>4.7451416346251914E-3</v>
      </c>
    </row>
    <row r="22" spans="1:48" ht="12.9" customHeight="1">
      <c r="A22" s="40" t="s">
        <v>29</v>
      </c>
      <c r="B22" s="296">
        <v>12.712094069421742</v>
      </c>
      <c r="C22" s="296">
        <v>8.3987233696777679</v>
      </c>
      <c r="D22" s="296">
        <v>8.0348807831263542</v>
      </c>
      <c r="E22" s="296">
        <v>14.838764238637486</v>
      </c>
      <c r="F22" s="296">
        <v>8.8722638441839781</v>
      </c>
      <c r="G22" s="296">
        <v>12.8982843453</v>
      </c>
      <c r="H22" s="296">
        <v>21.682584618</v>
      </c>
      <c r="I22" s="296">
        <v>20.692662080898085</v>
      </c>
      <c r="J22" s="296">
        <v>20.003430655308655</v>
      </c>
      <c r="K22" s="296">
        <v>14.751764579481128</v>
      </c>
      <c r="L22" s="296">
        <v>12.078022057884995</v>
      </c>
      <c r="M22" s="296">
        <v>8.554520459444209</v>
      </c>
      <c r="N22" s="296">
        <v>10.984492797474998</v>
      </c>
      <c r="O22" s="296">
        <v>13.25526</v>
      </c>
      <c r="P22" s="296">
        <v>9.8401490000000003</v>
      </c>
      <c r="Q22" s="296">
        <v>10.234743</v>
      </c>
      <c r="R22" s="296">
        <v>10.462877000000001</v>
      </c>
      <c r="S22" s="296">
        <v>10.513311</v>
      </c>
      <c r="T22" s="296">
        <v>10.939890999999999</v>
      </c>
      <c r="U22" s="296">
        <v>11.540540999999999</v>
      </c>
      <c r="V22" s="296">
        <v>11.762791</v>
      </c>
      <c r="W22" s="296">
        <v>12.160868000000001</v>
      </c>
      <c r="X22" s="296">
        <v>12.705256</v>
      </c>
      <c r="Y22" s="296">
        <v>12.901865000000001</v>
      </c>
      <c r="Z22" s="296">
        <v>13.316670999999999</v>
      </c>
      <c r="AA22" s="296">
        <v>13.421931000000001</v>
      </c>
      <c r="AB22" s="296">
        <v>13.621895</v>
      </c>
      <c r="AC22" s="296">
        <v>13.856438000000001</v>
      </c>
      <c r="AD22" s="296">
        <v>14.002591000000001</v>
      </c>
      <c r="AE22" s="296">
        <v>14.099449</v>
      </c>
      <c r="AF22" s="296">
        <v>14.282861</v>
      </c>
      <c r="AG22" s="296">
        <v>14.554171999999999</v>
      </c>
      <c r="AH22" s="296">
        <v>14.690308</v>
      </c>
      <c r="AI22" s="296">
        <v>14.760121</v>
      </c>
      <c r="AJ22" s="296">
        <v>14.88829</v>
      </c>
      <c r="AK22" s="296">
        <v>14.982219000000001</v>
      </c>
      <c r="AL22" s="296">
        <v>15.077785</v>
      </c>
      <c r="AM22" s="296">
        <v>15.395372</v>
      </c>
      <c r="AN22" s="296">
        <v>15.406392</v>
      </c>
      <c r="AO22" s="296">
        <v>15.300700000000001</v>
      </c>
      <c r="AP22" s="296">
        <v>15.311681</v>
      </c>
      <c r="AQ22" s="296">
        <v>15.316814000000001</v>
      </c>
      <c r="AR22" s="296">
        <v>15.346301</v>
      </c>
      <c r="AS22" s="296">
        <v>15.366849999999999</v>
      </c>
      <c r="AT22" s="296">
        <v>15.336262</v>
      </c>
      <c r="AU22" s="296">
        <v>15.342311</v>
      </c>
      <c r="AV22" s="297">
        <v>4.9203368134612237E-3</v>
      </c>
    </row>
    <row r="23" spans="1:48" ht="12.9" customHeight="1">
      <c r="A23" s="40" t="s">
        <v>45</v>
      </c>
      <c r="B23" s="296">
        <v>9.6803827233946027</v>
      </c>
      <c r="C23" s="296">
        <v>8.7916513146663533</v>
      </c>
      <c r="D23" s="296">
        <v>9.4360966899852876</v>
      </c>
      <c r="E23" s="296">
        <v>10.9743303406492</v>
      </c>
      <c r="F23" s="296">
        <v>6.1526683944177361</v>
      </c>
      <c r="G23" s="296">
        <v>6.8424346047000011</v>
      </c>
      <c r="H23" s="296">
        <v>6.6316744380000001</v>
      </c>
      <c r="I23" s="296">
        <v>6.0640273672473501</v>
      </c>
      <c r="J23" s="296">
        <v>6.968492466091023</v>
      </c>
      <c r="K23" s="296">
        <v>7.803336357279389</v>
      </c>
      <c r="L23" s="296">
        <v>5.9258265442470721</v>
      </c>
      <c r="M23" s="296">
        <v>4.5073447773165931</v>
      </c>
      <c r="N23" s="296">
        <v>4.8096195949999982</v>
      </c>
      <c r="O23" s="296">
        <v>4.6022239999999996</v>
      </c>
      <c r="P23" s="296">
        <v>4.6698209999999998</v>
      </c>
      <c r="Q23" s="296">
        <v>4.8021380000000002</v>
      </c>
      <c r="R23" s="296">
        <v>4.7132149999999999</v>
      </c>
      <c r="S23" s="296">
        <v>4.735258</v>
      </c>
      <c r="T23" s="296">
        <v>4.8498239999999999</v>
      </c>
      <c r="U23" s="296">
        <v>4.98062</v>
      </c>
      <c r="V23" s="296">
        <v>5.2141450000000003</v>
      </c>
      <c r="W23" s="296">
        <v>5.3244429999999996</v>
      </c>
      <c r="X23" s="296">
        <v>5.3269590000000004</v>
      </c>
      <c r="Y23" s="296">
        <v>5.4077299999999999</v>
      </c>
      <c r="Z23" s="296">
        <v>5.3759399999999999</v>
      </c>
      <c r="AA23" s="296">
        <v>5.3976249999999997</v>
      </c>
      <c r="AB23" s="296">
        <v>5.393186</v>
      </c>
      <c r="AC23" s="296">
        <v>5.522049</v>
      </c>
      <c r="AD23" s="296">
        <v>5.5930080000000002</v>
      </c>
      <c r="AE23" s="296">
        <v>5.6568519999999998</v>
      </c>
      <c r="AF23" s="296">
        <v>5.7127290000000004</v>
      </c>
      <c r="AG23" s="296">
        <v>5.771515</v>
      </c>
      <c r="AH23" s="296">
        <v>5.8163590000000003</v>
      </c>
      <c r="AI23" s="296">
        <v>5.8386690000000003</v>
      </c>
      <c r="AJ23" s="296">
        <v>5.8626569999999996</v>
      </c>
      <c r="AK23" s="296">
        <v>5.9356419999999996</v>
      </c>
      <c r="AL23" s="296">
        <v>5.9391999999999996</v>
      </c>
      <c r="AM23" s="296">
        <v>5.9765199999999998</v>
      </c>
      <c r="AN23" s="296">
        <v>6.0511330000000001</v>
      </c>
      <c r="AO23" s="296">
        <v>6.1539070000000002</v>
      </c>
      <c r="AP23" s="296">
        <v>6.2548149999999998</v>
      </c>
      <c r="AQ23" s="296">
        <v>6.332999</v>
      </c>
      <c r="AR23" s="296">
        <v>6.4413099999999996</v>
      </c>
      <c r="AS23" s="296">
        <v>6.5935959999999998</v>
      </c>
      <c r="AT23" s="296">
        <v>6.7125279999999998</v>
      </c>
      <c r="AU23" s="296">
        <v>6.8125</v>
      </c>
      <c r="AV23" s="297">
        <v>1.5008205815275401E-2</v>
      </c>
    </row>
    <row r="24" spans="1:48" ht="12.9" customHeight="1">
      <c r="A24" s="40" t="s">
        <v>34</v>
      </c>
      <c r="B24" s="298" t="s">
        <v>32</v>
      </c>
      <c r="C24" s="298" t="s">
        <v>32</v>
      </c>
      <c r="D24" s="298" t="s">
        <v>32</v>
      </c>
      <c r="E24" s="298" t="s">
        <v>32</v>
      </c>
      <c r="F24" s="298" t="s">
        <v>32</v>
      </c>
      <c r="G24" s="298" t="s">
        <v>32</v>
      </c>
      <c r="H24" s="298" t="s">
        <v>32</v>
      </c>
      <c r="I24" s="296">
        <v>0</v>
      </c>
      <c r="J24" s="296">
        <v>0</v>
      </c>
      <c r="K24" s="296">
        <v>0</v>
      </c>
      <c r="L24" s="296">
        <v>0</v>
      </c>
      <c r="M24" s="296">
        <v>0</v>
      </c>
      <c r="N24" s="296">
        <v>0</v>
      </c>
      <c r="O24" s="296">
        <v>0</v>
      </c>
      <c r="P24" s="296">
        <v>0</v>
      </c>
      <c r="Q24" s="296">
        <v>0</v>
      </c>
      <c r="R24" s="296">
        <v>0</v>
      </c>
      <c r="S24" s="296">
        <v>0</v>
      </c>
      <c r="T24" s="296">
        <v>0</v>
      </c>
      <c r="U24" s="296">
        <v>0</v>
      </c>
      <c r="V24" s="296">
        <v>0</v>
      </c>
      <c r="W24" s="296">
        <v>0</v>
      </c>
      <c r="X24" s="296">
        <v>0</v>
      </c>
      <c r="Y24" s="296">
        <v>0</v>
      </c>
      <c r="Z24" s="296">
        <v>0</v>
      </c>
      <c r="AA24" s="296">
        <v>0</v>
      </c>
      <c r="AB24" s="296">
        <v>0</v>
      </c>
      <c r="AC24" s="296">
        <v>0</v>
      </c>
      <c r="AD24" s="296">
        <v>0</v>
      </c>
      <c r="AE24" s="296">
        <v>0</v>
      </c>
      <c r="AF24" s="296">
        <v>0</v>
      </c>
      <c r="AG24" s="296">
        <v>0</v>
      </c>
      <c r="AH24" s="296">
        <v>0</v>
      </c>
      <c r="AI24" s="296">
        <v>0</v>
      </c>
      <c r="AJ24" s="296">
        <v>0</v>
      </c>
      <c r="AK24" s="296">
        <v>0</v>
      </c>
      <c r="AL24" s="296">
        <v>0</v>
      </c>
      <c r="AM24" s="296">
        <v>0</v>
      </c>
      <c r="AN24" s="296">
        <v>0</v>
      </c>
      <c r="AO24" s="296">
        <v>0</v>
      </c>
      <c r="AP24" s="296">
        <v>0</v>
      </c>
      <c r="AQ24" s="296">
        <v>0</v>
      </c>
      <c r="AR24" s="296">
        <v>0</v>
      </c>
      <c r="AS24" s="296">
        <v>0</v>
      </c>
      <c r="AT24" s="296">
        <v>0</v>
      </c>
      <c r="AU24" s="296">
        <v>0</v>
      </c>
      <c r="AV24" s="297" t="s">
        <v>32</v>
      </c>
    </row>
    <row r="25" spans="1:48" ht="12.9" customHeight="1">
      <c r="A25" s="40" t="s">
        <v>35</v>
      </c>
      <c r="B25" s="299">
        <v>2.6853029392704197</v>
      </c>
      <c r="C25" s="299">
        <v>3.0562250666494064</v>
      </c>
      <c r="D25" s="299">
        <v>2.9300224949548581</v>
      </c>
      <c r="E25" s="299">
        <v>3.7140272312924871</v>
      </c>
      <c r="F25" s="299">
        <v>3.6157993272453006</v>
      </c>
      <c r="G25" s="299">
        <v>3.4432300593000003</v>
      </c>
      <c r="H25" s="299">
        <v>3.5423075435999998</v>
      </c>
      <c r="I25" s="296">
        <v>4.5465090530109746</v>
      </c>
      <c r="J25" s="296">
        <v>4.4147086575912411</v>
      </c>
      <c r="K25" s="296">
        <v>4.3033473535796105</v>
      </c>
      <c r="L25" s="296">
        <v>4.3733611328041668</v>
      </c>
      <c r="M25" s="296">
        <v>4.413798584885904</v>
      </c>
      <c r="N25" s="296">
        <v>4.0607828173499989</v>
      </c>
      <c r="O25" s="296">
        <v>4.4307169999999996</v>
      </c>
      <c r="P25" s="296">
        <v>4.4040999999999997</v>
      </c>
      <c r="Q25" s="296">
        <v>4.4279659999999996</v>
      </c>
      <c r="R25" s="296">
        <v>4.3997130000000002</v>
      </c>
      <c r="S25" s="296">
        <v>4.4102610000000002</v>
      </c>
      <c r="T25" s="296">
        <v>4.4059970000000002</v>
      </c>
      <c r="U25" s="296">
        <v>4.4128699999999998</v>
      </c>
      <c r="V25" s="296">
        <v>4.4287910000000004</v>
      </c>
      <c r="W25" s="296">
        <v>4.4294209999999996</v>
      </c>
      <c r="X25" s="296">
        <v>4.441154</v>
      </c>
      <c r="Y25" s="296">
        <v>4.4376030000000002</v>
      </c>
      <c r="Z25" s="296">
        <v>4.4483050000000004</v>
      </c>
      <c r="AA25" s="296">
        <v>4.4680770000000001</v>
      </c>
      <c r="AB25" s="296">
        <v>4.4758709999999997</v>
      </c>
      <c r="AC25" s="296">
        <v>4.4612040000000004</v>
      </c>
      <c r="AD25" s="296">
        <v>4.4628550000000002</v>
      </c>
      <c r="AE25" s="296">
        <v>4.4638499999999999</v>
      </c>
      <c r="AF25" s="296">
        <v>4.4545519999999996</v>
      </c>
      <c r="AG25" s="296">
        <v>4.4570100000000004</v>
      </c>
      <c r="AH25" s="296">
        <v>4.4505660000000002</v>
      </c>
      <c r="AI25" s="296">
        <v>4.4470939999999999</v>
      </c>
      <c r="AJ25" s="296">
        <v>4.4445589999999999</v>
      </c>
      <c r="AK25" s="296">
        <v>4.442475</v>
      </c>
      <c r="AL25" s="296">
        <v>4.4410970000000001</v>
      </c>
      <c r="AM25" s="296">
        <v>4.4395949999999997</v>
      </c>
      <c r="AN25" s="296">
        <v>4.4391780000000001</v>
      </c>
      <c r="AO25" s="296">
        <v>4.440188</v>
      </c>
      <c r="AP25" s="296">
        <v>4.4467730000000003</v>
      </c>
      <c r="AQ25" s="296">
        <v>4.4563370000000004</v>
      </c>
      <c r="AR25" s="296">
        <v>4.4591180000000001</v>
      </c>
      <c r="AS25" s="296">
        <v>4.4679549999999999</v>
      </c>
      <c r="AT25" s="296">
        <v>4.4806270000000001</v>
      </c>
      <c r="AU25" s="296">
        <v>4.4876829999999996</v>
      </c>
      <c r="AV25" s="297">
        <v>4.0178316511751988E-4</v>
      </c>
    </row>
    <row r="26" spans="1:48" ht="12.9" customHeight="1">
      <c r="A26" s="40" t="s">
        <v>46</v>
      </c>
      <c r="B26" s="298" t="s">
        <v>32</v>
      </c>
      <c r="C26" s="298" t="s">
        <v>32</v>
      </c>
      <c r="D26" s="298" t="s">
        <v>32</v>
      </c>
      <c r="E26" s="298" t="s">
        <v>32</v>
      </c>
      <c r="F26" s="298" t="s">
        <v>32</v>
      </c>
      <c r="G26" s="298" t="s">
        <v>32</v>
      </c>
      <c r="H26" s="298" t="s">
        <v>32</v>
      </c>
      <c r="I26" s="296">
        <v>0</v>
      </c>
      <c r="J26" s="296">
        <v>0</v>
      </c>
      <c r="K26" s="296">
        <v>0</v>
      </c>
      <c r="L26" s="296">
        <v>0</v>
      </c>
      <c r="M26" s="296">
        <v>0</v>
      </c>
      <c r="N26" s="296">
        <v>0</v>
      </c>
      <c r="O26" s="296">
        <v>0</v>
      </c>
      <c r="P26" s="296">
        <v>0</v>
      </c>
      <c r="Q26" s="296">
        <v>0</v>
      </c>
      <c r="R26" s="296">
        <v>0</v>
      </c>
      <c r="S26" s="296">
        <v>0</v>
      </c>
      <c r="T26" s="296">
        <v>0</v>
      </c>
      <c r="U26" s="296">
        <v>0</v>
      </c>
      <c r="V26" s="296">
        <v>0</v>
      </c>
      <c r="W26" s="296">
        <v>0</v>
      </c>
      <c r="X26" s="296">
        <v>0</v>
      </c>
      <c r="Y26" s="296">
        <v>0</v>
      </c>
      <c r="Z26" s="296">
        <v>0</v>
      </c>
      <c r="AA26" s="296">
        <v>0</v>
      </c>
      <c r="AB26" s="296">
        <v>0</v>
      </c>
      <c r="AC26" s="296">
        <v>0</v>
      </c>
      <c r="AD26" s="296">
        <v>0</v>
      </c>
      <c r="AE26" s="296">
        <v>0</v>
      </c>
      <c r="AF26" s="296">
        <v>0</v>
      </c>
      <c r="AG26" s="296">
        <v>0</v>
      </c>
      <c r="AH26" s="296">
        <v>0</v>
      </c>
      <c r="AI26" s="296">
        <v>0</v>
      </c>
      <c r="AJ26" s="296">
        <v>0</v>
      </c>
      <c r="AK26" s="296">
        <v>0</v>
      </c>
      <c r="AL26" s="296">
        <v>0</v>
      </c>
      <c r="AM26" s="296">
        <v>0</v>
      </c>
      <c r="AN26" s="296">
        <v>0</v>
      </c>
      <c r="AO26" s="296">
        <v>0</v>
      </c>
      <c r="AP26" s="296">
        <v>0</v>
      </c>
      <c r="AQ26" s="296">
        <v>0</v>
      </c>
      <c r="AR26" s="296">
        <v>0</v>
      </c>
      <c r="AS26" s="296">
        <v>0</v>
      </c>
      <c r="AT26" s="296">
        <v>0</v>
      </c>
      <c r="AU26" s="296">
        <v>0</v>
      </c>
      <c r="AV26" s="297" t="s">
        <v>32</v>
      </c>
    </row>
    <row r="27" spans="1:48" ht="12.9" customHeight="1">
      <c r="A27" s="46" t="s">
        <v>8</v>
      </c>
      <c r="B27" s="296">
        <v>14.501129517650607</v>
      </c>
      <c r="C27" s="296">
        <v>14.97593173500983</v>
      </c>
      <c r="D27" s="296">
        <v>14.85010796351723</v>
      </c>
      <c r="E27" s="296">
        <v>14.628858094573284</v>
      </c>
      <c r="F27" s="296">
        <v>13.785994920885091</v>
      </c>
      <c r="G27" s="296">
        <v>13.017621405478318</v>
      </c>
      <c r="H27" s="296">
        <v>12.499403010805048</v>
      </c>
      <c r="I27" s="296">
        <v>13.529095069576696</v>
      </c>
      <c r="J27" s="296">
        <v>14.133185970403865</v>
      </c>
      <c r="K27" s="296">
        <v>15.259773848626562</v>
      </c>
      <c r="L27" s="296">
        <v>14.615625047371893</v>
      </c>
      <c r="M27" s="296">
        <v>14.122180210058371</v>
      </c>
      <c r="N27" s="296">
        <v>14.154481318174756</v>
      </c>
      <c r="O27" s="296">
        <v>14.115104063024711</v>
      </c>
      <c r="P27" s="296">
        <v>13.592575992980086</v>
      </c>
      <c r="Q27" s="296">
        <v>12.492787732511415</v>
      </c>
      <c r="R27" s="296">
        <v>12.029844856088918</v>
      </c>
      <c r="S27" s="296">
        <v>12.833160061428377</v>
      </c>
      <c r="T27" s="296">
        <v>13.030563746978201</v>
      </c>
      <c r="U27" s="296">
        <v>13.106313910967376</v>
      </c>
      <c r="V27" s="296">
        <v>13.937751245283398</v>
      </c>
      <c r="W27" s="296">
        <v>14.175287711599415</v>
      </c>
      <c r="X27" s="296">
        <v>14.210869751114105</v>
      </c>
      <c r="Y27" s="296">
        <v>14.258356411293548</v>
      </c>
      <c r="Z27" s="296">
        <v>14.418658755489785</v>
      </c>
      <c r="AA27" s="296">
        <v>14.648592503581467</v>
      </c>
      <c r="AB27" s="296">
        <v>14.791689148486743</v>
      </c>
      <c r="AC27" s="296">
        <v>14.912027310957695</v>
      </c>
      <c r="AD27" s="296">
        <v>14.900912192317366</v>
      </c>
      <c r="AE27" s="296">
        <v>14.905042630010797</v>
      </c>
      <c r="AF27" s="296">
        <v>14.935393800698188</v>
      </c>
      <c r="AG27" s="296">
        <v>15.147694859293324</v>
      </c>
      <c r="AH27" s="296">
        <v>15.161383381991493</v>
      </c>
      <c r="AI27" s="296">
        <v>15.120629698241782</v>
      </c>
      <c r="AJ27" s="296">
        <v>15.056590242139432</v>
      </c>
      <c r="AK27" s="296">
        <v>14.979909201292658</v>
      </c>
      <c r="AL27" s="296">
        <v>15.011375131644304</v>
      </c>
      <c r="AM27" s="296">
        <v>14.986654118164381</v>
      </c>
      <c r="AN27" s="296">
        <v>14.928704287477304</v>
      </c>
      <c r="AO27" s="296">
        <v>14.878415444371475</v>
      </c>
      <c r="AP27" s="296">
        <v>14.861161505694874</v>
      </c>
      <c r="AQ27" s="296">
        <v>14.840742872273051</v>
      </c>
      <c r="AR27" s="296">
        <v>14.792602831107875</v>
      </c>
      <c r="AS27" s="296">
        <v>14.762724024305637</v>
      </c>
      <c r="AT27" s="296">
        <v>14.701484363041272</v>
      </c>
      <c r="AU27" s="296">
        <v>14.623745399034123</v>
      </c>
      <c r="AV27" s="297">
        <v>0</v>
      </c>
    </row>
    <row r="28" spans="1:48" ht="12.9" customHeight="1">
      <c r="B28" s="139"/>
      <c r="C28" s="139"/>
      <c r="D28" s="138"/>
      <c r="E28" s="138"/>
      <c r="F28" s="138"/>
      <c r="G28" s="138"/>
      <c r="H28" s="138"/>
      <c r="I28" s="138"/>
      <c r="J28" s="138"/>
      <c r="K28" s="139"/>
      <c r="L28" s="138"/>
      <c r="M28" s="139"/>
      <c r="N28" s="178"/>
      <c r="O28" s="17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96"/>
      <c r="AM28" s="196"/>
      <c r="AN28" s="196"/>
      <c r="AO28" s="196"/>
      <c r="AP28" s="196"/>
      <c r="AQ28" s="196"/>
      <c r="AR28" s="196"/>
      <c r="AS28" s="196"/>
      <c r="AT28" s="196"/>
      <c r="AU28" s="196"/>
      <c r="AV28" s="199"/>
    </row>
    <row r="29" spans="1:48" ht="12.9" customHeight="1">
      <c r="A29" s="40" t="s">
        <v>79</v>
      </c>
      <c r="B29" s="139"/>
      <c r="C29" s="139"/>
      <c r="D29" s="138"/>
      <c r="E29" s="138"/>
      <c r="F29" s="138"/>
      <c r="G29" s="138"/>
      <c r="H29" s="138"/>
      <c r="I29" s="138"/>
      <c r="J29" s="138"/>
      <c r="K29" s="139"/>
      <c r="L29" s="138"/>
      <c r="M29" s="139"/>
      <c r="N29" s="178"/>
      <c r="O29" s="17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96"/>
      <c r="AM29" s="196"/>
      <c r="AN29" s="196"/>
      <c r="AO29" s="196"/>
      <c r="AP29" s="196"/>
      <c r="AQ29" s="196"/>
      <c r="AR29" s="196"/>
      <c r="AS29" s="196"/>
      <c r="AT29" s="196"/>
      <c r="AU29" s="196"/>
      <c r="AV29" s="199"/>
    </row>
    <row r="30" spans="1:48" ht="12.9" customHeight="1">
      <c r="A30" s="40" t="s">
        <v>47</v>
      </c>
      <c r="B30" s="296">
        <v>23.581029927118582</v>
      </c>
      <c r="C30" s="296">
        <v>25.158165491875451</v>
      </c>
      <c r="D30" s="296">
        <v>26.679676788537343</v>
      </c>
      <c r="E30" s="296">
        <v>33.455022466836319</v>
      </c>
      <c r="F30" s="296">
        <v>28.166532270599728</v>
      </c>
      <c r="G30" s="296">
        <v>33.068190690999998</v>
      </c>
      <c r="H30" s="296">
        <v>27.4650159696</v>
      </c>
      <c r="I30" s="296">
        <v>30.580110093257328</v>
      </c>
      <c r="J30" s="296">
        <v>29.678063350292916</v>
      </c>
      <c r="K30" s="296">
        <v>28.709327461680445</v>
      </c>
      <c r="L30" s="296">
        <v>20.559681462959261</v>
      </c>
      <c r="M30" s="296">
        <v>19.89727028830012</v>
      </c>
      <c r="N30" s="296">
        <v>19.706215403074992</v>
      </c>
      <c r="O30" s="296">
        <v>17.934799000000002</v>
      </c>
      <c r="P30" s="296">
        <v>18.082011999999999</v>
      </c>
      <c r="Q30" s="296">
        <v>18.927889</v>
      </c>
      <c r="R30" s="296">
        <v>19.235287</v>
      </c>
      <c r="S30" s="296">
        <v>19.513083999999999</v>
      </c>
      <c r="T30" s="296">
        <v>19.743957999999999</v>
      </c>
      <c r="U30" s="296">
        <v>22.034893</v>
      </c>
      <c r="V30" s="296">
        <v>22.100491999999999</v>
      </c>
      <c r="W30" s="296">
        <v>22.158249000000001</v>
      </c>
      <c r="X30" s="296">
        <v>22.199839000000001</v>
      </c>
      <c r="Y30" s="296">
        <v>22.287490999999999</v>
      </c>
      <c r="Z30" s="296">
        <v>22.829509999999999</v>
      </c>
      <c r="AA30" s="296">
        <v>22.924804999999999</v>
      </c>
      <c r="AB30" s="296">
        <v>23.121113000000001</v>
      </c>
      <c r="AC30" s="296">
        <v>23.376373000000001</v>
      </c>
      <c r="AD30" s="296">
        <v>23.602467000000001</v>
      </c>
      <c r="AE30" s="296">
        <v>23.776357999999998</v>
      </c>
      <c r="AF30" s="296">
        <v>23.994793000000001</v>
      </c>
      <c r="AG30" s="296">
        <v>24.224799999999998</v>
      </c>
      <c r="AH30" s="296">
        <v>24.318083000000001</v>
      </c>
      <c r="AI30" s="296">
        <v>24.660979999999999</v>
      </c>
      <c r="AJ30" s="296">
        <v>24.807874999999999</v>
      </c>
      <c r="AK30" s="296">
        <v>24.925362</v>
      </c>
      <c r="AL30" s="296">
        <v>25.103838</v>
      </c>
      <c r="AM30" s="296">
        <v>25.245916000000001</v>
      </c>
      <c r="AN30" s="296">
        <v>25.430731000000002</v>
      </c>
      <c r="AO30" s="296">
        <v>25.569233000000001</v>
      </c>
      <c r="AP30" s="296">
        <v>25.770257999999998</v>
      </c>
      <c r="AQ30" s="296">
        <v>25.899692999999999</v>
      </c>
      <c r="AR30" s="296">
        <v>26.060797000000001</v>
      </c>
      <c r="AS30" s="296">
        <v>26.272596</v>
      </c>
      <c r="AT30" s="296">
        <v>26.469501000000001</v>
      </c>
      <c r="AU30" s="296">
        <v>26.596209000000002</v>
      </c>
      <c r="AV30" s="297">
        <v>1.5091836964551427E-2</v>
      </c>
    </row>
    <row r="31" spans="1:48" ht="12.9" customHeight="1">
      <c r="A31" s="40" t="s">
        <v>48</v>
      </c>
      <c r="B31" s="296">
        <v>28.50245344808981</v>
      </c>
      <c r="C31" s="296">
        <v>31.960750134705297</v>
      </c>
      <c r="D31" s="296">
        <v>33.572252010082465</v>
      </c>
      <c r="E31" s="296">
        <v>33.59062427495482</v>
      </c>
      <c r="F31" s="296">
        <v>30.529886172607366</v>
      </c>
      <c r="G31" s="296">
        <v>29.803621808999999</v>
      </c>
      <c r="H31" s="296">
        <v>48.911446820999998</v>
      </c>
      <c r="I31" s="296">
        <v>45.734737210647367</v>
      </c>
      <c r="J31" s="296">
        <v>42.52678813680744</v>
      </c>
      <c r="K31" s="296">
        <v>42.980978380440753</v>
      </c>
      <c r="L31" s="296">
        <v>34.637666650074287</v>
      </c>
      <c r="M31" s="296">
        <v>28.031312651014101</v>
      </c>
      <c r="N31" s="296">
        <v>27.30429248837499</v>
      </c>
      <c r="O31" s="296">
        <v>31.700970000000002</v>
      </c>
      <c r="P31" s="296">
        <v>30.308520999999999</v>
      </c>
      <c r="Q31" s="296">
        <v>33.787208999999997</v>
      </c>
      <c r="R31" s="296">
        <v>34.646827999999999</v>
      </c>
      <c r="S31" s="296">
        <v>33.667324000000001</v>
      </c>
      <c r="T31" s="296">
        <v>31.306431</v>
      </c>
      <c r="U31" s="296">
        <v>31.102774</v>
      </c>
      <c r="V31" s="296">
        <v>28.936824999999999</v>
      </c>
      <c r="W31" s="296">
        <v>28.360486999999999</v>
      </c>
      <c r="X31" s="296">
        <v>27.540120999999999</v>
      </c>
      <c r="Y31" s="296">
        <v>27.319701999999999</v>
      </c>
      <c r="Z31" s="296">
        <v>27.492139999999999</v>
      </c>
      <c r="AA31" s="296">
        <v>27.265657000000001</v>
      </c>
      <c r="AB31" s="296">
        <v>28.028704000000001</v>
      </c>
      <c r="AC31" s="296">
        <v>28.132866</v>
      </c>
      <c r="AD31" s="296">
        <v>27.788345</v>
      </c>
      <c r="AE31" s="296">
        <v>27.603521000000001</v>
      </c>
      <c r="AF31" s="296">
        <v>27.350156999999999</v>
      </c>
      <c r="AG31" s="296">
        <v>27.276244999999999</v>
      </c>
      <c r="AH31" s="296">
        <v>27.644812000000002</v>
      </c>
      <c r="AI31" s="296">
        <v>27.774061</v>
      </c>
      <c r="AJ31" s="296">
        <v>28.160803000000001</v>
      </c>
      <c r="AK31" s="296">
        <v>28.683347999999999</v>
      </c>
      <c r="AL31" s="296">
        <v>29.258023999999999</v>
      </c>
      <c r="AM31" s="296">
        <v>29.838951000000002</v>
      </c>
      <c r="AN31" s="296">
        <v>30.384201000000001</v>
      </c>
      <c r="AO31" s="296">
        <v>31.228247</v>
      </c>
      <c r="AP31" s="296">
        <v>31.275366000000002</v>
      </c>
      <c r="AQ31" s="296">
        <v>31.207964</v>
      </c>
      <c r="AR31" s="296">
        <v>31.791889000000001</v>
      </c>
      <c r="AS31" s="296">
        <v>33.472724999999997</v>
      </c>
      <c r="AT31" s="296">
        <v>35.490616000000003</v>
      </c>
      <c r="AU31" s="296">
        <v>36.008121000000003</v>
      </c>
      <c r="AV31" s="297">
        <v>4.2458785567129342E-3</v>
      </c>
    </row>
    <row r="32" spans="1:48" ht="12.9" customHeight="1">
      <c r="A32" s="40" t="s">
        <v>49</v>
      </c>
      <c r="B32" s="296">
        <v>25.215170995092052</v>
      </c>
      <c r="C32" s="296">
        <v>26.545286505964025</v>
      </c>
      <c r="D32" s="296">
        <v>28.731961754408683</v>
      </c>
      <c r="E32" s="296">
        <v>31.537219678181152</v>
      </c>
      <c r="F32" s="296">
        <v>22.548723397503924</v>
      </c>
      <c r="G32" s="296">
        <v>26.558251523999999</v>
      </c>
      <c r="H32" s="296">
        <v>32.520299452742321</v>
      </c>
      <c r="I32" s="296">
        <v>37.28086697784493</v>
      </c>
      <c r="J32" s="296">
        <v>35.238384362724958</v>
      </c>
      <c r="K32" s="296">
        <v>34.967944305527787</v>
      </c>
      <c r="L32" s="296">
        <v>26.130535233880799</v>
      </c>
      <c r="M32" s="296">
        <v>23.614673964464153</v>
      </c>
      <c r="N32" s="296">
        <v>24.379783608499995</v>
      </c>
      <c r="O32" s="296">
        <v>21.619824326875626</v>
      </c>
      <c r="P32" s="296">
        <v>22.179949077405578</v>
      </c>
      <c r="Q32" s="296">
        <v>24.923861756673428</v>
      </c>
      <c r="R32" s="296">
        <v>26.305206039952299</v>
      </c>
      <c r="S32" s="296">
        <v>26.895631576757278</v>
      </c>
      <c r="T32" s="296">
        <v>27.360372376545943</v>
      </c>
      <c r="U32" s="296">
        <v>30.302086867024336</v>
      </c>
      <c r="V32" s="296">
        <v>30.36266682569013</v>
      </c>
      <c r="W32" s="296">
        <v>30.455846160236121</v>
      </c>
      <c r="X32" s="296">
        <v>30.614681897048499</v>
      </c>
      <c r="Y32" s="296">
        <v>30.89098063724861</v>
      </c>
      <c r="Z32" s="296">
        <v>31.509964693309829</v>
      </c>
      <c r="AA32" s="296">
        <v>31.645652899805668</v>
      </c>
      <c r="AB32" s="296">
        <v>31.99685878473872</v>
      </c>
      <c r="AC32" s="296">
        <v>32.130586705904896</v>
      </c>
      <c r="AD32" s="296">
        <v>32.188767523416985</v>
      </c>
      <c r="AE32" s="296">
        <v>32.366322763473335</v>
      </c>
      <c r="AF32" s="296">
        <v>32.502660326231307</v>
      </c>
      <c r="AG32" s="296">
        <v>32.536564992774444</v>
      </c>
      <c r="AH32" s="296">
        <v>32.926455031876074</v>
      </c>
      <c r="AI32" s="296">
        <v>33.029228111834598</v>
      </c>
      <c r="AJ32" s="296">
        <v>33.224706900353418</v>
      </c>
      <c r="AK32" s="296">
        <v>33.452413869783477</v>
      </c>
      <c r="AL32" s="296">
        <v>33.627047476527309</v>
      </c>
      <c r="AM32" s="296">
        <v>33.75602504182509</v>
      </c>
      <c r="AN32" s="296">
        <v>33.835815044934328</v>
      </c>
      <c r="AO32" s="296">
        <v>33.912526479136574</v>
      </c>
      <c r="AP32" s="296">
        <v>34.035263270285604</v>
      </c>
      <c r="AQ32" s="296">
        <v>33.944141013681438</v>
      </c>
      <c r="AR32" s="296">
        <v>34.077276902365497</v>
      </c>
      <c r="AS32" s="296">
        <v>34.260596471382627</v>
      </c>
      <c r="AT32" s="296">
        <v>34.302359194458191</v>
      </c>
      <c r="AU32" s="296">
        <v>34.405081528775391</v>
      </c>
      <c r="AV32" s="297">
        <v>1.7231604442337661E-2</v>
      </c>
    </row>
    <row r="33" spans="1:48" ht="12.9" customHeight="1">
      <c r="A33" s="40" t="s">
        <v>50</v>
      </c>
      <c r="B33" s="296">
        <v>16.702437187989137</v>
      </c>
      <c r="C33" s="296">
        <v>17.975547195644388</v>
      </c>
      <c r="D33" s="296">
        <v>18.52862945579167</v>
      </c>
      <c r="E33" s="296">
        <v>26.326216229440853</v>
      </c>
      <c r="F33" s="296">
        <v>14.548188935526408</v>
      </c>
      <c r="G33" s="296">
        <v>18.012754261000001</v>
      </c>
      <c r="H33" s="296">
        <v>23.841538827600001</v>
      </c>
      <c r="I33" s="296">
        <v>27.540236753026051</v>
      </c>
      <c r="J33" s="296">
        <v>26.118243496020494</v>
      </c>
      <c r="K33" s="296">
        <v>24.44948128053613</v>
      </c>
      <c r="L33" s="296">
        <v>13.73743741153484</v>
      </c>
      <c r="M33" s="296">
        <v>10.983489622817544</v>
      </c>
      <c r="N33" s="296">
        <v>12.507220161274995</v>
      </c>
      <c r="O33" s="296">
        <v>12.256513</v>
      </c>
      <c r="P33" s="296">
        <v>13.308604000000001</v>
      </c>
      <c r="Q33" s="296">
        <v>16.655777</v>
      </c>
      <c r="R33" s="296">
        <v>18.258929999999999</v>
      </c>
      <c r="S33" s="296">
        <v>18.930979000000001</v>
      </c>
      <c r="T33" s="296">
        <v>19.509972000000001</v>
      </c>
      <c r="U33" s="296">
        <v>20.100172000000001</v>
      </c>
      <c r="V33" s="296">
        <v>20.224865000000001</v>
      </c>
      <c r="W33" s="296">
        <v>20.325897000000001</v>
      </c>
      <c r="X33" s="296">
        <v>20.659405</v>
      </c>
      <c r="Y33" s="296">
        <v>20.953747</v>
      </c>
      <c r="Z33" s="296">
        <v>21.510567000000002</v>
      </c>
      <c r="AA33" s="296">
        <v>21.723246</v>
      </c>
      <c r="AB33" s="296">
        <v>22.113056</v>
      </c>
      <c r="AC33" s="296">
        <v>22.350823999999999</v>
      </c>
      <c r="AD33" s="296">
        <v>22.687228999999999</v>
      </c>
      <c r="AE33" s="296">
        <v>22.910995</v>
      </c>
      <c r="AF33" s="296">
        <v>23.109155999999999</v>
      </c>
      <c r="AG33" s="296">
        <v>23.296961</v>
      </c>
      <c r="AH33" s="296">
        <v>23.794943</v>
      </c>
      <c r="AI33" s="296">
        <v>24.056287999999999</v>
      </c>
      <c r="AJ33" s="296">
        <v>24.244046999999998</v>
      </c>
      <c r="AK33" s="296">
        <v>24.428225999999999</v>
      </c>
      <c r="AL33" s="296">
        <v>24.646035999999999</v>
      </c>
      <c r="AM33" s="296">
        <v>24.762561999999999</v>
      </c>
      <c r="AN33" s="296">
        <v>24.976828000000001</v>
      </c>
      <c r="AO33" s="296">
        <v>25.168385000000001</v>
      </c>
      <c r="AP33" s="296">
        <v>25.326723000000001</v>
      </c>
      <c r="AQ33" s="296">
        <v>25.416198999999999</v>
      </c>
      <c r="AR33" s="296">
        <v>25.599374999999998</v>
      </c>
      <c r="AS33" s="296">
        <v>25.859846000000001</v>
      </c>
      <c r="AT33" s="296">
        <v>26.157774</v>
      </c>
      <c r="AU33" s="296">
        <v>26.265492999999999</v>
      </c>
      <c r="AV33" s="297">
        <v>3.5718203456399054E-2</v>
      </c>
    </row>
    <row r="34" spans="1:48" ht="12.9" customHeight="1">
      <c r="A34" s="40" t="s">
        <v>51</v>
      </c>
      <c r="B34" s="296">
        <v>23.581029927118582</v>
      </c>
      <c r="C34" s="296">
        <v>24.455105964321913</v>
      </c>
      <c r="D34" s="296">
        <v>25.885869718822821</v>
      </c>
      <c r="E34" s="296">
        <v>33.59062427495482</v>
      </c>
      <c r="F34" s="296">
        <v>21.580136738551513</v>
      </c>
      <c r="G34" s="296">
        <v>24.676323889999999</v>
      </c>
      <c r="H34" s="296">
        <v>29.8158830466</v>
      </c>
      <c r="I34" s="296">
        <v>33.966074981675597</v>
      </c>
      <c r="J34" s="296">
        <v>33.302172850731196</v>
      </c>
      <c r="K34" s="296">
        <v>32.937686451244126</v>
      </c>
      <c r="L34" s="296">
        <v>23.399856412196744</v>
      </c>
      <c r="M34" s="296">
        <v>20.165026622205538</v>
      </c>
      <c r="N34" s="296">
        <v>21.445345299424993</v>
      </c>
      <c r="O34" s="296">
        <v>20.118290544641379</v>
      </c>
      <c r="P34" s="296">
        <v>20.492307425923808</v>
      </c>
      <c r="Q34" s="296">
        <v>23.059000550890211</v>
      </c>
      <c r="R34" s="296">
        <v>24.18375438022775</v>
      </c>
      <c r="S34" s="296">
        <v>24.566108534554353</v>
      </c>
      <c r="T34" s="296">
        <v>24.974862630292254</v>
      </c>
      <c r="U34" s="296">
        <v>27.879615240779728</v>
      </c>
      <c r="V34" s="296">
        <v>28.193365982088707</v>
      </c>
      <c r="W34" s="296">
        <v>28.333529328302138</v>
      </c>
      <c r="X34" s="296">
        <v>28.626774192175052</v>
      </c>
      <c r="Y34" s="296">
        <v>28.94167395336072</v>
      </c>
      <c r="Z34" s="296">
        <v>29.640149947816983</v>
      </c>
      <c r="AA34" s="296">
        <v>29.847848336791102</v>
      </c>
      <c r="AB34" s="296">
        <v>30.165660972478374</v>
      </c>
      <c r="AC34" s="296">
        <v>30.276425160244816</v>
      </c>
      <c r="AD34" s="296">
        <v>30.566173625896745</v>
      </c>
      <c r="AE34" s="296">
        <v>30.82820424046874</v>
      </c>
      <c r="AF34" s="296">
        <v>30.957295817118904</v>
      </c>
      <c r="AG34" s="296">
        <v>31.094646863650652</v>
      </c>
      <c r="AH34" s="296">
        <v>31.493887150715071</v>
      </c>
      <c r="AI34" s="296">
        <v>31.656085870682666</v>
      </c>
      <c r="AJ34" s="296">
        <v>31.804827489980472</v>
      </c>
      <c r="AK34" s="296">
        <v>31.946261304909751</v>
      </c>
      <c r="AL34" s="296">
        <v>32.10487348884606</v>
      </c>
      <c r="AM34" s="296">
        <v>32.130046607218084</v>
      </c>
      <c r="AN34" s="296">
        <v>32.208484529750095</v>
      </c>
      <c r="AO34" s="296">
        <v>32.263705798803336</v>
      </c>
      <c r="AP34" s="296">
        <v>32.341719599217363</v>
      </c>
      <c r="AQ34" s="296">
        <v>32.296205697925004</v>
      </c>
      <c r="AR34" s="296">
        <v>32.371844604242106</v>
      </c>
      <c r="AS34" s="296">
        <v>32.425072404458916</v>
      </c>
      <c r="AT34" s="296">
        <v>32.268296185395769</v>
      </c>
      <c r="AU34" s="296">
        <v>32.341212929841511</v>
      </c>
      <c r="AV34" s="297">
        <v>1.7836419776840747E-2</v>
      </c>
    </row>
    <row r="35" spans="1:48" ht="12.9" customHeight="1">
      <c r="A35" s="40" t="s">
        <v>29</v>
      </c>
      <c r="B35" s="296">
        <v>10.868934719680732</v>
      </c>
      <c r="C35" s="296">
        <v>11.781013667017787</v>
      </c>
      <c r="D35" s="296">
        <v>11.945835170871824</v>
      </c>
      <c r="E35" s="296">
        <v>20.824636319965069</v>
      </c>
      <c r="F35" s="296">
        <v>11.526194206927102</v>
      </c>
      <c r="G35" s="296">
        <v>15.439504906</v>
      </c>
      <c r="H35" s="296">
        <v>25.107132314400001</v>
      </c>
      <c r="I35" s="296">
        <v>23.965906763478063</v>
      </c>
      <c r="J35" s="296">
        <v>23.169058501261514</v>
      </c>
      <c r="K35" s="296">
        <v>17.084399432277209</v>
      </c>
      <c r="L35" s="296">
        <v>13.98949960318317</v>
      </c>
      <c r="M35" s="296">
        <v>9.9074245097370142</v>
      </c>
      <c r="N35" s="296">
        <v>12.589680052124997</v>
      </c>
      <c r="O35" s="296">
        <v>11.897579</v>
      </c>
      <c r="P35" s="296">
        <v>15.248987</v>
      </c>
      <c r="Q35" s="296">
        <v>15.380401000000001</v>
      </c>
      <c r="R35" s="296">
        <v>16.985220000000002</v>
      </c>
      <c r="S35" s="296">
        <v>18.720980000000001</v>
      </c>
      <c r="T35" s="296">
        <v>19.134377000000001</v>
      </c>
      <c r="U35" s="296">
        <v>19.106483000000001</v>
      </c>
      <c r="V35" s="296">
        <v>19.133807999999998</v>
      </c>
      <c r="W35" s="296">
        <v>19.553170999999999</v>
      </c>
      <c r="X35" s="296">
        <v>19.710277999999999</v>
      </c>
      <c r="Y35" s="296">
        <v>19.886894000000002</v>
      </c>
      <c r="Z35" s="296">
        <v>20.164287999999999</v>
      </c>
      <c r="AA35" s="296">
        <v>20.338757000000001</v>
      </c>
      <c r="AB35" s="296">
        <v>20.608881</v>
      </c>
      <c r="AC35" s="296">
        <v>20.777021000000001</v>
      </c>
      <c r="AD35" s="296">
        <v>20.970106000000001</v>
      </c>
      <c r="AE35" s="296">
        <v>21.154682000000001</v>
      </c>
      <c r="AF35" s="296">
        <v>21.319182999999999</v>
      </c>
      <c r="AG35" s="296">
        <v>21.416967</v>
      </c>
      <c r="AH35" s="296">
        <v>21.795977000000001</v>
      </c>
      <c r="AI35" s="296">
        <v>21.921675</v>
      </c>
      <c r="AJ35" s="296">
        <v>22.075838000000001</v>
      </c>
      <c r="AK35" s="296">
        <v>22.220699</v>
      </c>
      <c r="AL35" s="296">
        <v>22.411581000000002</v>
      </c>
      <c r="AM35" s="296">
        <v>22.477058</v>
      </c>
      <c r="AN35" s="296">
        <v>22.543178999999999</v>
      </c>
      <c r="AO35" s="296">
        <v>22.553353999999999</v>
      </c>
      <c r="AP35" s="296">
        <v>22.600245000000001</v>
      </c>
      <c r="AQ35" s="296">
        <v>22.526717999999999</v>
      </c>
      <c r="AR35" s="296">
        <v>22.623985000000001</v>
      </c>
      <c r="AS35" s="296">
        <v>22.757549000000001</v>
      </c>
      <c r="AT35" s="296">
        <v>22.785765000000001</v>
      </c>
      <c r="AU35" s="296">
        <v>22.906047999999998</v>
      </c>
      <c r="AV35" s="297">
        <v>2.8914677200294274E-2</v>
      </c>
    </row>
    <row r="36" spans="1:48" ht="12.9" customHeight="1">
      <c r="A36" s="40" t="s">
        <v>52</v>
      </c>
      <c r="B36" s="296">
        <v>14.347516543540372</v>
      </c>
      <c r="C36" s="296">
        <v>13.450918029411255</v>
      </c>
      <c r="D36" s="296">
        <v>12.714585281051809</v>
      </c>
      <c r="E36" s="296">
        <v>15.022166673886632</v>
      </c>
      <c r="F36" s="296">
        <v>10.607329831625647</v>
      </c>
      <c r="G36" s="296">
        <v>15.702759674999999</v>
      </c>
      <c r="H36" s="296">
        <v>16.275761133</v>
      </c>
      <c r="I36" s="296">
        <v>18.340810988316612</v>
      </c>
      <c r="J36" s="296">
        <v>18.112276357726433</v>
      </c>
      <c r="K36" s="296">
        <v>22.497340234655006</v>
      </c>
      <c r="L36" s="296">
        <v>20.092027573140665</v>
      </c>
      <c r="M36" s="296">
        <v>17.266133423212487</v>
      </c>
      <c r="N36" s="296">
        <v>16.693298184249993</v>
      </c>
      <c r="O36" s="296">
        <v>15.54055</v>
      </c>
      <c r="P36" s="296">
        <v>15.461475</v>
      </c>
      <c r="Q36" s="296">
        <v>15.526028</v>
      </c>
      <c r="R36" s="296">
        <v>14.654116</v>
      </c>
      <c r="S36" s="296">
        <v>14.504236000000001</v>
      </c>
      <c r="T36" s="296">
        <v>14.543445999999999</v>
      </c>
      <c r="U36" s="296">
        <v>17.335283</v>
      </c>
      <c r="V36" s="296">
        <v>17.415651</v>
      </c>
      <c r="W36" s="296">
        <v>17.356193999999999</v>
      </c>
      <c r="X36" s="296">
        <v>17.316749999999999</v>
      </c>
      <c r="Y36" s="296">
        <v>17.225100999999999</v>
      </c>
      <c r="Z36" s="296">
        <v>17.576174000000002</v>
      </c>
      <c r="AA36" s="296">
        <v>17.482697000000002</v>
      </c>
      <c r="AB36" s="296">
        <v>17.390416999999999</v>
      </c>
      <c r="AC36" s="296">
        <v>17.333994000000001</v>
      </c>
      <c r="AD36" s="296">
        <v>17.264631000000001</v>
      </c>
      <c r="AE36" s="296">
        <v>17.222916000000001</v>
      </c>
      <c r="AF36" s="296">
        <v>17.164318000000002</v>
      </c>
      <c r="AG36" s="296">
        <v>17.218857</v>
      </c>
      <c r="AH36" s="296">
        <v>17.173249999999999</v>
      </c>
      <c r="AI36" s="296">
        <v>17.185514000000001</v>
      </c>
      <c r="AJ36" s="296">
        <v>17.192053000000001</v>
      </c>
      <c r="AK36" s="296">
        <v>17.183734999999999</v>
      </c>
      <c r="AL36" s="296">
        <v>17.199635000000001</v>
      </c>
      <c r="AM36" s="296">
        <v>17.24287</v>
      </c>
      <c r="AN36" s="296">
        <v>17.259450999999999</v>
      </c>
      <c r="AO36" s="296">
        <v>17.291245</v>
      </c>
      <c r="AP36" s="296">
        <v>17.326384999999998</v>
      </c>
      <c r="AQ36" s="296">
        <v>17.370512000000002</v>
      </c>
      <c r="AR36" s="296">
        <v>17.405280999999999</v>
      </c>
      <c r="AS36" s="296">
        <v>17.484158000000001</v>
      </c>
      <c r="AT36" s="296">
        <v>17.546582999999998</v>
      </c>
      <c r="AU36" s="296">
        <v>17.632359999999998</v>
      </c>
      <c r="AV36" s="297">
        <v>4.2063545048276908E-3</v>
      </c>
    </row>
    <row r="37" spans="1:48" ht="12.9" customHeight="1">
      <c r="A37" s="46" t="s">
        <v>8</v>
      </c>
      <c r="B37" s="296">
        <v>25.273055569087418</v>
      </c>
      <c r="C37" s="296">
        <v>23.968927249238199</v>
      </c>
      <c r="D37" s="296">
        <v>23.728557758441507</v>
      </c>
      <c r="E37" s="296">
        <v>24.586978211291097</v>
      </c>
      <c r="F37" s="296">
        <v>23.563944028004737</v>
      </c>
      <c r="G37" s="296">
        <v>25.051514399860356</v>
      </c>
      <c r="H37" s="296">
        <v>24.211661054755247</v>
      </c>
      <c r="I37" s="296">
        <v>27.060308865246494</v>
      </c>
      <c r="J37" s="296">
        <v>27.370047311581605</v>
      </c>
      <c r="K37" s="296">
        <v>28.829920836811443</v>
      </c>
      <c r="L37" s="296">
        <v>25.034169591546259</v>
      </c>
      <c r="M37" s="296">
        <v>25.996081881027568</v>
      </c>
      <c r="N37" s="296">
        <v>31.147655966928838</v>
      </c>
      <c r="O37" s="296">
        <v>31.557759933321371</v>
      </c>
      <c r="P37" s="296">
        <v>31.592565748582185</v>
      </c>
      <c r="Q37" s="296">
        <v>32.711532321396689</v>
      </c>
      <c r="R37" s="296">
        <v>34.315052165579182</v>
      </c>
      <c r="S37" s="296">
        <v>36.03492900681033</v>
      </c>
      <c r="T37" s="296">
        <v>38.053405421189247</v>
      </c>
      <c r="U37" s="296">
        <v>38.799645840576162</v>
      </c>
      <c r="V37" s="296">
        <v>40.056789834174936</v>
      </c>
      <c r="W37" s="296">
        <v>41.252547483376112</v>
      </c>
      <c r="X37" s="296">
        <v>41.57100466360513</v>
      </c>
      <c r="Y37" s="296">
        <v>41.788209420262987</v>
      </c>
      <c r="Z37" s="296">
        <v>41.95555879105116</v>
      </c>
      <c r="AA37" s="296">
        <v>42.238065310596873</v>
      </c>
      <c r="AB37" s="296">
        <v>42.587067155279428</v>
      </c>
      <c r="AC37" s="296">
        <v>42.692792097824416</v>
      </c>
      <c r="AD37" s="296">
        <v>42.659328352557857</v>
      </c>
      <c r="AE37" s="296">
        <v>42.6131746597461</v>
      </c>
      <c r="AF37" s="296">
        <v>42.506124148067435</v>
      </c>
      <c r="AG37" s="296">
        <v>42.335876911858414</v>
      </c>
      <c r="AH37" s="296">
        <v>42.172173445504278</v>
      </c>
      <c r="AI37" s="296">
        <v>41.933248841784852</v>
      </c>
      <c r="AJ37" s="296">
        <v>41.634472473702246</v>
      </c>
      <c r="AK37" s="296">
        <v>41.312396890473494</v>
      </c>
      <c r="AL37" s="296">
        <v>41.038654685164261</v>
      </c>
      <c r="AM37" s="296">
        <v>40.810362135948502</v>
      </c>
      <c r="AN37" s="296">
        <v>40.49909540215824</v>
      </c>
      <c r="AO37" s="296">
        <v>40.156966558787012</v>
      </c>
      <c r="AP37" s="296">
        <v>39.994913964246649</v>
      </c>
      <c r="AQ37" s="296">
        <v>39.741824550347822</v>
      </c>
      <c r="AR37" s="296">
        <v>39.445169721483296</v>
      </c>
      <c r="AS37" s="296">
        <v>39.088192460851289</v>
      </c>
      <c r="AT37" s="296">
        <v>38.724060112767475</v>
      </c>
      <c r="AU37" s="296">
        <v>38.366006367421093</v>
      </c>
      <c r="AV37" s="297">
        <v>0</v>
      </c>
    </row>
    <row r="38" spans="1:48" ht="12.9" customHeight="1">
      <c r="B38" s="139"/>
      <c r="C38" s="139"/>
      <c r="D38" s="138"/>
      <c r="E38" s="138"/>
      <c r="F38" s="138"/>
      <c r="G38" s="138"/>
      <c r="H38" s="138"/>
      <c r="I38" s="138"/>
      <c r="J38" s="138"/>
      <c r="K38" s="139"/>
      <c r="L38" s="138"/>
      <c r="M38" s="139"/>
      <c r="N38" s="178"/>
      <c r="O38" s="17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96"/>
      <c r="AM38" s="196"/>
      <c r="AN38" s="196"/>
      <c r="AO38" s="196"/>
      <c r="AP38" s="196"/>
      <c r="AQ38" s="196"/>
      <c r="AR38" s="196"/>
      <c r="AS38" s="196"/>
      <c r="AT38" s="196"/>
      <c r="AU38" s="196"/>
      <c r="AV38" s="199"/>
    </row>
    <row r="39" spans="1:48" ht="12.9" customHeight="1">
      <c r="A39" s="40" t="s">
        <v>416</v>
      </c>
      <c r="B39" s="140" t="s">
        <v>407</v>
      </c>
      <c r="C39" s="140"/>
      <c r="D39" s="140"/>
      <c r="E39" s="140"/>
      <c r="F39" s="140"/>
      <c r="G39" s="140"/>
      <c r="H39" s="140"/>
      <c r="I39" s="140"/>
      <c r="J39" s="138"/>
      <c r="K39" s="139"/>
      <c r="L39" s="138"/>
      <c r="M39" s="139"/>
      <c r="N39" s="178"/>
      <c r="O39" s="17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96"/>
      <c r="AM39" s="196"/>
      <c r="AN39" s="196"/>
      <c r="AO39" s="196"/>
      <c r="AP39" s="196"/>
      <c r="AQ39" s="196"/>
      <c r="AR39" s="196"/>
      <c r="AS39" s="196"/>
      <c r="AT39" s="196"/>
      <c r="AU39" s="196"/>
      <c r="AV39" s="199"/>
    </row>
    <row r="40" spans="1:48" ht="12.9" customHeight="1">
      <c r="A40" s="40" t="s">
        <v>23</v>
      </c>
      <c r="B40" s="296">
        <v>20.188166351274685</v>
      </c>
      <c r="C40" s="296">
        <v>21.326169034777244</v>
      </c>
      <c r="D40" s="296">
        <v>22.91240067507902</v>
      </c>
      <c r="E40" s="296">
        <v>27.263969815177031</v>
      </c>
      <c r="F40" s="296">
        <v>20.047719445762652</v>
      </c>
      <c r="G40" s="296">
        <v>24.265053305333172</v>
      </c>
      <c r="H40" s="296">
        <v>29.538150084887882</v>
      </c>
      <c r="I40" s="296">
        <v>28.939255629178632</v>
      </c>
      <c r="J40" s="296">
        <v>28.853403995464859</v>
      </c>
      <c r="K40" s="296">
        <v>27.840445058251927</v>
      </c>
      <c r="L40" s="296">
        <v>17.749441120966889</v>
      </c>
      <c r="M40" s="296">
        <v>13.758000453893089</v>
      </c>
      <c r="N40" s="296">
        <v>20.070928319049994</v>
      </c>
      <c r="O40" s="296">
        <v>22.921759000000002</v>
      </c>
      <c r="P40" s="296">
        <v>23.481297000000001</v>
      </c>
      <c r="Q40" s="296">
        <v>23.086483000000001</v>
      </c>
      <c r="R40" s="296">
        <v>22.351047999999999</v>
      </c>
      <c r="S40" s="296">
        <v>21.355924999999999</v>
      </c>
      <c r="T40" s="296">
        <v>20.863575000000001</v>
      </c>
      <c r="U40" s="296">
        <v>20.678598000000001</v>
      </c>
      <c r="V40" s="296">
        <v>21.040054000000001</v>
      </c>
      <c r="W40" s="296">
        <v>21.520140000000001</v>
      </c>
      <c r="X40" s="296">
        <v>22.164476000000001</v>
      </c>
      <c r="Y40" s="296">
        <v>22.35718</v>
      </c>
      <c r="Z40" s="296">
        <v>22.933252</v>
      </c>
      <c r="AA40" s="296">
        <v>23.031115</v>
      </c>
      <c r="AB40" s="296">
        <v>23.249891000000002</v>
      </c>
      <c r="AC40" s="296">
        <v>23.575551999999998</v>
      </c>
      <c r="AD40" s="296">
        <v>23.835875999999999</v>
      </c>
      <c r="AE40" s="296">
        <v>23.888535999999998</v>
      </c>
      <c r="AF40" s="296">
        <v>24.127108</v>
      </c>
      <c r="AG40" s="296">
        <v>24.47138</v>
      </c>
      <c r="AH40" s="296">
        <v>24.432410999999998</v>
      </c>
      <c r="AI40" s="296">
        <v>24.606831</v>
      </c>
      <c r="AJ40" s="296">
        <v>24.784860999999999</v>
      </c>
      <c r="AK40" s="296">
        <v>24.892582000000001</v>
      </c>
      <c r="AL40" s="296">
        <v>24.978269999999998</v>
      </c>
      <c r="AM40" s="296">
        <v>25.253405000000001</v>
      </c>
      <c r="AN40" s="296">
        <v>25.302980000000002</v>
      </c>
      <c r="AO40" s="296">
        <v>25.271061</v>
      </c>
      <c r="AP40" s="296">
        <v>25.337831000000001</v>
      </c>
      <c r="AQ40" s="296">
        <v>25.359186000000001</v>
      </c>
      <c r="AR40" s="296">
        <v>25.372499000000001</v>
      </c>
      <c r="AS40" s="296">
        <v>25.434021000000001</v>
      </c>
      <c r="AT40" s="296">
        <v>25.379916999999999</v>
      </c>
      <c r="AU40" s="296">
        <v>25.357512</v>
      </c>
      <c r="AV40" s="297">
        <v>3.3207434582136538E-3</v>
      </c>
    </row>
    <row r="41" spans="1:48" ht="12.9" customHeight="1">
      <c r="A41" s="40" t="s">
        <v>29</v>
      </c>
      <c r="B41" s="296">
        <v>12.290428436583822</v>
      </c>
      <c r="C41" s="296">
        <v>13.792591215465984</v>
      </c>
      <c r="D41" s="296">
        <v>14.888421832521232</v>
      </c>
      <c r="E41" s="296">
        <v>23.528226496197249</v>
      </c>
      <c r="F41" s="296">
        <v>14.386094144547821</v>
      </c>
      <c r="G41" s="296">
        <v>19.812749934889489</v>
      </c>
      <c r="H41" s="296">
        <v>26.840702349188167</v>
      </c>
      <c r="I41" s="296">
        <v>30.618803787325504</v>
      </c>
      <c r="J41" s="296">
        <v>28.293554609415906</v>
      </c>
      <c r="K41" s="296">
        <v>23.15357446969649</v>
      </c>
      <c r="L41" s="296">
        <v>14.556640945177232</v>
      </c>
      <c r="M41" s="296">
        <v>11.968002446689097</v>
      </c>
      <c r="N41" s="296">
        <v>14.336378417274995</v>
      </c>
      <c r="O41" s="296">
        <v>15.840711000000001</v>
      </c>
      <c r="P41" s="296">
        <v>15.821415999999999</v>
      </c>
      <c r="Q41" s="296">
        <v>15.83398</v>
      </c>
      <c r="R41" s="296">
        <v>15.680085999999999</v>
      </c>
      <c r="S41" s="296">
        <v>15.34849</v>
      </c>
      <c r="T41" s="296">
        <v>15.393039999999999</v>
      </c>
      <c r="U41" s="296">
        <v>15.611662000000001</v>
      </c>
      <c r="V41" s="296">
        <v>15.833912</v>
      </c>
      <c r="W41" s="296">
        <v>16.231988999999999</v>
      </c>
      <c r="X41" s="296">
        <v>16.776378999999999</v>
      </c>
      <c r="Y41" s="296">
        <v>16.972984</v>
      </c>
      <c r="Z41" s="296">
        <v>17.387792999999999</v>
      </c>
      <c r="AA41" s="296">
        <v>17.493051999999999</v>
      </c>
      <c r="AB41" s="296">
        <v>17.693014000000002</v>
      </c>
      <c r="AC41" s="296">
        <v>17.927557</v>
      </c>
      <c r="AD41" s="296">
        <v>18.073710999999999</v>
      </c>
      <c r="AE41" s="296">
        <v>18.170567999999999</v>
      </c>
      <c r="AF41" s="296">
        <v>18.353981000000001</v>
      </c>
      <c r="AG41" s="296">
        <v>18.625292000000002</v>
      </c>
      <c r="AH41" s="296">
        <v>18.761427000000001</v>
      </c>
      <c r="AI41" s="296">
        <v>18.831242</v>
      </c>
      <c r="AJ41" s="296">
        <v>18.959412</v>
      </c>
      <c r="AK41" s="296">
        <v>19.053341</v>
      </c>
      <c r="AL41" s="296">
        <v>19.148907000000001</v>
      </c>
      <c r="AM41" s="296">
        <v>19.466491999999999</v>
      </c>
      <c r="AN41" s="296">
        <v>19.477512000000001</v>
      </c>
      <c r="AO41" s="296">
        <v>19.37182</v>
      </c>
      <c r="AP41" s="296">
        <v>19.382802999999999</v>
      </c>
      <c r="AQ41" s="296">
        <v>19.387936</v>
      </c>
      <c r="AR41" s="296">
        <v>19.417421000000001</v>
      </c>
      <c r="AS41" s="296">
        <v>19.437971000000001</v>
      </c>
      <c r="AT41" s="296">
        <v>19.407381000000001</v>
      </c>
      <c r="AU41" s="296">
        <v>19.413430999999999</v>
      </c>
      <c r="AV41" s="297">
        <v>7.0481369175916381E-3</v>
      </c>
    </row>
    <row r="42" spans="1:48" ht="12.9" customHeight="1">
      <c r="A42" s="40" t="s">
        <v>24</v>
      </c>
      <c r="B42" s="296">
        <v>8.8587806092391812</v>
      </c>
      <c r="C42" s="296">
        <v>7.2187537219205105</v>
      </c>
      <c r="D42" s="296">
        <v>7.365604152788511</v>
      </c>
      <c r="E42" s="296">
        <v>8.8873175920093885</v>
      </c>
      <c r="F42" s="296">
        <v>4.8130168071388626</v>
      </c>
      <c r="G42" s="296">
        <v>4.9287729999999996</v>
      </c>
      <c r="H42" s="296">
        <v>4.9588802021999996</v>
      </c>
      <c r="I42" s="296">
        <v>4.4207545472893948</v>
      </c>
      <c r="J42" s="296">
        <v>5.2937810197026716</v>
      </c>
      <c r="K42" s="296">
        <v>5.8873515942431487</v>
      </c>
      <c r="L42" s="296">
        <v>3.7356477945642048</v>
      </c>
      <c r="M42" s="296">
        <v>3.1579278568856042</v>
      </c>
      <c r="N42" s="296">
        <v>3.5132702400499993</v>
      </c>
      <c r="O42" s="296">
        <v>3.4597889999999998</v>
      </c>
      <c r="P42" s="296">
        <v>3.338984</v>
      </c>
      <c r="Q42" s="296">
        <v>3.523911</v>
      </c>
      <c r="R42" s="296">
        <v>3.5198480000000001</v>
      </c>
      <c r="S42" s="296">
        <v>3.5927020000000001</v>
      </c>
      <c r="T42" s="296">
        <v>3.7490030000000001</v>
      </c>
      <c r="U42" s="296">
        <v>3.860687</v>
      </c>
      <c r="V42" s="296">
        <v>4.1278620000000004</v>
      </c>
      <c r="W42" s="296">
        <v>4.2413309999999997</v>
      </c>
      <c r="X42" s="296">
        <v>4.2004409999999996</v>
      </c>
      <c r="Y42" s="296">
        <v>4.266362</v>
      </c>
      <c r="Z42" s="296">
        <v>4.2519809999999998</v>
      </c>
      <c r="AA42" s="296">
        <v>4.2507210000000004</v>
      </c>
      <c r="AB42" s="296">
        <v>4.2451860000000003</v>
      </c>
      <c r="AC42" s="296">
        <v>4.3918699999999999</v>
      </c>
      <c r="AD42" s="296">
        <v>4.4640209999999998</v>
      </c>
      <c r="AE42" s="296">
        <v>4.5215240000000003</v>
      </c>
      <c r="AF42" s="296">
        <v>4.5818950000000003</v>
      </c>
      <c r="AG42" s="296">
        <v>4.6243980000000002</v>
      </c>
      <c r="AH42" s="296">
        <v>4.6344630000000002</v>
      </c>
      <c r="AI42" s="296">
        <v>4.6746629999999998</v>
      </c>
      <c r="AJ42" s="296">
        <v>4.7027809999999999</v>
      </c>
      <c r="AK42" s="296">
        <v>4.7968200000000003</v>
      </c>
      <c r="AL42" s="296">
        <v>4.7838029999999998</v>
      </c>
      <c r="AM42" s="296">
        <v>4.8437279999999996</v>
      </c>
      <c r="AN42" s="296">
        <v>4.9122680000000001</v>
      </c>
      <c r="AO42" s="296">
        <v>5.0426489999999999</v>
      </c>
      <c r="AP42" s="296">
        <v>5.151084</v>
      </c>
      <c r="AQ42" s="296">
        <v>5.2509100000000002</v>
      </c>
      <c r="AR42" s="296">
        <v>5.3633059999999997</v>
      </c>
      <c r="AS42" s="296">
        <v>5.554729</v>
      </c>
      <c r="AT42" s="296">
        <v>5.672034</v>
      </c>
      <c r="AU42" s="296">
        <v>5.7768170000000003</v>
      </c>
      <c r="AV42" s="297">
        <v>2.0928190996618586E-2</v>
      </c>
    </row>
    <row r="43" spans="1:48" ht="12.9" customHeight="1">
      <c r="A43" s="40" t="s">
        <v>39</v>
      </c>
      <c r="B43" s="296">
        <v>1.7320665011297836</v>
      </c>
      <c r="C43" s="296">
        <v>1.9023175526905256</v>
      </c>
      <c r="D43" s="296">
        <v>2.1303159268487466</v>
      </c>
      <c r="E43" s="296">
        <v>2.6336036357309429</v>
      </c>
      <c r="F43" s="296">
        <v>2.7189923274487202</v>
      </c>
      <c r="G43" s="296">
        <v>1.8096479999999999</v>
      </c>
      <c r="H43" s="296">
        <v>2.0108612675999997</v>
      </c>
      <c r="I43" s="296">
        <v>2.3022747970566209</v>
      </c>
      <c r="J43" s="296">
        <v>2.4534220395104436</v>
      </c>
      <c r="K43" s="296">
        <v>2.5854695042381763</v>
      </c>
      <c r="L43" s="296">
        <v>2.4027795829736083</v>
      </c>
      <c r="M43" s="296">
        <v>2.1810099116212669</v>
      </c>
      <c r="N43" s="296">
        <v>2.1175993834499995</v>
      </c>
      <c r="O43" s="296">
        <v>2.115135</v>
      </c>
      <c r="P43" s="296">
        <v>2.0839189999999999</v>
      </c>
      <c r="Q43" s="296">
        <v>2.1097239999999999</v>
      </c>
      <c r="R43" s="296">
        <v>2.1788180000000001</v>
      </c>
      <c r="S43" s="296">
        <v>2.173702</v>
      </c>
      <c r="T43" s="296">
        <v>2.1702279999999998</v>
      </c>
      <c r="U43" s="296">
        <v>2.1746129999999999</v>
      </c>
      <c r="V43" s="296">
        <v>2.182369</v>
      </c>
      <c r="W43" s="296">
        <v>2.1846610000000002</v>
      </c>
      <c r="X43" s="296">
        <v>2.1908029999999998</v>
      </c>
      <c r="Y43" s="296">
        <v>2.1875740000000001</v>
      </c>
      <c r="Z43" s="296">
        <v>2.198693</v>
      </c>
      <c r="AA43" s="296">
        <v>2.2079970000000002</v>
      </c>
      <c r="AB43" s="296">
        <v>2.2142819999999999</v>
      </c>
      <c r="AC43" s="296">
        <v>2.21488</v>
      </c>
      <c r="AD43" s="296">
        <v>2.2205430000000002</v>
      </c>
      <c r="AE43" s="296">
        <v>2.2202250000000001</v>
      </c>
      <c r="AF43" s="296">
        <v>2.2319819999999999</v>
      </c>
      <c r="AG43" s="296">
        <v>2.256062</v>
      </c>
      <c r="AH43" s="296">
        <v>2.2687249999999999</v>
      </c>
      <c r="AI43" s="296">
        <v>2.2840940000000001</v>
      </c>
      <c r="AJ43" s="296">
        <v>2.3018879999999999</v>
      </c>
      <c r="AK43" s="296">
        <v>2.313434</v>
      </c>
      <c r="AL43" s="296">
        <v>2.3208730000000002</v>
      </c>
      <c r="AM43" s="296">
        <v>2.3302659999999999</v>
      </c>
      <c r="AN43" s="296">
        <v>2.3331529999999998</v>
      </c>
      <c r="AO43" s="296">
        <v>2.3344830000000001</v>
      </c>
      <c r="AP43" s="296">
        <v>2.339143</v>
      </c>
      <c r="AQ43" s="296">
        <v>2.3411230000000001</v>
      </c>
      <c r="AR43" s="296">
        <v>2.3401860000000001</v>
      </c>
      <c r="AS43" s="296">
        <v>2.3441269999999998</v>
      </c>
      <c r="AT43" s="296">
        <v>2.3461530000000002</v>
      </c>
      <c r="AU43" s="296">
        <v>2.3493240000000002</v>
      </c>
      <c r="AV43" s="297">
        <v>3.4600185094568461E-3</v>
      </c>
    </row>
    <row r="44" spans="1:48">
      <c r="B44" s="45"/>
      <c r="C44" s="45"/>
      <c r="D44" s="45"/>
      <c r="E44" s="45"/>
      <c r="F44" s="45"/>
      <c r="G44" s="45"/>
      <c r="H44" s="45"/>
      <c r="I44" s="45"/>
      <c r="J44" s="45"/>
      <c r="K44" s="45"/>
      <c r="L44" s="45"/>
      <c r="M44" s="45"/>
      <c r="N44" s="115"/>
      <c r="O44" s="115"/>
      <c r="P44" s="45"/>
      <c r="Q44" s="45"/>
      <c r="R44" s="45"/>
      <c r="S44" s="45"/>
      <c r="T44" s="45"/>
      <c r="U44" s="45"/>
      <c r="V44" s="45"/>
      <c r="W44" s="45"/>
      <c r="X44" s="45"/>
      <c r="Y44" s="45"/>
      <c r="Z44" s="45"/>
      <c r="AA44" s="45"/>
      <c r="AB44" s="45"/>
      <c r="AC44" s="45"/>
      <c r="AD44" s="45"/>
      <c r="AE44" s="45"/>
      <c r="AF44" s="45"/>
      <c r="AG44" s="45"/>
      <c r="AH44" s="45"/>
      <c r="AI44" s="45"/>
      <c r="AJ44" s="45"/>
      <c r="AK44" s="45"/>
    </row>
    <row r="45" spans="1:48">
      <c r="A45" s="54"/>
      <c r="B45" s="45"/>
      <c r="C45" s="45"/>
      <c r="D45" s="45"/>
      <c r="E45" s="45"/>
      <c r="F45" s="45"/>
      <c r="G45" s="45"/>
      <c r="H45" s="45"/>
      <c r="I45" s="45"/>
      <c r="J45" s="45"/>
      <c r="K45" s="45"/>
      <c r="L45" s="45"/>
      <c r="M45" s="45"/>
      <c r="N45" s="115"/>
      <c r="O45" s="115"/>
      <c r="P45" s="45"/>
      <c r="Q45" s="45"/>
      <c r="R45" s="45"/>
      <c r="S45" s="45"/>
      <c r="T45" s="45"/>
      <c r="U45" s="45"/>
      <c r="V45" s="45"/>
      <c r="W45" s="45"/>
      <c r="X45" s="45"/>
      <c r="Y45" s="45"/>
      <c r="Z45" s="45"/>
      <c r="AA45" s="45"/>
      <c r="AB45" s="45"/>
      <c r="AC45" s="45"/>
      <c r="AD45" s="45"/>
      <c r="AE45" s="45"/>
      <c r="AF45" s="45"/>
      <c r="AG45" s="45"/>
      <c r="AH45" s="45"/>
      <c r="AI45" s="45"/>
      <c r="AJ45" s="45"/>
      <c r="AK45" s="45"/>
    </row>
    <row r="46" spans="1:48">
      <c r="H46"/>
      <c r="I46"/>
      <c r="J46"/>
      <c r="K46"/>
      <c r="L46"/>
      <c r="M46"/>
      <c r="N46"/>
      <c r="O46"/>
      <c r="P46"/>
    </row>
    <row r="47" spans="1:48">
      <c r="H47"/>
      <c r="I47"/>
      <c r="J47"/>
      <c r="K47"/>
      <c r="L47"/>
      <c r="M47"/>
      <c r="N47"/>
      <c r="O47"/>
      <c r="P47"/>
    </row>
    <row r="48" spans="1:48">
      <c r="H48"/>
      <c r="I48"/>
      <c r="J48"/>
      <c r="K48"/>
      <c r="L48"/>
      <c r="M48"/>
      <c r="N48"/>
      <c r="O48"/>
      <c r="P48"/>
    </row>
  </sheetData>
  <hyperlinks>
    <hyperlink ref="B1" location="Cover!B16" display="return to TOC"/>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AV45"/>
  <sheetViews>
    <sheetView workbookViewId="0">
      <selection activeCell="AV7" sqref="AV7:AV43"/>
    </sheetView>
  </sheetViews>
  <sheetFormatPr defaultColWidth="9.33203125" defaultRowHeight="12"/>
  <cols>
    <col min="1" max="1" width="33.33203125" style="40" customWidth="1"/>
    <col min="2" max="37" width="8.88671875" style="40" customWidth="1"/>
    <col min="38" max="16384" width="9.33203125" style="40"/>
  </cols>
  <sheetData>
    <row r="1" spans="1:48" s="280" customFormat="1" ht="26.15" customHeight="1">
      <c r="A1" s="281" t="s">
        <v>418</v>
      </c>
      <c r="B1" s="295" t="s">
        <v>1216</v>
      </c>
    </row>
    <row r="2" spans="1:48" s="280" customFormat="1" ht="12.9" customHeight="1">
      <c r="A2" s="53" t="s">
        <v>414</v>
      </c>
      <c r="B2" s="41" t="s">
        <v>950</v>
      </c>
    </row>
    <row r="3" spans="1:48" s="280" customFormat="1" ht="12.9" customHeight="1">
      <c r="A3" s="53" t="s">
        <v>357</v>
      </c>
      <c r="B3" s="41" t="str">
        <f>'price scenario A'!B3</f>
        <v>2018 dollars per million Btu</v>
      </c>
      <c r="H3" s="178"/>
      <c r="K3"/>
      <c r="L3"/>
      <c r="M3"/>
      <c r="N3"/>
      <c r="AV3" s="253" t="s">
        <v>1394</v>
      </c>
    </row>
    <row r="4" spans="1:48" s="280" customFormat="1" ht="12.9" customHeight="1">
      <c r="D4" s="280" t="s">
        <v>19</v>
      </c>
      <c r="E4" s="280" t="s">
        <v>19</v>
      </c>
      <c r="F4" s="280" t="s">
        <v>19</v>
      </c>
      <c r="K4"/>
      <c r="L4"/>
      <c r="M4"/>
      <c r="N4"/>
      <c r="O4" s="280" t="s">
        <v>19</v>
      </c>
      <c r="P4" s="280" t="s">
        <v>19</v>
      </c>
      <c r="Q4" s="280" t="s">
        <v>19</v>
      </c>
      <c r="R4" s="280" t="s">
        <v>19</v>
      </c>
      <c r="S4" s="280" t="s">
        <v>19</v>
      </c>
      <c r="T4" s="280" t="s">
        <v>19</v>
      </c>
      <c r="U4" s="280" t="s">
        <v>19</v>
      </c>
      <c r="V4" s="280" t="s">
        <v>19</v>
      </c>
      <c r="W4" s="280" t="s">
        <v>19</v>
      </c>
      <c r="X4" s="280" t="s">
        <v>19</v>
      </c>
      <c r="Y4" s="280" t="s">
        <v>19</v>
      </c>
      <c r="Z4" s="280" t="s">
        <v>19</v>
      </c>
      <c r="AA4" s="280" t="s">
        <v>19</v>
      </c>
      <c r="AB4" s="280" t="s">
        <v>19</v>
      </c>
      <c r="AC4" s="280" t="s">
        <v>19</v>
      </c>
      <c r="AD4" s="280" t="s">
        <v>19</v>
      </c>
      <c r="AE4" s="280" t="s">
        <v>19</v>
      </c>
      <c r="AF4" s="280" t="s">
        <v>19</v>
      </c>
      <c r="AV4" s="471" t="s">
        <v>1217</v>
      </c>
    </row>
    <row r="5" spans="1:48" s="280" customFormat="1" ht="12.9" customHeight="1">
      <c r="A5" s="282" t="s">
        <v>20</v>
      </c>
      <c r="B5" s="282">
        <v>2005</v>
      </c>
      <c r="C5" s="282">
        <v>2006</v>
      </c>
      <c r="D5" s="282">
        <v>2007</v>
      </c>
      <c r="E5" s="282">
        <v>2008</v>
      </c>
      <c r="F5" s="282">
        <v>2009</v>
      </c>
      <c r="G5" s="282">
        <v>2010</v>
      </c>
      <c r="H5" s="282">
        <v>2011</v>
      </c>
      <c r="I5" s="282">
        <v>2012</v>
      </c>
      <c r="J5" s="282">
        <v>2013</v>
      </c>
      <c r="K5" s="282">
        <v>2014</v>
      </c>
      <c r="L5" s="282">
        <v>2015</v>
      </c>
      <c r="M5" s="282">
        <v>2016</v>
      </c>
      <c r="N5" s="282">
        <v>2017</v>
      </c>
      <c r="O5" s="282">
        <v>2018</v>
      </c>
      <c r="P5" s="282">
        <v>2019</v>
      </c>
      <c r="Q5" s="282">
        <v>2020</v>
      </c>
      <c r="R5" s="282">
        <v>2021</v>
      </c>
      <c r="S5" s="282">
        <v>2022</v>
      </c>
      <c r="T5" s="282">
        <v>2023</v>
      </c>
      <c r="U5" s="282">
        <v>2024</v>
      </c>
      <c r="V5" s="282">
        <v>2025</v>
      </c>
      <c r="W5" s="282">
        <v>2026</v>
      </c>
      <c r="X5" s="282">
        <v>2027</v>
      </c>
      <c r="Y5" s="282">
        <v>2028</v>
      </c>
      <c r="Z5" s="282">
        <v>2029</v>
      </c>
      <c r="AA5" s="282">
        <v>2030</v>
      </c>
      <c r="AB5" s="282">
        <v>2031</v>
      </c>
      <c r="AC5" s="282">
        <v>2032</v>
      </c>
      <c r="AD5" s="282">
        <v>2033</v>
      </c>
      <c r="AE5" s="282">
        <v>2034</v>
      </c>
      <c r="AF5" s="282">
        <v>2035</v>
      </c>
      <c r="AG5" s="282">
        <v>2036</v>
      </c>
      <c r="AH5" s="282">
        <v>2037</v>
      </c>
      <c r="AI5" s="282">
        <v>2038</v>
      </c>
      <c r="AJ5" s="282">
        <v>2039</v>
      </c>
      <c r="AK5" s="282">
        <v>2040</v>
      </c>
      <c r="AL5" s="282"/>
      <c r="AM5" s="282"/>
      <c r="AN5" s="282"/>
      <c r="AO5" s="282"/>
      <c r="AP5" s="282"/>
      <c r="AQ5" s="282"/>
      <c r="AR5" s="282"/>
      <c r="AS5" s="282"/>
      <c r="AT5" s="282"/>
      <c r="AU5" s="282"/>
      <c r="AV5" s="254" t="s">
        <v>1218</v>
      </c>
    </row>
    <row r="6" spans="1:48" s="280" customFormat="1" ht="12.9" customHeight="1">
      <c r="A6" s="280" t="s">
        <v>21</v>
      </c>
      <c r="H6" s="178"/>
      <c r="I6" s="142"/>
      <c r="K6" s="178"/>
      <c r="M6" s="178"/>
      <c r="N6" s="142"/>
      <c r="O6" s="142"/>
    </row>
    <row r="7" spans="1:48" s="280" customFormat="1" ht="12.9" customHeight="1">
      <c r="A7" s="280" t="s">
        <v>22</v>
      </c>
      <c r="B7" s="296">
        <v>26.051241846129606</v>
      </c>
      <c r="C7" s="296">
        <v>30.66863980999922</v>
      </c>
      <c r="D7" s="296">
        <v>33.494805329687082</v>
      </c>
      <c r="E7" s="296">
        <v>39.750843853397861</v>
      </c>
      <c r="F7" s="296">
        <v>33.68748039407636</v>
      </c>
      <c r="G7" s="296">
        <v>32.896204367100005</v>
      </c>
      <c r="H7" s="296">
        <v>26.402289025800002</v>
      </c>
      <c r="I7" s="296">
        <v>27.849444200000001</v>
      </c>
      <c r="J7" s="296">
        <v>26.999056000000003</v>
      </c>
      <c r="K7" s="296">
        <v>26.346412999999998</v>
      </c>
      <c r="L7" s="296">
        <v>19.169197</v>
      </c>
      <c r="M7" s="296">
        <v>18.14432</v>
      </c>
      <c r="N7" s="296">
        <v>21.403798256924993</v>
      </c>
      <c r="O7" s="296">
        <v>24.027849</v>
      </c>
      <c r="P7" s="296">
        <v>26.67934</v>
      </c>
      <c r="Q7" s="296">
        <v>28.512535</v>
      </c>
      <c r="R7" s="296">
        <v>29.90427</v>
      </c>
      <c r="S7" s="296">
        <v>31.243496</v>
      </c>
      <c r="T7" s="296">
        <v>32.347602999999999</v>
      </c>
      <c r="U7" s="296">
        <v>33.542014999999999</v>
      </c>
      <c r="V7" s="296">
        <v>34.739505999999999</v>
      </c>
      <c r="W7" s="296">
        <v>35.645142</v>
      </c>
      <c r="X7" s="296">
        <v>36.406502000000003</v>
      </c>
      <c r="Y7" s="296">
        <v>36.987960999999999</v>
      </c>
      <c r="Z7" s="296">
        <v>39.750960999999997</v>
      </c>
      <c r="AA7" s="296">
        <v>40.024498000000001</v>
      </c>
      <c r="AB7" s="296">
        <v>40.573093</v>
      </c>
      <c r="AC7" s="296">
        <v>40.825423999999998</v>
      </c>
      <c r="AD7" s="296">
        <v>41.127701000000002</v>
      </c>
      <c r="AE7" s="296">
        <v>41.443686999999997</v>
      </c>
      <c r="AF7" s="296">
        <v>41.778061000000001</v>
      </c>
      <c r="AG7" s="296">
        <v>42.149783999999997</v>
      </c>
      <c r="AH7" s="296">
        <v>42.414569999999998</v>
      </c>
      <c r="AI7" s="296">
        <v>42.665550000000003</v>
      </c>
      <c r="AJ7" s="296">
        <v>42.91254</v>
      </c>
      <c r="AK7" s="296">
        <v>43.146965000000002</v>
      </c>
      <c r="AL7" s="296">
        <v>43.325927999999998</v>
      </c>
      <c r="AM7" s="296">
        <v>43.488247000000001</v>
      </c>
      <c r="AN7" s="296">
        <v>43.610087999999998</v>
      </c>
      <c r="AO7" s="296">
        <v>43.765067999999999</v>
      </c>
      <c r="AP7" s="296">
        <v>43.885379999999998</v>
      </c>
      <c r="AQ7" s="296">
        <v>43.951897000000002</v>
      </c>
      <c r="AR7" s="296">
        <v>44.016438000000001</v>
      </c>
      <c r="AS7" s="296">
        <v>44.031452000000002</v>
      </c>
      <c r="AT7" s="296">
        <v>44.094467000000002</v>
      </c>
      <c r="AU7" s="296">
        <v>44.104911999999999</v>
      </c>
      <c r="AV7" s="297">
        <v>2.6111709739394483E-2</v>
      </c>
    </row>
    <row r="8" spans="1:48" s="280" customFormat="1" ht="12.9" customHeight="1">
      <c r="A8" s="280" t="s">
        <v>23</v>
      </c>
      <c r="B8" s="296">
        <v>20.654778534439036</v>
      </c>
      <c r="C8" s="296">
        <v>21.813877535660978</v>
      </c>
      <c r="D8" s="296">
        <v>26.118203975052712</v>
      </c>
      <c r="E8" s="296">
        <v>28.360250296964857</v>
      </c>
      <c r="F8" s="296">
        <v>20.84400916446355</v>
      </c>
      <c r="G8" s="296">
        <v>23.640661560000002</v>
      </c>
      <c r="H8" s="296">
        <v>28.773628173599999</v>
      </c>
      <c r="I8" s="296">
        <v>28.642387600000003</v>
      </c>
      <c r="J8" s="296">
        <v>28.5695558</v>
      </c>
      <c r="K8" s="296">
        <v>27.557736999999999</v>
      </c>
      <c r="L8" s="296">
        <v>19.262710999999999</v>
      </c>
      <c r="M8" s="296">
        <v>15.112387</v>
      </c>
      <c r="N8" s="296">
        <v>19.137224993199993</v>
      </c>
      <c r="O8" s="296">
        <v>21.857793999999998</v>
      </c>
      <c r="P8" s="296">
        <v>22.314450999999998</v>
      </c>
      <c r="Q8" s="296">
        <v>23.165623</v>
      </c>
      <c r="R8" s="296">
        <v>23.402135999999999</v>
      </c>
      <c r="S8" s="296">
        <v>23.603096000000001</v>
      </c>
      <c r="T8" s="296">
        <v>24.086915999999999</v>
      </c>
      <c r="U8" s="296">
        <v>25.059007999999999</v>
      </c>
      <c r="V8" s="296">
        <v>25.543462999999999</v>
      </c>
      <c r="W8" s="296">
        <v>25.663786000000002</v>
      </c>
      <c r="X8" s="296">
        <v>26.38353</v>
      </c>
      <c r="Y8" s="296">
        <v>26.663388999999999</v>
      </c>
      <c r="Z8" s="296">
        <v>27.376294999999999</v>
      </c>
      <c r="AA8" s="296">
        <v>27.512858999999999</v>
      </c>
      <c r="AB8" s="296">
        <v>27.828832999999999</v>
      </c>
      <c r="AC8" s="296">
        <v>28.083832000000001</v>
      </c>
      <c r="AD8" s="296">
        <v>28.357472999999999</v>
      </c>
      <c r="AE8" s="296">
        <v>28.453683999999999</v>
      </c>
      <c r="AF8" s="296">
        <v>28.693718000000001</v>
      </c>
      <c r="AG8" s="296">
        <v>29.080083999999999</v>
      </c>
      <c r="AH8" s="296">
        <v>29.141748</v>
      </c>
      <c r="AI8" s="296">
        <v>29.336425999999999</v>
      </c>
      <c r="AJ8" s="296">
        <v>29.571451</v>
      </c>
      <c r="AK8" s="296">
        <v>29.614951999999999</v>
      </c>
      <c r="AL8" s="296">
        <v>29.799631000000002</v>
      </c>
      <c r="AM8" s="296">
        <v>30.021605000000001</v>
      </c>
      <c r="AN8" s="296">
        <v>30.173613</v>
      </c>
      <c r="AO8" s="296">
        <v>30.210975999999999</v>
      </c>
      <c r="AP8" s="296">
        <v>30.381993999999999</v>
      </c>
      <c r="AQ8" s="296">
        <v>30.384450999999999</v>
      </c>
      <c r="AR8" s="296">
        <v>30.567412999999998</v>
      </c>
      <c r="AS8" s="296">
        <v>30.569911999999999</v>
      </c>
      <c r="AT8" s="296">
        <v>30.533093999999998</v>
      </c>
      <c r="AU8" s="296">
        <v>30.574694000000001</v>
      </c>
      <c r="AV8" s="297">
        <v>1.2462516802930803E-2</v>
      </c>
    </row>
    <row r="9" spans="1:48" s="280" customFormat="1" ht="12.9" customHeight="1">
      <c r="A9" s="280" t="s">
        <v>24</v>
      </c>
      <c r="B9" s="296">
        <v>14.064256366483393</v>
      </c>
      <c r="C9" s="296">
        <v>13.948068335222674</v>
      </c>
      <c r="D9" s="296">
        <v>13.786249584779203</v>
      </c>
      <c r="E9" s="296">
        <v>14.349725806705393</v>
      </c>
      <c r="F9" s="296">
        <v>13.021244137356957</v>
      </c>
      <c r="G9" s="296">
        <v>10.983029568600001</v>
      </c>
      <c r="H9" s="296">
        <v>10.777743023399999</v>
      </c>
      <c r="I9" s="296">
        <v>9.7963900000000006</v>
      </c>
      <c r="J9" s="296">
        <v>10.129775</v>
      </c>
      <c r="K9" s="296">
        <v>11.110224000000001</v>
      </c>
      <c r="L9" s="296">
        <v>11.529643</v>
      </c>
      <c r="M9" s="296">
        <v>10.945176999999999</v>
      </c>
      <c r="N9" s="296">
        <v>12.858526045474997</v>
      </c>
      <c r="O9" s="296">
        <v>11.890116000000001</v>
      </c>
      <c r="P9" s="296">
        <v>12.132026</v>
      </c>
      <c r="Q9" s="296">
        <v>11.987216999999999</v>
      </c>
      <c r="R9" s="296">
        <v>11.685492999999999</v>
      </c>
      <c r="S9" s="296">
        <v>11.442681</v>
      </c>
      <c r="T9" s="296">
        <v>11.255986</v>
      </c>
      <c r="U9" s="296">
        <v>11.12576</v>
      </c>
      <c r="V9" s="296">
        <v>11.326274</v>
      </c>
      <c r="W9" s="296">
        <v>11.450631</v>
      </c>
      <c r="X9" s="296">
        <v>11.523619999999999</v>
      </c>
      <c r="Y9" s="296">
        <v>11.612679</v>
      </c>
      <c r="Z9" s="296">
        <v>13.834379999999999</v>
      </c>
      <c r="AA9" s="296">
        <v>13.895778999999999</v>
      </c>
      <c r="AB9" s="296">
        <v>14.236565000000001</v>
      </c>
      <c r="AC9" s="296">
        <v>14.339074</v>
      </c>
      <c r="AD9" s="296">
        <v>14.445603</v>
      </c>
      <c r="AE9" s="296">
        <v>14.515615</v>
      </c>
      <c r="AF9" s="296">
        <v>14.593476000000001</v>
      </c>
      <c r="AG9" s="296">
        <v>14.680808000000001</v>
      </c>
      <c r="AH9" s="296">
        <v>14.726535999999999</v>
      </c>
      <c r="AI9" s="296">
        <v>14.783682000000001</v>
      </c>
      <c r="AJ9" s="296">
        <v>14.862532</v>
      </c>
      <c r="AK9" s="296">
        <v>14.933233</v>
      </c>
      <c r="AL9" s="296">
        <v>14.991037</v>
      </c>
      <c r="AM9" s="296">
        <v>15.047704</v>
      </c>
      <c r="AN9" s="296">
        <v>15.116623000000001</v>
      </c>
      <c r="AO9" s="296">
        <v>15.226782999999999</v>
      </c>
      <c r="AP9" s="296">
        <v>15.334137</v>
      </c>
      <c r="AQ9" s="296">
        <v>15.445045</v>
      </c>
      <c r="AR9" s="296">
        <v>15.56161</v>
      </c>
      <c r="AS9" s="296">
        <v>15.704286</v>
      </c>
      <c r="AT9" s="296">
        <v>15.791668</v>
      </c>
      <c r="AU9" s="296">
        <v>15.932774999999999</v>
      </c>
      <c r="AV9" s="297">
        <v>1.0625051408245299E-2</v>
      </c>
    </row>
    <row r="10" spans="1:48" s="280" customFormat="1" ht="12.9" customHeight="1">
      <c r="A10" s="53" t="s">
        <v>8</v>
      </c>
      <c r="B10" s="296">
        <v>24.437607720489037</v>
      </c>
      <c r="C10" s="296">
        <v>26.748142607449822</v>
      </c>
      <c r="D10" s="296">
        <v>26.864904992864833</v>
      </c>
      <c r="E10" s="296">
        <v>25.673123481965842</v>
      </c>
      <c r="F10" s="296">
        <v>24.417329661592778</v>
      </c>
      <c r="G10" s="296">
        <v>24.222396268240214</v>
      </c>
      <c r="H10" s="296">
        <v>24.41365919630044</v>
      </c>
      <c r="I10" s="296">
        <v>26.010139828997268</v>
      </c>
      <c r="J10" s="296">
        <v>26.187696540751123</v>
      </c>
      <c r="K10" s="296">
        <v>26.574448608041504</v>
      </c>
      <c r="L10" s="296">
        <v>26.505614811849888</v>
      </c>
      <c r="M10" s="296">
        <v>26.626209393832401</v>
      </c>
      <c r="N10" s="296">
        <v>29.336901583654154</v>
      </c>
      <c r="O10" s="296">
        <v>27.700064553981885</v>
      </c>
      <c r="P10" s="296">
        <v>27.726192992815797</v>
      </c>
      <c r="Q10" s="296">
        <v>26.846201431991968</v>
      </c>
      <c r="R10" s="296">
        <v>25.938562986979857</v>
      </c>
      <c r="S10" s="296">
        <v>26.596791348428084</v>
      </c>
      <c r="T10" s="296">
        <v>27.630605460416056</v>
      </c>
      <c r="U10" s="296">
        <v>27.981899811532205</v>
      </c>
      <c r="V10" s="296">
        <v>28.908510439419796</v>
      </c>
      <c r="W10" s="296">
        <v>30.043137523157874</v>
      </c>
      <c r="X10" s="296">
        <v>30.386453359972368</v>
      </c>
      <c r="Y10" s="296">
        <v>30.770351744895837</v>
      </c>
      <c r="Z10" s="296">
        <v>31.282106954903263</v>
      </c>
      <c r="AA10" s="296">
        <v>31.820673127852761</v>
      </c>
      <c r="AB10" s="296">
        <v>32.53126083874119</v>
      </c>
      <c r="AC10" s="296">
        <v>33.191950385849687</v>
      </c>
      <c r="AD10" s="296">
        <v>33.585433918257529</v>
      </c>
      <c r="AE10" s="296">
        <v>33.861882265785859</v>
      </c>
      <c r="AF10" s="296">
        <v>34.165435328670419</v>
      </c>
      <c r="AG10" s="296">
        <v>34.742016045008931</v>
      </c>
      <c r="AH10" s="296">
        <v>35.224043883328221</v>
      </c>
      <c r="AI10" s="296">
        <v>35.404963697356067</v>
      </c>
      <c r="AJ10" s="296">
        <v>35.489663138159585</v>
      </c>
      <c r="AK10" s="296">
        <v>35.691551782021712</v>
      </c>
      <c r="AL10" s="296">
        <v>35.996386673622595</v>
      </c>
      <c r="AM10" s="296">
        <v>36.309271499245284</v>
      </c>
      <c r="AN10" s="296">
        <v>36.588842441146518</v>
      </c>
      <c r="AO10" s="296">
        <v>36.881438476878891</v>
      </c>
      <c r="AP10" s="296">
        <v>37.139161194826499</v>
      </c>
      <c r="AQ10" s="296">
        <v>37.43668767541299</v>
      </c>
      <c r="AR10" s="296">
        <v>37.753964503304012</v>
      </c>
      <c r="AS10" s="296">
        <v>38.003360302923866</v>
      </c>
      <c r="AT10" s="296">
        <v>38.268583954609731</v>
      </c>
      <c r="AU10" s="296">
        <v>38.430546490747162</v>
      </c>
      <c r="AV10" s="297">
        <v>0</v>
      </c>
    </row>
    <row r="11" spans="1:48" s="280" customFormat="1" ht="12.9" customHeight="1">
      <c r="K11" s="178"/>
      <c r="M11" s="178"/>
      <c r="N11" s="178"/>
      <c r="O11" s="178"/>
      <c r="P11" s="464"/>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199"/>
    </row>
    <row r="12" spans="1:48" s="280" customFormat="1" ht="12.9" customHeight="1">
      <c r="A12" s="280" t="s">
        <v>77</v>
      </c>
      <c r="B12" s="178"/>
      <c r="K12" s="178"/>
      <c r="M12" s="178"/>
      <c r="N12" s="178"/>
      <c r="O12" s="178"/>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199"/>
    </row>
    <row r="13" spans="1:48" s="280" customFormat="1" ht="12.9" customHeight="1">
      <c r="A13" s="280" t="s">
        <v>22</v>
      </c>
      <c r="B13" s="296">
        <v>22.273055432643208</v>
      </c>
      <c r="C13" s="296">
        <v>27.821644812554112</v>
      </c>
      <c r="D13" s="296">
        <v>27.880069095901991</v>
      </c>
      <c r="E13" s="296">
        <v>31.033551188957645</v>
      </c>
      <c r="F13" s="296">
        <v>23.517310056456335</v>
      </c>
      <c r="G13" s="296">
        <v>26.521402959300005</v>
      </c>
      <c r="H13" s="296">
        <v>23.188544743200001</v>
      </c>
      <c r="I13" s="296">
        <v>22.487587600000001</v>
      </c>
      <c r="J13" s="296">
        <v>21.482303600000002</v>
      </c>
      <c r="K13" s="296">
        <v>21.731932</v>
      </c>
      <c r="L13" s="296">
        <v>16.138399</v>
      </c>
      <c r="M13" s="296">
        <v>15.315327</v>
      </c>
      <c r="N13" s="296">
        <v>17.897220544249993</v>
      </c>
      <c r="O13" s="296">
        <v>19.494102000000002</v>
      </c>
      <c r="P13" s="296">
        <v>20.426303999999998</v>
      </c>
      <c r="Q13" s="296">
        <v>20.689785000000001</v>
      </c>
      <c r="R13" s="296">
        <v>21.043845999999998</v>
      </c>
      <c r="S13" s="296">
        <v>21.638351</v>
      </c>
      <c r="T13" s="296">
        <v>22.073668999999999</v>
      </c>
      <c r="U13" s="296">
        <v>22.724844000000001</v>
      </c>
      <c r="V13" s="296">
        <v>23.369532</v>
      </c>
      <c r="W13" s="296">
        <v>23.700513999999998</v>
      </c>
      <c r="X13" s="296">
        <v>23.994658000000001</v>
      </c>
      <c r="Y13" s="296">
        <v>24.187166000000001</v>
      </c>
      <c r="Z13" s="296">
        <v>26.247990000000001</v>
      </c>
      <c r="AA13" s="296">
        <v>26.309640999999999</v>
      </c>
      <c r="AB13" s="296">
        <v>26.654115999999998</v>
      </c>
      <c r="AC13" s="296">
        <v>26.798203999999998</v>
      </c>
      <c r="AD13" s="296">
        <v>26.988240999999999</v>
      </c>
      <c r="AE13" s="296">
        <v>27.172519999999999</v>
      </c>
      <c r="AF13" s="296">
        <v>27.365884999999999</v>
      </c>
      <c r="AG13" s="296">
        <v>27.587612</v>
      </c>
      <c r="AH13" s="296">
        <v>27.684887</v>
      </c>
      <c r="AI13" s="296">
        <v>27.803816000000001</v>
      </c>
      <c r="AJ13" s="296">
        <v>27.932697000000001</v>
      </c>
      <c r="AK13" s="296">
        <v>28.053583</v>
      </c>
      <c r="AL13" s="296">
        <v>28.124578</v>
      </c>
      <c r="AM13" s="296">
        <v>28.200500000000002</v>
      </c>
      <c r="AN13" s="296">
        <v>28.248055999999998</v>
      </c>
      <c r="AO13" s="296">
        <v>28.345703</v>
      </c>
      <c r="AP13" s="296">
        <v>28.401420999999999</v>
      </c>
      <c r="AQ13" s="296">
        <v>28.413623999999999</v>
      </c>
      <c r="AR13" s="296">
        <v>28.446525999999999</v>
      </c>
      <c r="AS13" s="296">
        <v>28.435400000000001</v>
      </c>
      <c r="AT13" s="296">
        <v>28.492474000000001</v>
      </c>
      <c r="AU13" s="296">
        <v>28.484444</v>
      </c>
      <c r="AV13" s="297">
        <v>1.4411958422090945E-2</v>
      </c>
    </row>
    <row r="14" spans="1:48" s="280" customFormat="1" ht="12.9" customHeight="1">
      <c r="A14" s="280" t="s">
        <v>23</v>
      </c>
      <c r="B14" s="296">
        <v>18.336578255962607</v>
      </c>
      <c r="C14" s="296">
        <v>19.362665933700775</v>
      </c>
      <c r="D14" s="296">
        <v>21.16174832675086</v>
      </c>
      <c r="E14" s="296">
        <v>25.764433837219542</v>
      </c>
      <c r="F14" s="296">
        <v>18.926205218183977</v>
      </c>
      <c r="G14" s="296">
        <v>23.231780717700001</v>
      </c>
      <c r="H14" s="296">
        <v>28.271112897599998</v>
      </c>
      <c r="I14" s="296">
        <v>28.130513399999998</v>
      </c>
      <c r="J14" s="296">
        <v>28.057681600000002</v>
      </c>
      <c r="K14" s="296">
        <v>27.081340999999998</v>
      </c>
      <c r="L14" s="296">
        <v>17.792418000000001</v>
      </c>
      <c r="M14" s="296">
        <v>13.958486000000001</v>
      </c>
      <c r="N14" s="296">
        <v>20.675719302649995</v>
      </c>
      <c r="O14" s="296">
        <v>23.526834000000001</v>
      </c>
      <c r="P14" s="296">
        <v>23.901129000000001</v>
      </c>
      <c r="Q14" s="296">
        <v>23.724924000000001</v>
      </c>
      <c r="R14" s="296">
        <v>23.018801</v>
      </c>
      <c r="S14" s="296">
        <v>22.372612</v>
      </c>
      <c r="T14" s="296">
        <v>21.926045999999999</v>
      </c>
      <c r="U14" s="296">
        <v>21.998251</v>
      </c>
      <c r="V14" s="296">
        <v>22.653047999999998</v>
      </c>
      <c r="W14" s="296">
        <v>22.747429</v>
      </c>
      <c r="X14" s="296">
        <v>23.479693999999999</v>
      </c>
      <c r="Y14" s="296">
        <v>23.798446999999999</v>
      </c>
      <c r="Z14" s="296">
        <v>26.578427999999999</v>
      </c>
      <c r="AA14" s="296">
        <v>26.773636</v>
      </c>
      <c r="AB14" s="296">
        <v>27.393394000000001</v>
      </c>
      <c r="AC14" s="296">
        <v>27.657198000000001</v>
      </c>
      <c r="AD14" s="296">
        <v>27.902826000000001</v>
      </c>
      <c r="AE14" s="296">
        <v>28.029512</v>
      </c>
      <c r="AF14" s="296">
        <v>28.273745999999999</v>
      </c>
      <c r="AG14" s="296">
        <v>28.636385000000001</v>
      </c>
      <c r="AH14" s="296">
        <v>28.657736</v>
      </c>
      <c r="AI14" s="296">
        <v>28.815058000000001</v>
      </c>
      <c r="AJ14" s="296">
        <v>29.026329</v>
      </c>
      <c r="AK14" s="296">
        <v>29.015557999999999</v>
      </c>
      <c r="AL14" s="296">
        <v>29.113878</v>
      </c>
      <c r="AM14" s="296">
        <v>29.244398</v>
      </c>
      <c r="AN14" s="296">
        <v>29.355913000000001</v>
      </c>
      <c r="AO14" s="296">
        <v>29.397117999999999</v>
      </c>
      <c r="AP14" s="296">
        <v>29.590281999999998</v>
      </c>
      <c r="AQ14" s="296">
        <v>29.579398999999999</v>
      </c>
      <c r="AR14" s="296">
        <v>29.777107000000001</v>
      </c>
      <c r="AS14" s="296">
        <v>29.791402999999999</v>
      </c>
      <c r="AT14" s="296">
        <v>29.715191000000001</v>
      </c>
      <c r="AU14" s="296">
        <v>29.751740000000002</v>
      </c>
      <c r="AV14" s="297">
        <v>8.2683591213335381E-3</v>
      </c>
    </row>
    <row r="15" spans="1:48" s="280" customFormat="1" ht="12.9" customHeight="1">
      <c r="A15" s="280" t="s">
        <v>43</v>
      </c>
      <c r="B15" s="296">
        <v>12.921112351189148</v>
      </c>
      <c r="C15" s="296">
        <v>6.0615216361345912</v>
      </c>
      <c r="D15" s="296">
        <v>5.8083483068085409</v>
      </c>
      <c r="E15" s="296">
        <v>10.712581042967264</v>
      </c>
      <c r="F15" s="296">
        <v>6.4120503501815724</v>
      </c>
      <c r="G15" s="296">
        <v>12.935456585700001</v>
      </c>
      <c r="H15" s="296">
        <v>21.757031170800001</v>
      </c>
      <c r="I15" s="296">
        <v>17.627347200000003</v>
      </c>
      <c r="J15" s="296">
        <v>17.024176799999999</v>
      </c>
      <c r="K15" s="296">
        <v>12.55123</v>
      </c>
      <c r="L15" s="296">
        <v>10.757339999999999</v>
      </c>
      <c r="M15" s="296">
        <v>7.947031</v>
      </c>
      <c r="N15" s="296">
        <v>11.025622276499998</v>
      </c>
      <c r="O15" s="296">
        <v>13.333337</v>
      </c>
      <c r="P15" s="296">
        <v>9.6757519999999992</v>
      </c>
      <c r="Q15" s="296">
        <v>10.206906999999999</v>
      </c>
      <c r="R15" s="296">
        <v>10.427177</v>
      </c>
      <c r="S15" s="296">
        <v>10.491562</v>
      </c>
      <c r="T15" s="296">
        <v>10.870148</v>
      </c>
      <c r="U15" s="296">
        <v>11.583551</v>
      </c>
      <c r="V15" s="296">
        <v>11.850859</v>
      </c>
      <c r="W15" s="296">
        <v>11.995367999999999</v>
      </c>
      <c r="X15" s="296">
        <v>12.595207</v>
      </c>
      <c r="Y15" s="296">
        <v>12.827062</v>
      </c>
      <c r="Z15" s="296">
        <v>13.255532000000001</v>
      </c>
      <c r="AA15" s="296">
        <v>13.391469000000001</v>
      </c>
      <c r="AB15" s="296">
        <v>13.612904</v>
      </c>
      <c r="AC15" s="296">
        <v>13.857951999999999</v>
      </c>
      <c r="AD15" s="296">
        <v>13.925008</v>
      </c>
      <c r="AE15" s="296">
        <v>14.158362</v>
      </c>
      <c r="AF15" s="296">
        <v>14.353377999999999</v>
      </c>
      <c r="AG15" s="296">
        <v>14.548769999999999</v>
      </c>
      <c r="AH15" s="296">
        <v>14.665639000000001</v>
      </c>
      <c r="AI15" s="296">
        <v>14.778966</v>
      </c>
      <c r="AJ15" s="296">
        <v>14.994467999999999</v>
      </c>
      <c r="AK15" s="296">
        <v>15.154515999999999</v>
      </c>
      <c r="AL15" s="296">
        <v>15.264308</v>
      </c>
      <c r="AM15" s="296">
        <v>15.516823</v>
      </c>
      <c r="AN15" s="296">
        <v>15.552436</v>
      </c>
      <c r="AO15" s="296">
        <v>15.506544999999999</v>
      </c>
      <c r="AP15" s="296">
        <v>15.548755</v>
      </c>
      <c r="AQ15" s="296">
        <v>15.526139000000001</v>
      </c>
      <c r="AR15" s="296">
        <v>15.701509</v>
      </c>
      <c r="AS15" s="296">
        <v>15.687165999999999</v>
      </c>
      <c r="AT15" s="296">
        <v>15.552462999999999</v>
      </c>
      <c r="AU15" s="296">
        <v>15.570309</v>
      </c>
      <c r="AV15" s="297">
        <v>5.2429016832020361E-3</v>
      </c>
    </row>
    <row r="16" spans="1:48" s="280" customFormat="1" ht="12.9" customHeight="1">
      <c r="A16" s="280" t="s">
        <v>24</v>
      </c>
      <c r="B16" s="296">
        <v>12.4588911739857</v>
      </c>
      <c r="C16" s="296">
        <v>12.138027530451193</v>
      </c>
      <c r="D16" s="296">
        <v>12.253838968934737</v>
      </c>
      <c r="E16" s="296">
        <v>13.109720213375745</v>
      </c>
      <c r="F16" s="296">
        <v>10.911478280941965</v>
      </c>
      <c r="G16" s="296">
        <v>9.4729120800000004</v>
      </c>
      <c r="H16" s="296">
        <v>9.3063090174000003</v>
      </c>
      <c r="I16" s="296">
        <v>8.0032916000000007</v>
      </c>
      <c r="J16" s="296">
        <v>8.1879356000000012</v>
      </c>
      <c r="K16" s="296">
        <v>9.0168049999999997</v>
      </c>
      <c r="L16" s="296">
        <v>8.688383</v>
      </c>
      <c r="M16" s="296">
        <v>8.7766439999999992</v>
      </c>
      <c r="N16" s="296">
        <v>9.6696952998249976</v>
      </c>
      <c r="O16" s="296">
        <v>8.9310860000000005</v>
      </c>
      <c r="P16" s="296">
        <v>8.8571069999999992</v>
      </c>
      <c r="Q16" s="296">
        <v>9.0104170000000003</v>
      </c>
      <c r="R16" s="296">
        <v>9.0224049999999991</v>
      </c>
      <c r="S16" s="296">
        <v>9.0883540000000007</v>
      </c>
      <c r="T16" s="296">
        <v>9.2112510000000007</v>
      </c>
      <c r="U16" s="296">
        <v>9.3950800000000001</v>
      </c>
      <c r="V16" s="296">
        <v>9.5797139999999992</v>
      </c>
      <c r="W16" s="296">
        <v>9.6856609999999996</v>
      </c>
      <c r="X16" s="296">
        <v>9.7419349999999998</v>
      </c>
      <c r="Y16" s="296">
        <v>9.8172449999999998</v>
      </c>
      <c r="Z16" s="296">
        <v>11.873327</v>
      </c>
      <c r="AA16" s="296">
        <v>11.904061</v>
      </c>
      <c r="AB16" s="296">
        <v>12.205574</v>
      </c>
      <c r="AC16" s="296">
        <v>12.295629999999999</v>
      </c>
      <c r="AD16" s="296">
        <v>12.391844000000001</v>
      </c>
      <c r="AE16" s="296">
        <v>12.453364000000001</v>
      </c>
      <c r="AF16" s="296">
        <v>12.52346</v>
      </c>
      <c r="AG16" s="296">
        <v>12.603429999999999</v>
      </c>
      <c r="AH16" s="296">
        <v>12.642064</v>
      </c>
      <c r="AI16" s="296">
        <v>12.693365999999999</v>
      </c>
      <c r="AJ16" s="296">
        <v>12.766377</v>
      </c>
      <c r="AK16" s="296">
        <v>12.831457</v>
      </c>
      <c r="AL16" s="296">
        <v>12.883709</v>
      </c>
      <c r="AM16" s="296">
        <v>12.936007</v>
      </c>
      <c r="AN16" s="296">
        <v>13.001027000000001</v>
      </c>
      <c r="AO16" s="296">
        <v>13.106954999999999</v>
      </c>
      <c r="AP16" s="296">
        <v>13.210952000000001</v>
      </c>
      <c r="AQ16" s="296">
        <v>13.319207</v>
      </c>
      <c r="AR16" s="296">
        <v>13.433532</v>
      </c>
      <c r="AS16" s="296">
        <v>13.573527</v>
      </c>
      <c r="AT16" s="296">
        <v>13.659534000000001</v>
      </c>
      <c r="AU16" s="296">
        <v>13.799265</v>
      </c>
      <c r="AV16" s="297">
        <v>1.7033829228606686E-2</v>
      </c>
    </row>
    <row r="17" spans="1:48" s="280" customFormat="1" ht="12.9" customHeight="1">
      <c r="A17" s="53" t="s">
        <v>8</v>
      </c>
      <c r="B17" s="296">
        <v>23.1460737255574</v>
      </c>
      <c r="C17" s="296">
        <v>24.624666882854779</v>
      </c>
      <c r="D17" s="296">
        <v>24.228302186069008</v>
      </c>
      <c r="E17" s="296">
        <v>23.393087422468135</v>
      </c>
      <c r="F17" s="296">
        <v>22.521179950466806</v>
      </c>
      <c r="G17" s="296">
        <v>23.088380996261964</v>
      </c>
      <c r="H17" s="296">
        <v>21.771570740789318</v>
      </c>
      <c r="I17" s="296">
        <v>22.849315103117643</v>
      </c>
      <c r="J17" s="296">
        <v>23.973965877348391</v>
      </c>
      <c r="K17" s="296">
        <v>25.288633935720732</v>
      </c>
      <c r="L17" s="296">
        <v>24.267593195890928</v>
      </c>
      <c r="M17" s="296">
        <v>23.856304843972968</v>
      </c>
      <c r="N17" s="296">
        <v>26.336133860044498</v>
      </c>
      <c r="O17" s="296">
        <v>24.647750189817849</v>
      </c>
      <c r="P17" s="296">
        <v>23.919000456928298</v>
      </c>
      <c r="Q17" s="296">
        <v>23.146986518943994</v>
      </c>
      <c r="R17" s="296">
        <v>22.446358873140056</v>
      </c>
      <c r="S17" s="296">
        <v>23.468346001360164</v>
      </c>
      <c r="T17" s="296">
        <v>24.089915175569569</v>
      </c>
      <c r="U17" s="296">
        <v>24.240483760254165</v>
      </c>
      <c r="V17" s="296">
        <v>25.348778189896464</v>
      </c>
      <c r="W17" s="296">
        <v>26.020519007091554</v>
      </c>
      <c r="X17" s="296">
        <v>26.059509621931639</v>
      </c>
      <c r="Y17" s="296">
        <v>26.162130623018054</v>
      </c>
      <c r="Z17" s="296">
        <v>26.353841947877942</v>
      </c>
      <c r="AA17" s="296">
        <v>26.672592346839789</v>
      </c>
      <c r="AB17" s="296">
        <v>27.049190695565137</v>
      </c>
      <c r="AC17" s="296">
        <v>27.405939373219361</v>
      </c>
      <c r="AD17" s="296">
        <v>27.482029091098067</v>
      </c>
      <c r="AE17" s="296">
        <v>27.436144599704782</v>
      </c>
      <c r="AF17" s="296">
        <v>27.442867485477926</v>
      </c>
      <c r="AG17" s="296">
        <v>27.779555406891159</v>
      </c>
      <c r="AH17" s="296">
        <v>27.978043862875108</v>
      </c>
      <c r="AI17" s="296">
        <v>27.863431691119647</v>
      </c>
      <c r="AJ17" s="296">
        <v>27.65562718573948</v>
      </c>
      <c r="AK17" s="296">
        <v>27.580084048733575</v>
      </c>
      <c r="AL17" s="296">
        <v>27.597081711518022</v>
      </c>
      <c r="AM17" s="296">
        <v>27.591335242061341</v>
      </c>
      <c r="AN17" s="296">
        <v>27.562665984479541</v>
      </c>
      <c r="AO17" s="296">
        <v>27.505234308821976</v>
      </c>
      <c r="AP17" s="296">
        <v>27.382921066106761</v>
      </c>
      <c r="AQ17" s="296">
        <v>27.318044216036153</v>
      </c>
      <c r="AR17" s="296">
        <v>27.245969243748512</v>
      </c>
      <c r="AS17" s="296">
        <v>27.108406571569095</v>
      </c>
      <c r="AT17" s="296">
        <v>26.997091573751842</v>
      </c>
      <c r="AU17" s="296">
        <v>26.814098420181359</v>
      </c>
      <c r="AV17" s="297">
        <v>0</v>
      </c>
    </row>
    <row r="18" spans="1:48" s="280" customFormat="1" ht="12.9" customHeight="1">
      <c r="K18" s="178"/>
      <c r="M18" s="178"/>
      <c r="N18" s="178"/>
      <c r="O18" s="178"/>
      <c r="P18" s="464"/>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199"/>
    </row>
    <row r="19" spans="1:48" s="280" customFormat="1" ht="12.9" customHeight="1">
      <c r="A19" s="280" t="s">
        <v>78</v>
      </c>
      <c r="B19" s="178"/>
      <c r="K19" s="178"/>
      <c r="M19" s="178"/>
      <c r="N19" s="178"/>
      <c r="O19" s="178"/>
      <c r="P19" s="464"/>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199"/>
    </row>
    <row r="20" spans="1:48" s="280" customFormat="1" ht="12.9" customHeight="1">
      <c r="A20" s="280" t="s">
        <v>22</v>
      </c>
      <c r="B20" s="296">
        <v>21.509851978559478</v>
      </c>
      <c r="C20" s="296">
        <v>26.868314656148534</v>
      </c>
      <c r="D20" s="296">
        <v>28.751324003003155</v>
      </c>
      <c r="E20" s="296">
        <v>26.965483053909633</v>
      </c>
      <c r="F20" s="296">
        <v>21.018354346330199</v>
      </c>
      <c r="G20" s="296">
        <v>29.179118348100001</v>
      </c>
      <c r="H20" s="296">
        <v>23.640283057799998</v>
      </c>
      <c r="I20" s="296">
        <v>21.868004400000004</v>
      </c>
      <c r="J20" s="296">
        <v>20.828869000000001</v>
      </c>
      <c r="K20" s="296">
        <v>18.915478</v>
      </c>
      <c r="L20" s="296">
        <v>12.432567000000001</v>
      </c>
      <c r="M20" s="296">
        <v>11.486302</v>
      </c>
      <c r="N20" s="296">
        <v>13.494678243749997</v>
      </c>
      <c r="O20" s="296">
        <v>13.672988999999999</v>
      </c>
      <c r="P20" s="296">
        <v>14.075055000000001</v>
      </c>
      <c r="Q20" s="296">
        <v>14.12843</v>
      </c>
      <c r="R20" s="296">
        <v>14.450062000000001</v>
      </c>
      <c r="S20" s="296">
        <v>15.035148</v>
      </c>
      <c r="T20" s="296">
        <v>15.416568</v>
      </c>
      <c r="U20" s="296">
        <v>16.056474999999999</v>
      </c>
      <c r="V20" s="296">
        <v>16.666741999999999</v>
      </c>
      <c r="W20" s="296">
        <v>16.927717000000001</v>
      </c>
      <c r="X20" s="296">
        <v>17.194586000000001</v>
      </c>
      <c r="Y20" s="296">
        <v>17.356386000000001</v>
      </c>
      <c r="Z20" s="296">
        <v>17.413073000000001</v>
      </c>
      <c r="AA20" s="296">
        <v>17.464911000000001</v>
      </c>
      <c r="AB20" s="296">
        <v>17.523254000000001</v>
      </c>
      <c r="AC20" s="296">
        <v>17.673817</v>
      </c>
      <c r="AD20" s="296">
        <v>17.864491000000001</v>
      </c>
      <c r="AE20" s="296">
        <v>18.04092</v>
      </c>
      <c r="AF20" s="296">
        <v>18.228076999999999</v>
      </c>
      <c r="AG20" s="296">
        <v>18.446621</v>
      </c>
      <c r="AH20" s="296">
        <v>18.51972</v>
      </c>
      <c r="AI20" s="296">
        <v>18.635273000000002</v>
      </c>
      <c r="AJ20" s="296">
        <v>18.760769</v>
      </c>
      <c r="AK20" s="296">
        <v>18.876076000000001</v>
      </c>
      <c r="AL20" s="296">
        <v>18.935721999999998</v>
      </c>
      <c r="AM20" s="296">
        <v>19.008709</v>
      </c>
      <c r="AN20" s="296">
        <v>19.048974999999999</v>
      </c>
      <c r="AO20" s="296">
        <v>19.151346</v>
      </c>
      <c r="AP20" s="296">
        <v>19.198767</v>
      </c>
      <c r="AQ20" s="296">
        <v>19.202078</v>
      </c>
      <c r="AR20" s="296">
        <v>19.235728999999999</v>
      </c>
      <c r="AS20" s="296">
        <v>19.217230000000001</v>
      </c>
      <c r="AT20" s="296">
        <v>19.282398000000001</v>
      </c>
      <c r="AU20" s="296">
        <v>19.264042</v>
      </c>
      <c r="AV20" s="297">
        <v>1.2778508506808572E-2</v>
      </c>
    </row>
    <row r="21" spans="1:48" s="280" customFormat="1" ht="12.9" customHeight="1">
      <c r="A21" s="280" t="s">
        <v>23</v>
      </c>
      <c r="B21" s="296">
        <v>19.153648789949461</v>
      </c>
      <c r="C21" s="296">
        <v>20.236741970904106</v>
      </c>
      <c r="D21" s="296">
        <v>21.723221140235491</v>
      </c>
      <c r="E21" s="296">
        <v>25.880665116088384</v>
      </c>
      <c r="F21" s="296">
        <v>19.023063652554338</v>
      </c>
      <c r="G21" s="296">
        <v>23.027341889100001</v>
      </c>
      <c r="H21" s="296">
        <v>28.029164734799998</v>
      </c>
      <c r="I21" s="296">
        <v>27.893553600000001</v>
      </c>
      <c r="J21" s="296">
        <v>27.820721800000001</v>
      </c>
      <c r="K21" s="296">
        <v>26.843142</v>
      </c>
      <c r="L21" s="296">
        <v>17.866862999999999</v>
      </c>
      <c r="M21" s="296">
        <v>14.01432</v>
      </c>
      <c r="N21" s="296">
        <v>20.112673154774992</v>
      </c>
      <c r="O21" s="296">
        <v>22.961897</v>
      </c>
      <c r="P21" s="296">
        <v>23.459913</v>
      </c>
      <c r="Q21" s="296">
        <v>23.315028999999999</v>
      </c>
      <c r="R21" s="296">
        <v>22.688272000000001</v>
      </c>
      <c r="S21" s="296">
        <v>22.137025999999999</v>
      </c>
      <c r="T21" s="296">
        <v>21.771826000000001</v>
      </c>
      <c r="U21" s="296">
        <v>21.930371999999998</v>
      </c>
      <c r="V21" s="296">
        <v>22.612963000000001</v>
      </c>
      <c r="W21" s="296">
        <v>22.703109999999999</v>
      </c>
      <c r="X21" s="296">
        <v>23.437415999999999</v>
      </c>
      <c r="Y21" s="296">
        <v>23.762512000000001</v>
      </c>
      <c r="Z21" s="296">
        <v>24.313755</v>
      </c>
      <c r="AA21" s="296">
        <v>24.518529999999998</v>
      </c>
      <c r="AB21" s="296">
        <v>24.822899</v>
      </c>
      <c r="AC21" s="296">
        <v>25.088144</v>
      </c>
      <c r="AD21" s="296">
        <v>25.329197000000001</v>
      </c>
      <c r="AE21" s="296">
        <v>25.460854000000001</v>
      </c>
      <c r="AF21" s="296">
        <v>25.705774000000002</v>
      </c>
      <c r="AG21" s="296">
        <v>26.064544999999999</v>
      </c>
      <c r="AH21" s="296">
        <v>26.079317</v>
      </c>
      <c r="AI21" s="296">
        <v>26.230547000000001</v>
      </c>
      <c r="AJ21" s="296">
        <v>26.437943000000001</v>
      </c>
      <c r="AK21" s="296">
        <v>26.418320000000001</v>
      </c>
      <c r="AL21" s="296">
        <v>26.502548000000001</v>
      </c>
      <c r="AM21" s="296">
        <v>26.618144999999998</v>
      </c>
      <c r="AN21" s="296">
        <v>26.723057000000001</v>
      </c>
      <c r="AO21" s="296">
        <v>26.764885</v>
      </c>
      <c r="AP21" s="296">
        <v>26.961663999999999</v>
      </c>
      <c r="AQ21" s="296">
        <v>26.948606000000002</v>
      </c>
      <c r="AR21" s="296">
        <v>27.148717999999999</v>
      </c>
      <c r="AS21" s="296">
        <v>27.164943999999998</v>
      </c>
      <c r="AT21" s="296">
        <v>27.082301999999999</v>
      </c>
      <c r="AU21" s="296">
        <v>27.118030999999998</v>
      </c>
      <c r="AV21" s="297">
        <v>5.6562917035992248E-3</v>
      </c>
    </row>
    <row r="22" spans="1:48" s="280" customFormat="1" ht="12.9" customHeight="1">
      <c r="A22" s="280" t="s">
        <v>29</v>
      </c>
      <c r="B22" s="296">
        <v>12.712094069421742</v>
      </c>
      <c r="C22" s="296">
        <v>8.3987233696777679</v>
      </c>
      <c r="D22" s="296">
        <v>8.0348807831263542</v>
      </c>
      <c r="E22" s="296">
        <v>14.838764238637486</v>
      </c>
      <c r="F22" s="296">
        <v>8.8722638441839781</v>
      </c>
      <c r="G22" s="296">
        <v>12.8982843453</v>
      </c>
      <c r="H22" s="296">
        <v>21.682584618</v>
      </c>
      <c r="I22" s="296">
        <v>17.5545154</v>
      </c>
      <c r="J22" s="296">
        <v>16.969809399999999</v>
      </c>
      <c r="K22" s="296">
        <v>12.514585</v>
      </c>
      <c r="L22" s="296">
        <v>10.701506</v>
      </c>
      <c r="M22" s="296">
        <v>7.9098090000000001</v>
      </c>
      <c r="N22" s="296">
        <v>10.985234783699996</v>
      </c>
      <c r="O22" s="296">
        <v>13.256154</v>
      </c>
      <c r="P22" s="296">
        <v>9.6371610000000008</v>
      </c>
      <c r="Q22" s="296">
        <v>10.176035000000001</v>
      </c>
      <c r="R22" s="296">
        <v>10.404021999999999</v>
      </c>
      <c r="S22" s="296">
        <v>10.476125</v>
      </c>
      <c r="T22" s="296">
        <v>10.862431000000001</v>
      </c>
      <c r="U22" s="296">
        <v>11.583551</v>
      </c>
      <c r="V22" s="296">
        <v>11.850859</v>
      </c>
      <c r="W22" s="296">
        <v>11.995367999999999</v>
      </c>
      <c r="X22" s="296">
        <v>12.595207</v>
      </c>
      <c r="Y22" s="296">
        <v>12.827062</v>
      </c>
      <c r="Z22" s="296">
        <v>13.255532000000001</v>
      </c>
      <c r="AA22" s="296">
        <v>13.391469000000001</v>
      </c>
      <c r="AB22" s="296">
        <v>13.612904</v>
      </c>
      <c r="AC22" s="296">
        <v>13.857951999999999</v>
      </c>
      <c r="AD22" s="296">
        <v>13.925008</v>
      </c>
      <c r="AE22" s="296">
        <v>14.158362</v>
      </c>
      <c r="AF22" s="296">
        <v>14.353377999999999</v>
      </c>
      <c r="AG22" s="296">
        <v>14.548769999999999</v>
      </c>
      <c r="AH22" s="296">
        <v>14.665639000000001</v>
      </c>
      <c r="AI22" s="296">
        <v>14.778966</v>
      </c>
      <c r="AJ22" s="296">
        <v>14.994467999999999</v>
      </c>
      <c r="AK22" s="296">
        <v>15.154515999999999</v>
      </c>
      <c r="AL22" s="296">
        <v>15.264308</v>
      </c>
      <c r="AM22" s="296">
        <v>15.516823</v>
      </c>
      <c r="AN22" s="296">
        <v>15.552436</v>
      </c>
      <c r="AO22" s="296">
        <v>15.506544999999999</v>
      </c>
      <c r="AP22" s="296">
        <v>15.548755</v>
      </c>
      <c r="AQ22" s="296">
        <v>15.526139000000001</v>
      </c>
      <c r="AR22" s="296">
        <v>15.701509</v>
      </c>
      <c r="AS22" s="296">
        <v>15.687165999999999</v>
      </c>
      <c r="AT22" s="296">
        <v>15.552462999999999</v>
      </c>
      <c r="AU22" s="296">
        <v>15.570309</v>
      </c>
      <c r="AV22" s="297">
        <v>5.455378969646851E-3</v>
      </c>
    </row>
    <row r="23" spans="1:48" s="280" customFormat="1" ht="12.9" customHeight="1">
      <c r="A23" s="280" t="s">
        <v>45</v>
      </c>
      <c r="B23" s="296">
        <v>9.6803827233946027</v>
      </c>
      <c r="C23" s="296">
        <v>8.7916513146663533</v>
      </c>
      <c r="D23" s="296">
        <v>9.4360966899852876</v>
      </c>
      <c r="E23" s="296">
        <v>10.9743303406492</v>
      </c>
      <c r="F23" s="296">
        <v>6.1526683944177361</v>
      </c>
      <c r="G23" s="296">
        <v>6.8424346047000011</v>
      </c>
      <c r="H23" s="296">
        <v>6.6316744380000001</v>
      </c>
      <c r="I23" s="296">
        <v>5.144387</v>
      </c>
      <c r="J23" s="296">
        <v>5.9116854000000005</v>
      </c>
      <c r="K23" s="296">
        <v>6.6199219999999999</v>
      </c>
      <c r="L23" s="296">
        <v>5.25047</v>
      </c>
      <c r="M23" s="296">
        <v>4.7992800000000004</v>
      </c>
      <c r="N23" s="296">
        <v>4.8101983233249985</v>
      </c>
      <c r="O23" s="296">
        <v>4.6091439999999997</v>
      </c>
      <c r="P23" s="296">
        <v>4.6537459999999999</v>
      </c>
      <c r="Q23" s="296">
        <v>4.7985300000000004</v>
      </c>
      <c r="R23" s="296">
        <v>4.7366820000000001</v>
      </c>
      <c r="S23" s="296">
        <v>4.7671590000000004</v>
      </c>
      <c r="T23" s="296">
        <v>4.8883729999999996</v>
      </c>
      <c r="U23" s="296">
        <v>5.0542199999999999</v>
      </c>
      <c r="V23" s="296">
        <v>5.2775489999999996</v>
      </c>
      <c r="W23" s="296">
        <v>5.3964270000000001</v>
      </c>
      <c r="X23" s="296">
        <v>5.4387030000000003</v>
      </c>
      <c r="Y23" s="296">
        <v>5.5333259999999997</v>
      </c>
      <c r="Z23" s="296">
        <v>5.5226559999999996</v>
      </c>
      <c r="AA23" s="296">
        <v>5.5502729999999998</v>
      </c>
      <c r="AB23" s="296">
        <v>5.5396900000000002</v>
      </c>
      <c r="AC23" s="296">
        <v>5.6502369999999997</v>
      </c>
      <c r="AD23" s="296">
        <v>5.7514250000000002</v>
      </c>
      <c r="AE23" s="296">
        <v>5.819178</v>
      </c>
      <c r="AF23" s="296">
        <v>5.8883599999999996</v>
      </c>
      <c r="AG23" s="296">
        <v>5.9674199999999997</v>
      </c>
      <c r="AH23" s="296">
        <v>6.0118470000000004</v>
      </c>
      <c r="AI23" s="296">
        <v>6.0610489999999997</v>
      </c>
      <c r="AJ23" s="296">
        <v>6.1372770000000001</v>
      </c>
      <c r="AK23" s="296">
        <v>6.2037639999999996</v>
      </c>
      <c r="AL23" s="296">
        <v>6.2382390000000001</v>
      </c>
      <c r="AM23" s="296">
        <v>6.2752600000000003</v>
      </c>
      <c r="AN23" s="296">
        <v>6.3425130000000003</v>
      </c>
      <c r="AO23" s="296">
        <v>6.4695479999999996</v>
      </c>
      <c r="AP23" s="296">
        <v>6.5656809999999997</v>
      </c>
      <c r="AQ23" s="296">
        <v>6.6814489999999997</v>
      </c>
      <c r="AR23" s="296">
        <v>6.8046959999999999</v>
      </c>
      <c r="AS23" s="296">
        <v>6.9725809999999999</v>
      </c>
      <c r="AT23" s="296">
        <v>7.0445900000000004</v>
      </c>
      <c r="AU23" s="296">
        <v>7.198086</v>
      </c>
      <c r="AV23" s="297">
        <v>1.7553028827044678E-2</v>
      </c>
    </row>
    <row r="24" spans="1:48" s="280" customFormat="1" ht="12.9" customHeight="1">
      <c r="A24" s="280" t="s">
        <v>34</v>
      </c>
      <c r="B24" s="298" t="s">
        <v>32</v>
      </c>
      <c r="C24" s="298" t="s">
        <v>32</v>
      </c>
      <c r="D24" s="298" t="s">
        <v>32</v>
      </c>
      <c r="E24" s="298" t="s">
        <v>32</v>
      </c>
      <c r="F24" s="298" t="s">
        <v>32</v>
      </c>
      <c r="G24" s="298" t="s">
        <v>32</v>
      </c>
      <c r="H24" s="298" t="s">
        <v>32</v>
      </c>
      <c r="I24" s="296">
        <v>0</v>
      </c>
      <c r="J24" s="296">
        <v>0</v>
      </c>
      <c r="K24" s="296">
        <v>0</v>
      </c>
      <c r="L24" s="296">
        <v>0</v>
      </c>
      <c r="M24" s="296">
        <v>0</v>
      </c>
      <c r="N24" s="296">
        <v>0</v>
      </c>
      <c r="O24" s="296">
        <v>0</v>
      </c>
      <c r="P24" s="296">
        <v>0</v>
      </c>
      <c r="Q24" s="296">
        <v>0</v>
      </c>
      <c r="R24" s="296">
        <v>0</v>
      </c>
      <c r="S24" s="296">
        <v>0</v>
      </c>
      <c r="T24" s="296">
        <v>0</v>
      </c>
      <c r="U24" s="296">
        <v>0</v>
      </c>
      <c r="V24" s="296">
        <v>0</v>
      </c>
      <c r="W24" s="296">
        <v>0</v>
      </c>
      <c r="X24" s="296">
        <v>0</v>
      </c>
      <c r="Y24" s="296">
        <v>0</v>
      </c>
      <c r="Z24" s="296">
        <v>0</v>
      </c>
      <c r="AA24" s="296">
        <v>0</v>
      </c>
      <c r="AB24" s="296">
        <v>0</v>
      </c>
      <c r="AC24" s="296">
        <v>0</v>
      </c>
      <c r="AD24" s="296">
        <v>0</v>
      </c>
      <c r="AE24" s="296">
        <v>0</v>
      </c>
      <c r="AF24" s="296">
        <v>0</v>
      </c>
      <c r="AG24" s="296">
        <v>0</v>
      </c>
      <c r="AH24" s="296">
        <v>0</v>
      </c>
      <c r="AI24" s="296">
        <v>0</v>
      </c>
      <c r="AJ24" s="296">
        <v>0</v>
      </c>
      <c r="AK24" s="296">
        <v>0</v>
      </c>
      <c r="AL24" s="296">
        <v>0</v>
      </c>
      <c r="AM24" s="296">
        <v>0</v>
      </c>
      <c r="AN24" s="296">
        <v>0</v>
      </c>
      <c r="AO24" s="296">
        <v>0</v>
      </c>
      <c r="AP24" s="296">
        <v>0</v>
      </c>
      <c r="AQ24" s="296">
        <v>0</v>
      </c>
      <c r="AR24" s="296">
        <v>0</v>
      </c>
      <c r="AS24" s="296">
        <v>0</v>
      </c>
      <c r="AT24" s="296">
        <v>0</v>
      </c>
      <c r="AU24" s="296">
        <v>0</v>
      </c>
      <c r="AV24" s="297" t="s">
        <v>32</v>
      </c>
    </row>
    <row r="25" spans="1:48" s="280" customFormat="1" ht="12.9" customHeight="1">
      <c r="A25" s="280" t="s">
        <v>35</v>
      </c>
      <c r="B25" s="299">
        <v>2.6853029392704197</v>
      </c>
      <c r="C25" s="299">
        <v>3.0562250666494064</v>
      </c>
      <c r="D25" s="299">
        <v>2.9300224949548581</v>
      </c>
      <c r="E25" s="299">
        <v>3.7140272312924871</v>
      </c>
      <c r="F25" s="299">
        <v>3.6157993272453006</v>
      </c>
      <c r="G25" s="299">
        <v>3.4432300593000003</v>
      </c>
      <c r="H25" s="299">
        <v>3.5423075435999998</v>
      </c>
      <c r="I25" s="296">
        <v>3.857008</v>
      </c>
      <c r="J25" s="296">
        <v>3.7451957999999999</v>
      </c>
      <c r="K25" s="296">
        <v>3.6507230000000002</v>
      </c>
      <c r="L25" s="296">
        <v>3.8749349999999998</v>
      </c>
      <c r="M25" s="296">
        <v>3.8273779999999999</v>
      </c>
      <c r="N25" s="296">
        <v>4.0610570068999987</v>
      </c>
      <c r="O25" s="296">
        <v>4.4326910000000002</v>
      </c>
      <c r="P25" s="296">
        <v>4.4050399999999996</v>
      </c>
      <c r="Q25" s="296">
        <v>4.4264489999999999</v>
      </c>
      <c r="R25" s="296">
        <v>4.3977180000000002</v>
      </c>
      <c r="S25" s="296">
        <v>4.4076940000000002</v>
      </c>
      <c r="T25" s="296">
        <v>4.404655</v>
      </c>
      <c r="U25" s="296">
        <v>4.4134950000000002</v>
      </c>
      <c r="V25" s="296">
        <v>4.428388</v>
      </c>
      <c r="W25" s="296">
        <v>4.4299660000000003</v>
      </c>
      <c r="X25" s="296">
        <v>4.4390460000000003</v>
      </c>
      <c r="Y25" s="296">
        <v>4.4410059999999998</v>
      </c>
      <c r="Z25" s="296">
        <v>4.4478660000000003</v>
      </c>
      <c r="AA25" s="296">
        <v>4.4659430000000002</v>
      </c>
      <c r="AB25" s="296">
        <v>4.4870109999999999</v>
      </c>
      <c r="AC25" s="296">
        <v>4.47349</v>
      </c>
      <c r="AD25" s="296">
        <v>4.4757699999999998</v>
      </c>
      <c r="AE25" s="296">
        <v>4.4678800000000001</v>
      </c>
      <c r="AF25" s="296">
        <v>4.4694750000000001</v>
      </c>
      <c r="AG25" s="296">
        <v>4.4715369999999997</v>
      </c>
      <c r="AH25" s="296">
        <v>4.4670420000000002</v>
      </c>
      <c r="AI25" s="296">
        <v>4.4652149999999997</v>
      </c>
      <c r="AJ25" s="296">
        <v>4.4670629999999996</v>
      </c>
      <c r="AK25" s="296">
        <v>4.4662959999999998</v>
      </c>
      <c r="AL25" s="296">
        <v>4.4690139999999996</v>
      </c>
      <c r="AM25" s="296">
        <v>4.4736539999999998</v>
      </c>
      <c r="AN25" s="296">
        <v>4.4818829999999998</v>
      </c>
      <c r="AO25" s="296">
        <v>4.483422</v>
      </c>
      <c r="AP25" s="296">
        <v>4.5019479999999996</v>
      </c>
      <c r="AQ25" s="296">
        <v>4.5010389999999996</v>
      </c>
      <c r="AR25" s="296">
        <v>4.514494</v>
      </c>
      <c r="AS25" s="296">
        <v>4.5252059999999998</v>
      </c>
      <c r="AT25" s="296">
        <v>4.533487</v>
      </c>
      <c r="AU25" s="296">
        <v>4.5417560000000003</v>
      </c>
      <c r="AV25" s="297">
        <v>7.688966476571468E-4</v>
      </c>
    </row>
    <row r="26" spans="1:48" s="280" customFormat="1" ht="12.9" customHeight="1">
      <c r="A26" s="280" t="s">
        <v>46</v>
      </c>
      <c r="B26" s="298" t="s">
        <v>32</v>
      </c>
      <c r="C26" s="298" t="s">
        <v>32</v>
      </c>
      <c r="D26" s="298" t="s">
        <v>32</v>
      </c>
      <c r="E26" s="298" t="s">
        <v>32</v>
      </c>
      <c r="F26" s="298" t="s">
        <v>32</v>
      </c>
      <c r="G26" s="298" t="s">
        <v>32</v>
      </c>
      <c r="H26" s="298" t="s">
        <v>32</v>
      </c>
      <c r="I26" s="296">
        <v>0</v>
      </c>
      <c r="J26" s="296">
        <v>0</v>
      </c>
      <c r="K26" s="296">
        <v>0</v>
      </c>
      <c r="L26" s="296">
        <v>0</v>
      </c>
      <c r="M26" s="296">
        <v>0</v>
      </c>
      <c r="N26" s="296">
        <v>0</v>
      </c>
      <c r="O26" s="296">
        <v>0</v>
      </c>
      <c r="P26" s="296">
        <v>0</v>
      </c>
      <c r="Q26" s="296">
        <v>0</v>
      </c>
      <c r="R26" s="296">
        <v>0</v>
      </c>
      <c r="S26" s="296">
        <v>0</v>
      </c>
      <c r="T26" s="296">
        <v>0</v>
      </c>
      <c r="U26" s="296">
        <v>0</v>
      </c>
      <c r="V26" s="296">
        <v>0</v>
      </c>
      <c r="W26" s="296">
        <v>0</v>
      </c>
      <c r="X26" s="296">
        <v>0</v>
      </c>
      <c r="Y26" s="296">
        <v>0</v>
      </c>
      <c r="Z26" s="296">
        <v>0</v>
      </c>
      <c r="AA26" s="296">
        <v>0</v>
      </c>
      <c r="AB26" s="296">
        <v>0</v>
      </c>
      <c r="AC26" s="296">
        <v>0</v>
      </c>
      <c r="AD26" s="296">
        <v>0</v>
      </c>
      <c r="AE26" s="296">
        <v>0</v>
      </c>
      <c r="AF26" s="296">
        <v>0</v>
      </c>
      <c r="AG26" s="296">
        <v>0</v>
      </c>
      <c r="AH26" s="296">
        <v>0</v>
      </c>
      <c r="AI26" s="296">
        <v>0</v>
      </c>
      <c r="AJ26" s="296">
        <v>0</v>
      </c>
      <c r="AK26" s="296">
        <v>0</v>
      </c>
      <c r="AL26" s="296">
        <v>0</v>
      </c>
      <c r="AM26" s="296">
        <v>0</v>
      </c>
      <c r="AN26" s="296">
        <v>0</v>
      </c>
      <c r="AO26" s="296">
        <v>0</v>
      </c>
      <c r="AP26" s="296">
        <v>0</v>
      </c>
      <c r="AQ26" s="296">
        <v>0</v>
      </c>
      <c r="AR26" s="296">
        <v>0</v>
      </c>
      <c r="AS26" s="296">
        <v>0</v>
      </c>
      <c r="AT26" s="296">
        <v>0</v>
      </c>
      <c r="AU26" s="296">
        <v>0</v>
      </c>
      <c r="AV26" s="297" t="s">
        <v>32</v>
      </c>
    </row>
    <row r="27" spans="1:48" s="280" customFormat="1" ht="12.9" customHeight="1">
      <c r="A27" s="53" t="s">
        <v>8</v>
      </c>
      <c r="B27" s="296">
        <v>14.501129517650607</v>
      </c>
      <c r="C27" s="296">
        <v>14.97593173500983</v>
      </c>
      <c r="D27" s="296">
        <v>14.85010796351723</v>
      </c>
      <c r="E27" s="296">
        <v>14.628858094573284</v>
      </c>
      <c r="F27" s="296">
        <v>13.785994920885091</v>
      </c>
      <c r="G27" s="296">
        <v>13.017621405478318</v>
      </c>
      <c r="H27" s="296">
        <v>12.499403010805048</v>
      </c>
      <c r="I27" s="296">
        <v>13.049445744021567</v>
      </c>
      <c r="J27" s="296">
        <v>13.632119706637743</v>
      </c>
      <c r="K27" s="296">
        <v>14.718766471786052</v>
      </c>
      <c r="L27" s="296">
        <v>13.843275449555321</v>
      </c>
      <c r="M27" s="296">
        <v>14.181054976762834</v>
      </c>
      <c r="N27" s="296">
        <v>13.954361738557562</v>
      </c>
      <c r="O27" s="296">
        <v>13.918190796007725</v>
      </c>
      <c r="P27" s="296">
        <v>13.386731330606729</v>
      </c>
      <c r="Q27" s="296">
        <v>12.366967588467247</v>
      </c>
      <c r="R27" s="296">
        <v>11.938119698792629</v>
      </c>
      <c r="S27" s="296">
        <v>12.759722792397167</v>
      </c>
      <c r="T27" s="296">
        <v>12.962328580268579</v>
      </c>
      <c r="U27" s="296">
        <v>13.041646138037908</v>
      </c>
      <c r="V27" s="296">
        <v>13.881881997673739</v>
      </c>
      <c r="W27" s="296">
        <v>14.152636701200258</v>
      </c>
      <c r="X27" s="296">
        <v>14.146247961060809</v>
      </c>
      <c r="Y27" s="296">
        <v>14.217174794530253</v>
      </c>
      <c r="Z27" s="296">
        <v>14.344038534442859</v>
      </c>
      <c r="AA27" s="296">
        <v>14.572603258038969</v>
      </c>
      <c r="AB27" s="296">
        <v>14.779849581160908</v>
      </c>
      <c r="AC27" s="296">
        <v>14.979085613473471</v>
      </c>
      <c r="AD27" s="296">
        <v>14.978409496527473</v>
      </c>
      <c r="AE27" s="296">
        <v>14.945432316236582</v>
      </c>
      <c r="AF27" s="296">
        <v>14.953302769488188</v>
      </c>
      <c r="AG27" s="296">
        <v>15.205932736359967</v>
      </c>
      <c r="AH27" s="296">
        <v>15.266852003194879</v>
      </c>
      <c r="AI27" s="296">
        <v>15.197221374427615</v>
      </c>
      <c r="AJ27" s="296">
        <v>15.090984851370294</v>
      </c>
      <c r="AK27" s="296">
        <v>15.077393770755261</v>
      </c>
      <c r="AL27" s="296">
        <v>15.092233031052634</v>
      </c>
      <c r="AM27" s="296">
        <v>15.083951069297681</v>
      </c>
      <c r="AN27" s="296">
        <v>15.080777651319949</v>
      </c>
      <c r="AO27" s="296">
        <v>15.050791676431514</v>
      </c>
      <c r="AP27" s="296">
        <v>14.97577942044088</v>
      </c>
      <c r="AQ27" s="296">
        <v>14.962737802552853</v>
      </c>
      <c r="AR27" s="296">
        <v>14.927682833903544</v>
      </c>
      <c r="AS27" s="296">
        <v>14.869168113895386</v>
      </c>
      <c r="AT27" s="296">
        <v>14.815872583543486</v>
      </c>
      <c r="AU27" s="296">
        <v>14.750469098189296</v>
      </c>
      <c r="AV27" s="297">
        <v>0</v>
      </c>
    </row>
    <row r="28" spans="1:48" s="280" customFormat="1" ht="12.9" customHeight="1">
      <c r="B28" s="178"/>
      <c r="C28" s="178"/>
      <c r="K28" s="178"/>
      <c r="M28" s="178"/>
      <c r="N28" s="178"/>
      <c r="O28" s="178"/>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199"/>
    </row>
    <row r="29" spans="1:48" s="280" customFormat="1" ht="12.9" customHeight="1">
      <c r="A29" s="280" t="s">
        <v>79</v>
      </c>
      <c r="B29" s="178"/>
      <c r="C29" s="178"/>
      <c r="K29" s="178"/>
      <c r="M29" s="178"/>
      <c r="N29" s="178"/>
      <c r="O29" s="178"/>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199"/>
    </row>
    <row r="30" spans="1:48" s="280" customFormat="1" ht="12.9" customHeight="1">
      <c r="A30" s="280" t="s">
        <v>47</v>
      </c>
      <c r="B30" s="296">
        <v>23.581029927118582</v>
      </c>
      <c r="C30" s="296">
        <v>25.158165491875451</v>
      </c>
      <c r="D30" s="296">
        <v>26.679676788537343</v>
      </c>
      <c r="E30" s="296">
        <v>33.455022466836319</v>
      </c>
      <c r="F30" s="296">
        <v>28.166532270599728</v>
      </c>
      <c r="G30" s="296">
        <v>33.068190690999998</v>
      </c>
      <c r="H30" s="296">
        <v>27.4650159696</v>
      </c>
      <c r="I30" s="296">
        <v>25.942482000000002</v>
      </c>
      <c r="J30" s="296">
        <v>25.177235200000002</v>
      </c>
      <c r="K30" s="296">
        <v>24.355412999999999</v>
      </c>
      <c r="L30" s="296">
        <v>18.216526000000002</v>
      </c>
      <c r="M30" s="296">
        <v>17.299603999999999</v>
      </c>
      <c r="N30" s="296">
        <v>20.480419946724993</v>
      </c>
      <c r="O30" s="296">
        <v>18.521521</v>
      </c>
      <c r="P30" s="296">
        <v>18.618296000000001</v>
      </c>
      <c r="Q30" s="296">
        <v>18.67259</v>
      </c>
      <c r="R30" s="296">
        <v>18.937429000000002</v>
      </c>
      <c r="S30" s="296">
        <v>19.434878999999999</v>
      </c>
      <c r="T30" s="296">
        <v>19.781186999999999</v>
      </c>
      <c r="U30" s="296">
        <v>20.323606000000002</v>
      </c>
      <c r="V30" s="296">
        <v>20.849202999999999</v>
      </c>
      <c r="W30" s="296">
        <v>21.096684</v>
      </c>
      <c r="X30" s="296">
        <v>21.328728000000002</v>
      </c>
      <c r="Y30" s="296">
        <v>21.474522</v>
      </c>
      <c r="Z30" s="296">
        <v>24.339338000000001</v>
      </c>
      <c r="AA30" s="296">
        <v>24.385947999999999</v>
      </c>
      <c r="AB30" s="296">
        <v>24.835398000000001</v>
      </c>
      <c r="AC30" s="296">
        <v>24.957163000000001</v>
      </c>
      <c r="AD30" s="296">
        <v>25.114460000000001</v>
      </c>
      <c r="AE30" s="296">
        <v>25.263207999999999</v>
      </c>
      <c r="AF30" s="296">
        <v>25.419668000000001</v>
      </c>
      <c r="AG30" s="296">
        <v>25.600296</v>
      </c>
      <c r="AH30" s="296">
        <v>25.670691999999999</v>
      </c>
      <c r="AI30" s="296">
        <v>25.766392</v>
      </c>
      <c r="AJ30" s="296">
        <v>25.870327</v>
      </c>
      <c r="AK30" s="296">
        <v>25.967072999999999</v>
      </c>
      <c r="AL30" s="296">
        <v>26.020859000000002</v>
      </c>
      <c r="AM30" s="296">
        <v>26.081779000000001</v>
      </c>
      <c r="AN30" s="296">
        <v>26.117908</v>
      </c>
      <c r="AO30" s="296">
        <v>26.199563999999999</v>
      </c>
      <c r="AP30" s="296">
        <v>26.242305999999999</v>
      </c>
      <c r="AQ30" s="296">
        <v>26.249307999999999</v>
      </c>
      <c r="AR30" s="296">
        <v>26.276781</v>
      </c>
      <c r="AS30" s="296">
        <v>26.265506999999999</v>
      </c>
      <c r="AT30" s="296">
        <v>26.315348</v>
      </c>
      <c r="AU30" s="296">
        <v>26.305548000000002</v>
      </c>
      <c r="AV30" s="297">
        <v>1.3133416189199583E-2</v>
      </c>
    </row>
    <row r="31" spans="1:48" s="280" customFormat="1" ht="12.9" customHeight="1">
      <c r="A31" s="280" t="s">
        <v>48</v>
      </c>
      <c r="B31" s="296">
        <v>28.50245344808981</v>
      </c>
      <c r="C31" s="296">
        <v>31.960750134705297</v>
      </c>
      <c r="D31" s="296">
        <v>33.572252010082465</v>
      </c>
      <c r="E31" s="296">
        <v>33.59062427495482</v>
      </c>
      <c r="F31" s="296">
        <v>30.529886172607366</v>
      </c>
      <c r="G31" s="296">
        <v>29.803621808999999</v>
      </c>
      <c r="H31" s="296">
        <v>48.911446820999998</v>
      </c>
      <c r="I31" s="296">
        <v>38.798833399999999</v>
      </c>
      <c r="J31" s="296">
        <v>36.077386000000004</v>
      </c>
      <c r="K31" s="296">
        <v>36.462696000000001</v>
      </c>
      <c r="L31" s="296">
        <v>30.690058000000001</v>
      </c>
      <c r="M31" s="296">
        <v>27.954194999999999</v>
      </c>
      <c r="N31" s="296">
        <v>27.85394311624999</v>
      </c>
      <c r="O31" s="296">
        <v>32.339108000000003</v>
      </c>
      <c r="P31" s="296">
        <v>34.970641999999998</v>
      </c>
      <c r="Q31" s="296">
        <v>36.899338</v>
      </c>
      <c r="R31" s="296">
        <v>35.923855000000003</v>
      </c>
      <c r="S31" s="296">
        <v>34.827007000000002</v>
      </c>
      <c r="T31" s="296">
        <v>34.473517999999999</v>
      </c>
      <c r="U31" s="296">
        <v>33.825240999999998</v>
      </c>
      <c r="V31" s="296">
        <v>30.816257</v>
      </c>
      <c r="W31" s="296">
        <v>30.417261</v>
      </c>
      <c r="X31" s="296">
        <v>30.095064000000001</v>
      </c>
      <c r="Y31" s="296">
        <v>29.327711000000001</v>
      </c>
      <c r="Z31" s="296">
        <v>30.874759999999998</v>
      </c>
      <c r="AA31" s="296">
        <v>29.713958999999999</v>
      </c>
      <c r="AB31" s="296">
        <v>30.118172000000001</v>
      </c>
      <c r="AC31" s="296">
        <v>30.013622000000002</v>
      </c>
      <c r="AD31" s="296">
        <v>29.540565000000001</v>
      </c>
      <c r="AE31" s="296">
        <v>29.354498</v>
      </c>
      <c r="AF31" s="296">
        <v>29.306076000000001</v>
      </c>
      <c r="AG31" s="296">
        <v>29.691186999999999</v>
      </c>
      <c r="AH31" s="296">
        <v>30.084705</v>
      </c>
      <c r="AI31" s="296">
        <v>30.760235000000002</v>
      </c>
      <c r="AJ31" s="296">
        <v>31.606829000000001</v>
      </c>
      <c r="AK31" s="296">
        <v>32.733234000000003</v>
      </c>
      <c r="AL31" s="296">
        <v>34.263103000000001</v>
      </c>
      <c r="AM31" s="296">
        <v>36.120876000000003</v>
      </c>
      <c r="AN31" s="296">
        <v>36.912318999999997</v>
      </c>
      <c r="AO31" s="296">
        <v>36.942534999999999</v>
      </c>
      <c r="AP31" s="296">
        <v>37.453280999999997</v>
      </c>
      <c r="AQ31" s="296">
        <v>37.760769000000003</v>
      </c>
      <c r="AR31" s="296">
        <v>38.533039000000002</v>
      </c>
      <c r="AS31" s="296">
        <v>38.658287000000001</v>
      </c>
      <c r="AT31" s="296">
        <v>38.518383</v>
      </c>
      <c r="AU31" s="296">
        <v>38.372703999999999</v>
      </c>
      <c r="AV31" s="297">
        <v>5.8303981359040533E-3</v>
      </c>
    </row>
    <row r="32" spans="1:48" s="280" customFormat="1" ht="12.9" customHeight="1">
      <c r="A32" s="280" t="s">
        <v>49</v>
      </c>
      <c r="B32" s="296">
        <v>25.215170995092052</v>
      </c>
      <c r="C32" s="296">
        <v>26.545286505964025</v>
      </c>
      <c r="D32" s="296">
        <v>28.731961754408683</v>
      </c>
      <c r="E32" s="296">
        <v>31.537219678181152</v>
      </c>
      <c r="F32" s="296">
        <v>22.548723397503924</v>
      </c>
      <c r="G32" s="296">
        <v>26.558251523999999</v>
      </c>
      <c r="H32" s="296">
        <v>32.520299452742321</v>
      </c>
      <c r="I32" s="296">
        <v>31.700946531883368</v>
      </c>
      <c r="J32" s="296">
        <v>30.011539011306155</v>
      </c>
      <c r="K32" s="296">
        <v>28.640116270973003</v>
      </c>
      <c r="L32" s="296">
        <v>20.793419703219829</v>
      </c>
      <c r="M32" s="296">
        <v>19.229570622218059</v>
      </c>
      <c r="N32" s="296">
        <v>23.700192754275768</v>
      </c>
      <c r="O32" s="296">
        <v>25.326509922519001</v>
      </c>
      <c r="P32" s="296">
        <v>24.916276223997329</v>
      </c>
      <c r="Q32" s="296">
        <v>26.032847091757631</v>
      </c>
      <c r="R32" s="296">
        <v>26.284562477669393</v>
      </c>
      <c r="S32" s="296">
        <v>26.458543587211739</v>
      </c>
      <c r="T32" s="296">
        <v>26.848736702346997</v>
      </c>
      <c r="U32" s="296">
        <v>27.53358568218496</v>
      </c>
      <c r="V32" s="296">
        <v>27.812007860277955</v>
      </c>
      <c r="W32" s="296">
        <v>27.745697772785167</v>
      </c>
      <c r="X32" s="296">
        <v>28.342041924040689</v>
      </c>
      <c r="Y32" s="296">
        <v>28.497223286918764</v>
      </c>
      <c r="Z32" s="296">
        <v>31.751830356992876</v>
      </c>
      <c r="AA32" s="296">
        <v>31.790761366948566</v>
      </c>
      <c r="AB32" s="296">
        <v>32.56293751045294</v>
      </c>
      <c r="AC32" s="296">
        <v>32.802032393879784</v>
      </c>
      <c r="AD32" s="296">
        <v>32.774505059239239</v>
      </c>
      <c r="AE32" s="296">
        <v>33.069575857344667</v>
      </c>
      <c r="AF32" s="296">
        <v>33.256430159152011</v>
      </c>
      <c r="AG32" s="296">
        <v>33.622462028599116</v>
      </c>
      <c r="AH32" s="296">
        <v>33.709091731175114</v>
      </c>
      <c r="AI32" s="296">
        <v>33.897471496009082</v>
      </c>
      <c r="AJ32" s="296">
        <v>34.061426136159454</v>
      </c>
      <c r="AK32" s="296">
        <v>34.240060094419924</v>
      </c>
      <c r="AL32" s="296">
        <v>34.436432688755232</v>
      </c>
      <c r="AM32" s="296">
        <v>34.758255035903311</v>
      </c>
      <c r="AN32" s="296">
        <v>34.918926573781846</v>
      </c>
      <c r="AO32" s="296">
        <v>34.918585302713538</v>
      </c>
      <c r="AP32" s="296">
        <v>35.16976267385369</v>
      </c>
      <c r="AQ32" s="296">
        <v>35.229295826580284</v>
      </c>
      <c r="AR32" s="296">
        <v>35.545270876271175</v>
      </c>
      <c r="AS32" s="296">
        <v>35.618839034790383</v>
      </c>
      <c r="AT32" s="296">
        <v>35.5287490673661</v>
      </c>
      <c r="AU32" s="296">
        <v>35.63948406955349</v>
      </c>
      <c r="AV32" s="297">
        <v>1.222674370091284E-2</v>
      </c>
    </row>
    <row r="33" spans="1:48" s="280" customFormat="1" ht="12.9" customHeight="1">
      <c r="A33" s="280" t="s">
        <v>50</v>
      </c>
      <c r="B33" s="296">
        <v>16.702437187989137</v>
      </c>
      <c r="C33" s="296">
        <v>17.975547195644388</v>
      </c>
      <c r="D33" s="296">
        <v>18.52862945579167</v>
      </c>
      <c r="E33" s="296">
        <v>26.326216229440853</v>
      </c>
      <c r="F33" s="296">
        <v>14.548188935526408</v>
      </c>
      <c r="G33" s="296">
        <v>18.012754261000001</v>
      </c>
      <c r="H33" s="296">
        <v>23.841538827600001</v>
      </c>
      <c r="I33" s="296">
        <v>23.3636208</v>
      </c>
      <c r="J33" s="296">
        <v>22.157280000000004</v>
      </c>
      <c r="K33" s="296">
        <v>20.741593999999999</v>
      </c>
      <c r="L33" s="296">
        <v>12.171799999999999</v>
      </c>
      <c r="M33" s="296">
        <v>9.7151060000000005</v>
      </c>
      <c r="N33" s="296">
        <v>12.940838376299997</v>
      </c>
      <c r="O33" s="296">
        <v>16.150238000000002</v>
      </c>
      <c r="P33" s="296">
        <v>16.161684000000001</v>
      </c>
      <c r="Q33" s="296">
        <v>17.580300999999999</v>
      </c>
      <c r="R33" s="296">
        <v>17.282033999999999</v>
      </c>
      <c r="S33" s="296">
        <v>17.176663999999999</v>
      </c>
      <c r="T33" s="296">
        <v>17.324121000000002</v>
      </c>
      <c r="U33" s="296">
        <v>17.677788</v>
      </c>
      <c r="V33" s="296">
        <v>18.016324999999998</v>
      </c>
      <c r="W33" s="296">
        <v>18.126138999999998</v>
      </c>
      <c r="X33" s="296">
        <v>18.724703000000002</v>
      </c>
      <c r="Y33" s="296">
        <v>19.173355000000001</v>
      </c>
      <c r="Z33" s="296">
        <v>20.043790999999999</v>
      </c>
      <c r="AA33" s="296">
        <v>20.264531999999999</v>
      </c>
      <c r="AB33" s="296">
        <v>20.604986</v>
      </c>
      <c r="AC33" s="296">
        <v>20.951606999999999</v>
      </c>
      <c r="AD33" s="296">
        <v>21.197179999999999</v>
      </c>
      <c r="AE33" s="296">
        <v>21.325877999999999</v>
      </c>
      <c r="AF33" s="296">
        <v>21.618684999999999</v>
      </c>
      <c r="AG33" s="296">
        <v>21.972339999999999</v>
      </c>
      <c r="AH33" s="296">
        <v>22.041070999999999</v>
      </c>
      <c r="AI33" s="296">
        <v>22.258236</v>
      </c>
      <c r="AJ33" s="296">
        <v>22.560928000000001</v>
      </c>
      <c r="AK33" s="296">
        <v>22.604855000000001</v>
      </c>
      <c r="AL33" s="296">
        <v>22.800308000000001</v>
      </c>
      <c r="AM33" s="296">
        <v>23.055996</v>
      </c>
      <c r="AN33" s="296">
        <v>23.217134000000001</v>
      </c>
      <c r="AO33" s="296">
        <v>23.278748</v>
      </c>
      <c r="AP33" s="296">
        <v>23.507494000000001</v>
      </c>
      <c r="AQ33" s="296">
        <v>23.545705999999999</v>
      </c>
      <c r="AR33" s="296">
        <v>23.705300999999999</v>
      </c>
      <c r="AS33" s="296">
        <v>23.756699000000001</v>
      </c>
      <c r="AT33" s="296">
        <v>23.668797000000001</v>
      </c>
      <c r="AU33" s="296">
        <v>23.728529000000002</v>
      </c>
      <c r="AV33" s="297">
        <v>1.4663659677956447E-2</v>
      </c>
    </row>
    <row r="34" spans="1:48" s="280" customFormat="1" ht="12.9" customHeight="1">
      <c r="A34" s="280" t="s">
        <v>51</v>
      </c>
      <c r="B34" s="296">
        <v>23.581029927118582</v>
      </c>
      <c r="C34" s="296">
        <v>24.455105964321913</v>
      </c>
      <c r="D34" s="296">
        <v>25.885869718822821</v>
      </c>
      <c r="E34" s="296">
        <v>33.59062427495482</v>
      </c>
      <c r="F34" s="296">
        <v>21.580136738551513</v>
      </c>
      <c r="G34" s="296">
        <v>24.676323889999999</v>
      </c>
      <c r="H34" s="296">
        <v>29.8158830466</v>
      </c>
      <c r="I34" s="296">
        <v>28.990683132407945</v>
      </c>
      <c r="J34" s="296">
        <v>28.300006174169095</v>
      </c>
      <c r="K34" s="296">
        <v>27.189613730608126</v>
      </c>
      <c r="L34" s="296">
        <v>19.487834277933494</v>
      </c>
      <c r="M34" s="296">
        <v>16.794656061523451</v>
      </c>
      <c r="N34" s="296">
        <v>20.585025985557937</v>
      </c>
      <c r="O34" s="296">
        <v>22.173495952368839</v>
      </c>
      <c r="P34" s="296">
        <v>22.652076448807858</v>
      </c>
      <c r="Q34" s="296">
        <v>24.566060271783272</v>
      </c>
      <c r="R34" s="296">
        <v>24.876878253919458</v>
      </c>
      <c r="S34" s="296">
        <v>25.046092932914991</v>
      </c>
      <c r="T34" s="296">
        <v>25.595177050209674</v>
      </c>
      <c r="U34" s="296">
        <v>26.316728222506473</v>
      </c>
      <c r="V34" s="296">
        <v>26.783633008907959</v>
      </c>
      <c r="W34" s="296">
        <v>26.861404440256699</v>
      </c>
      <c r="X34" s="296">
        <v>27.497040088887864</v>
      </c>
      <c r="Y34" s="296">
        <v>27.771871498144687</v>
      </c>
      <c r="Z34" s="296">
        <v>30.907531172357078</v>
      </c>
      <c r="AA34" s="296">
        <v>31.146106386575713</v>
      </c>
      <c r="AB34" s="296">
        <v>31.828224143830194</v>
      </c>
      <c r="AC34" s="296">
        <v>32.073511728518802</v>
      </c>
      <c r="AD34" s="296">
        <v>32.292849824456987</v>
      </c>
      <c r="AE34" s="296">
        <v>32.442153799500005</v>
      </c>
      <c r="AF34" s="296">
        <v>32.669856758512324</v>
      </c>
      <c r="AG34" s="296">
        <v>32.963316522429643</v>
      </c>
      <c r="AH34" s="296">
        <v>32.957969172854398</v>
      </c>
      <c r="AI34" s="296">
        <v>33.070190236832126</v>
      </c>
      <c r="AJ34" s="296">
        <v>33.283327962567114</v>
      </c>
      <c r="AK34" s="296">
        <v>33.219487635724924</v>
      </c>
      <c r="AL34" s="296">
        <v>33.270655721101818</v>
      </c>
      <c r="AM34" s="296">
        <v>33.328980536813248</v>
      </c>
      <c r="AN34" s="296">
        <v>33.395752887201525</v>
      </c>
      <c r="AO34" s="296">
        <v>33.414338027160596</v>
      </c>
      <c r="AP34" s="296">
        <v>33.537575082199339</v>
      </c>
      <c r="AQ34" s="296">
        <v>33.577404005704629</v>
      </c>
      <c r="AR34" s="296">
        <v>33.704088842356363</v>
      </c>
      <c r="AS34" s="296">
        <v>33.765513843169394</v>
      </c>
      <c r="AT34" s="296">
        <v>33.820390877267833</v>
      </c>
      <c r="AU34" s="296">
        <v>33.836177395585196</v>
      </c>
      <c r="AV34" s="297">
        <v>1.3750273334558383E-2</v>
      </c>
    </row>
    <row r="35" spans="1:48" s="280" customFormat="1" ht="12.9" customHeight="1">
      <c r="A35" s="280" t="s">
        <v>29</v>
      </c>
      <c r="B35" s="296">
        <v>10.868934719680732</v>
      </c>
      <c r="C35" s="296">
        <v>11.781013667017787</v>
      </c>
      <c r="D35" s="296">
        <v>11.945835170871824</v>
      </c>
      <c r="E35" s="296">
        <v>20.824636319965069</v>
      </c>
      <c r="F35" s="296">
        <v>11.526194206927102</v>
      </c>
      <c r="G35" s="296">
        <v>15.439504906</v>
      </c>
      <c r="H35" s="296">
        <v>25.107132314400001</v>
      </c>
      <c r="I35" s="296">
        <v>20.331356</v>
      </c>
      <c r="J35" s="296">
        <v>19.161000000000001</v>
      </c>
      <c r="K35" s="296">
        <v>14.493463999999999</v>
      </c>
      <c r="L35" s="296">
        <v>12.395135</v>
      </c>
      <c r="M35" s="296">
        <v>9.1753780000000003</v>
      </c>
      <c r="N35" s="296">
        <v>12.701677064574996</v>
      </c>
      <c r="O35" s="296">
        <v>15.359387</v>
      </c>
      <c r="P35" s="296">
        <v>17.703410999999999</v>
      </c>
      <c r="Q35" s="296">
        <v>17.978086000000001</v>
      </c>
      <c r="R35" s="296">
        <v>18.022524000000001</v>
      </c>
      <c r="S35" s="296">
        <v>16.198585999999999</v>
      </c>
      <c r="T35" s="296">
        <v>16.579113</v>
      </c>
      <c r="U35" s="296">
        <v>17.168786999999998</v>
      </c>
      <c r="V35" s="296">
        <v>17.488427999999999</v>
      </c>
      <c r="W35" s="296">
        <v>17.703082999999999</v>
      </c>
      <c r="X35" s="296">
        <v>19.035156000000001</v>
      </c>
      <c r="Y35" s="296">
        <v>18.820029999999999</v>
      </c>
      <c r="Z35" s="296">
        <v>19.045103000000001</v>
      </c>
      <c r="AA35" s="296">
        <v>20.311226000000001</v>
      </c>
      <c r="AB35" s="296">
        <v>19.829440999999999</v>
      </c>
      <c r="AC35" s="296">
        <v>19.959667</v>
      </c>
      <c r="AD35" s="296">
        <v>20.395792</v>
      </c>
      <c r="AE35" s="296">
        <v>20.887642</v>
      </c>
      <c r="AF35" s="296">
        <v>21.012678000000001</v>
      </c>
      <c r="AG35" s="296">
        <v>21.536283000000001</v>
      </c>
      <c r="AH35" s="296">
        <v>20.906459999999999</v>
      </c>
      <c r="AI35" s="296">
        <v>21.445716999999998</v>
      </c>
      <c r="AJ35" s="296">
        <v>21.510467999999999</v>
      </c>
      <c r="AK35" s="296">
        <v>21.619517999999999</v>
      </c>
      <c r="AL35" s="296">
        <v>22.047041</v>
      </c>
      <c r="AM35" s="296">
        <v>22.174361999999999</v>
      </c>
      <c r="AN35" s="296">
        <v>22.186589999999999</v>
      </c>
      <c r="AO35" s="296">
        <v>22.293524000000001</v>
      </c>
      <c r="AP35" s="296">
        <v>22.263892999999999</v>
      </c>
      <c r="AQ35" s="296">
        <v>22.727879999999999</v>
      </c>
      <c r="AR35" s="296">
        <v>23.156984000000001</v>
      </c>
      <c r="AS35" s="296">
        <v>23.011326</v>
      </c>
      <c r="AT35" s="296">
        <v>22.644379000000001</v>
      </c>
      <c r="AU35" s="296">
        <v>23.159936999999999</v>
      </c>
      <c r="AV35" s="297">
        <v>1.5870892992018496E-2</v>
      </c>
    </row>
    <row r="36" spans="1:48" s="280" customFormat="1" ht="12.9" customHeight="1">
      <c r="A36" s="280" t="s">
        <v>52</v>
      </c>
      <c r="B36" s="296">
        <v>14.347516543540372</v>
      </c>
      <c r="C36" s="296">
        <v>13.450918029411255</v>
      </c>
      <c r="D36" s="296">
        <v>12.714585281051809</v>
      </c>
      <c r="E36" s="296">
        <v>15.022166673886632</v>
      </c>
      <c r="F36" s="296">
        <v>10.607329831625647</v>
      </c>
      <c r="G36" s="296">
        <v>15.702759674999999</v>
      </c>
      <c r="H36" s="296">
        <v>16.275761133</v>
      </c>
      <c r="I36" s="296">
        <v>15.559334399999999</v>
      </c>
      <c r="J36" s="296">
        <v>14.978999999999999</v>
      </c>
      <c r="K36" s="296">
        <v>19.085505000000001</v>
      </c>
      <c r="L36" s="296">
        <v>17.802188999999998</v>
      </c>
      <c r="M36" s="296">
        <v>17.863205000000001</v>
      </c>
      <c r="N36" s="296">
        <v>17.636136626824996</v>
      </c>
      <c r="O36" s="296">
        <v>16.262606000000002</v>
      </c>
      <c r="P36" s="296">
        <v>15.790480000000001</v>
      </c>
      <c r="Q36" s="296">
        <v>15.698816000000001</v>
      </c>
      <c r="R36" s="296">
        <v>14.50942</v>
      </c>
      <c r="S36" s="296">
        <v>14.773059999999999</v>
      </c>
      <c r="T36" s="296">
        <v>14.772584999999999</v>
      </c>
      <c r="U36" s="296">
        <v>14.832368000000001</v>
      </c>
      <c r="V36" s="296">
        <v>14.962460999999999</v>
      </c>
      <c r="W36" s="296">
        <v>14.996608</v>
      </c>
      <c r="X36" s="296">
        <v>14.817595000000001</v>
      </c>
      <c r="Y36" s="296">
        <v>14.781921000000001</v>
      </c>
      <c r="Z36" s="296">
        <v>17.490424999999998</v>
      </c>
      <c r="AA36" s="296">
        <v>17.340865999999998</v>
      </c>
      <c r="AB36" s="296">
        <v>17.602136999999999</v>
      </c>
      <c r="AC36" s="296">
        <v>17.598362000000002</v>
      </c>
      <c r="AD36" s="296">
        <v>17.614006</v>
      </c>
      <c r="AE36" s="296">
        <v>17.540427999999999</v>
      </c>
      <c r="AF36" s="296">
        <v>17.518387000000001</v>
      </c>
      <c r="AG36" s="296">
        <v>17.524069000000001</v>
      </c>
      <c r="AH36" s="296">
        <v>17.506142000000001</v>
      </c>
      <c r="AI36" s="296">
        <v>17.486011999999999</v>
      </c>
      <c r="AJ36" s="296">
        <v>17.483597</v>
      </c>
      <c r="AK36" s="296">
        <v>17.486993999999999</v>
      </c>
      <c r="AL36" s="296">
        <v>17.468675999999999</v>
      </c>
      <c r="AM36" s="296">
        <v>17.440943000000001</v>
      </c>
      <c r="AN36" s="296">
        <v>17.456067999999998</v>
      </c>
      <c r="AO36" s="296">
        <v>17.551148999999999</v>
      </c>
      <c r="AP36" s="296">
        <v>17.604686999999998</v>
      </c>
      <c r="AQ36" s="296">
        <v>17.689589000000002</v>
      </c>
      <c r="AR36" s="296">
        <v>17.782412999999998</v>
      </c>
      <c r="AS36" s="296">
        <v>17.926994000000001</v>
      </c>
      <c r="AT36" s="296">
        <v>17.992598000000001</v>
      </c>
      <c r="AU36" s="296">
        <v>18.132010999999999</v>
      </c>
      <c r="AV36" s="297">
        <v>3.5922229346268303E-3</v>
      </c>
    </row>
    <row r="37" spans="1:48" s="280" customFormat="1" ht="12.9" customHeight="1">
      <c r="A37" s="53" t="s">
        <v>8</v>
      </c>
      <c r="B37" s="296">
        <v>25.273055569087418</v>
      </c>
      <c r="C37" s="296">
        <v>23.968927249238199</v>
      </c>
      <c r="D37" s="296">
        <v>23.728557758441507</v>
      </c>
      <c r="E37" s="296">
        <v>24.586978211291097</v>
      </c>
      <c r="F37" s="296">
        <v>23.563944028004737</v>
      </c>
      <c r="G37" s="296">
        <v>25.051514399860356</v>
      </c>
      <c r="H37" s="296">
        <v>24.211661054755247</v>
      </c>
      <c r="I37" s="296">
        <v>21.242036654265814</v>
      </c>
      <c r="J37" s="296">
        <v>21.485177834325871</v>
      </c>
      <c r="K37" s="296">
        <v>22.631162053794682</v>
      </c>
      <c r="L37" s="296">
        <v>20.007384967778716</v>
      </c>
      <c r="M37" s="296">
        <v>26.250685393043039</v>
      </c>
      <c r="N37" s="296">
        <v>22.790861504835135</v>
      </c>
      <c r="O37" s="296">
        <v>36.530348785507854</v>
      </c>
      <c r="P37" s="296">
        <v>37.770820951911539</v>
      </c>
      <c r="Q37" s="296">
        <v>36.897639010378896</v>
      </c>
      <c r="R37" s="296">
        <v>36.361424266122206</v>
      </c>
      <c r="S37" s="296">
        <v>37.459175898015388</v>
      </c>
      <c r="T37" s="296">
        <v>38.96993653531942</v>
      </c>
      <c r="U37" s="296">
        <v>39.2047827590617</v>
      </c>
      <c r="V37" s="296">
        <v>40.270844833248468</v>
      </c>
      <c r="W37" s="296">
        <v>41.486845087640539</v>
      </c>
      <c r="X37" s="296">
        <v>41.660818311690193</v>
      </c>
      <c r="Y37" s="296">
        <v>41.71659235472184</v>
      </c>
      <c r="Z37" s="296">
        <v>42.006802500359164</v>
      </c>
      <c r="AA37" s="296">
        <v>42.424044020741185</v>
      </c>
      <c r="AB37" s="296">
        <v>42.865226565102233</v>
      </c>
      <c r="AC37" s="296">
        <v>43.383161740200585</v>
      </c>
      <c r="AD37" s="296">
        <v>43.532579569082358</v>
      </c>
      <c r="AE37" s="296">
        <v>43.314036876294722</v>
      </c>
      <c r="AF37" s="296">
        <v>43.214846728907304</v>
      </c>
      <c r="AG37" s="296">
        <v>43.329512059815322</v>
      </c>
      <c r="AH37" s="296">
        <v>43.662534475328606</v>
      </c>
      <c r="AI37" s="296">
        <v>43.421936829480721</v>
      </c>
      <c r="AJ37" s="296">
        <v>43.071049829042202</v>
      </c>
      <c r="AK37" s="296">
        <v>42.81919492535544</v>
      </c>
      <c r="AL37" s="296">
        <v>42.73850318646803</v>
      </c>
      <c r="AM37" s="296">
        <v>42.67501789344869</v>
      </c>
      <c r="AN37" s="296">
        <v>42.433022917878418</v>
      </c>
      <c r="AO37" s="296">
        <v>42.25297082322674</v>
      </c>
      <c r="AP37" s="296">
        <v>42.053266955692827</v>
      </c>
      <c r="AQ37" s="296">
        <v>41.860309013494998</v>
      </c>
      <c r="AR37" s="296">
        <v>41.773279038859883</v>
      </c>
      <c r="AS37" s="296">
        <v>41.498337395142698</v>
      </c>
      <c r="AT37" s="296">
        <v>41.197118009587065</v>
      </c>
      <c r="AU37" s="296">
        <v>40.873494338540596</v>
      </c>
      <c r="AV37" s="297">
        <v>0</v>
      </c>
    </row>
    <row r="38" spans="1:48" s="280" customFormat="1" ht="12.9" customHeight="1">
      <c r="B38" s="178"/>
      <c r="C38" s="178"/>
      <c r="K38" s="178"/>
      <c r="M38" s="178"/>
      <c r="N38" s="178"/>
      <c r="O38" s="178"/>
      <c r="P38" s="464"/>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199"/>
    </row>
    <row r="39" spans="1:48" s="280" customFormat="1" ht="12.9" customHeight="1">
      <c r="A39" s="280" t="s">
        <v>416</v>
      </c>
      <c r="B39" s="141" t="s">
        <v>407</v>
      </c>
      <c r="C39" s="141"/>
      <c r="D39" s="141"/>
      <c r="E39" s="141"/>
      <c r="F39" s="141"/>
      <c r="G39" s="141"/>
      <c r="H39" s="141"/>
      <c r="I39" s="141"/>
      <c r="K39" s="178"/>
      <c r="M39" s="178"/>
      <c r="N39" s="178"/>
      <c r="O39" s="178"/>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199"/>
    </row>
    <row r="40" spans="1:48" s="280" customFormat="1" ht="12.9" customHeight="1">
      <c r="A40" s="280" t="s">
        <v>23</v>
      </c>
      <c r="B40" s="296">
        <v>16.854451104556041</v>
      </c>
      <c r="C40" s="296">
        <v>17.804532962026791</v>
      </c>
      <c r="D40" s="296">
        <v>19.128826766465245</v>
      </c>
      <c r="E40" s="296">
        <v>22.761811953118713</v>
      </c>
      <c r="F40" s="296">
        <v>16.737196498042987</v>
      </c>
      <c r="G40" s="296">
        <v>20.931666121999999</v>
      </c>
      <c r="H40" s="296">
        <v>24.660451953000003</v>
      </c>
      <c r="I40" s="296">
        <v>24.550471399999999</v>
      </c>
      <c r="J40" s="296">
        <v>24.4776396</v>
      </c>
      <c r="K40" s="296">
        <v>23.618300999999999</v>
      </c>
      <c r="L40" s="296">
        <v>15.726561</v>
      </c>
      <c r="M40" s="296">
        <v>12.320690000000001</v>
      </c>
      <c r="N40" s="296">
        <v>20.072283568924995</v>
      </c>
      <c r="O40" s="296">
        <v>22.923307000000001</v>
      </c>
      <c r="P40" s="296">
        <v>23.204588000000001</v>
      </c>
      <c r="Q40" s="296">
        <v>23.008130999999999</v>
      </c>
      <c r="R40" s="296">
        <v>22.198810999999999</v>
      </c>
      <c r="S40" s="296">
        <v>21.353947000000002</v>
      </c>
      <c r="T40" s="296">
        <v>20.791938999999999</v>
      </c>
      <c r="U40" s="296">
        <v>20.718201000000001</v>
      </c>
      <c r="V40" s="296">
        <v>21.202658</v>
      </c>
      <c r="W40" s="296">
        <v>21.322980999999999</v>
      </c>
      <c r="X40" s="296">
        <v>22.042722999999999</v>
      </c>
      <c r="Y40" s="296">
        <v>22.322582000000001</v>
      </c>
      <c r="Z40" s="296">
        <v>22.90024</v>
      </c>
      <c r="AA40" s="296">
        <v>23.036804</v>
      </c>
      <c r="AB40" s="296">
        <v>23.333538000000001</v>
      </c>
      <c r="AC40" s="296">
        <v>23.588539000000001</v>
      </c>
      <c r="AD40" s="296">
        <v>23.862185</v>
      </c>
      <c r="AE40" s="296">
        <v>23.958393000000001</v>
      </c>
      <c r="AF40" s="296">
        <v>24.198429000000001</v>
      </c>
      <c r="AG40" s="296">
        <v>24.584790999999999</v>
      </c>
      <c r="AH40" s="296">
        <v>24.646456000000001</v>
      </c>
      <c r="AI40" s="296">
        <v>24.841132999999999</v>
      </c>
      <c r="AJ40" s="296">
        <v>25.076160000000002</v>
      </c>
      <c r="AK40" s="296">
        <v>25.119662999999999</v>
      </c>
      <c r="AL40" s="296">
        <v>25.304338000000001</v>
      </c>
      <c r="AM40" s="296">
        <v>25.526316000000001</v>
      </c>
      <c r="AN40" s="296">
        <v>25.678324</v>
      </c>
      <c r="AO40" s="296">
        <v>25.715685000000001</v>
      </c>
      <c r="AP40" s="296">
        <v>25.886702</v>
      </c>
      <c r="AQ40" s="296">
        <v>25.889156</v>
      </c>
      <c r="AR40" s="296">
        <v>26.072123000000001</v>
      </c>
      <c r="AS40" s="296">
        <v>26.074621</v>
      </c>
      <c r="AT40" s="296">
        <v>26.037804000000001</v>
      </c>
      <c r="AU40" s="296">
        <v>26.079402999999999</v>
      </c>
      <c r="AV40" s="297">
        <v>4.3025205743656416E-3</v>
      </c>
    </row>
    <row r="41" spans="1:48" s="280" customFormat="1" ht="12.9" customHeight="1">
      <c r="A41" s="280" t="s">
        <v>29</v>
      </c>
      <c r="B41" s="296">
        <v>10.260883605477513</v>
      </c>
      <c r="C41" s="296">
        <v>11.514991020049854</v>
      </c>
      <c r="D41" s="296">
        <v>12.429864774934828</v>
      </c>
      <c r="E41" s="296">
        <v>19.642959947773459</v>
      </c>
      <c r="F41" s="296">
        <v>12.010487536403307</v>
      </c>
      <c r="G41" s="296">
        <v>15.579757000000001</v>
      </c>
      <c r="H41" s="296">
        <v>22.408439552400001</v>
      </c>
      <c r="I41" s="296">
        <v>25.975307600000001</v>
      </c>
      <c r="J41" s="296">
        <v>24.002694200000001</v>
      </c>
      <c r="K41" s="296">
        <v>19.642218</v>
      </c>
      <c r="L41" s="296">
        <v>12.897640000000001</v>
      </c>
      <c r="M41" s="296">
        <v>9.9384420000000002</v>
      </c>
      <c r="N41" s="296">
        <v>14.337346452899997</v>
      </c>
      <c r="O41" s="296">
        <v>15.841780999999999</v>
      </c>
      <c r="P41" s="296">
        <v>15.618833</v>
      </c>
      <c r="Q41" s="296">
        <v>15.775650000000001</v>
      </c>
      <c r="R41" s="296">
        <v>15.621582</v>
      </c>
      <c r="S41" s="296">
        <v>15.311631</v>
      </c>
      <c r="T41" s="296">
        <v>15.315880999999999</v>
      </c>
      <c r="U41" s="296">
        <v>15.654947999999999</v>
      </c>
      <c r="V41" s="296">
        <v>15.922254000000001</v>
      </c>
      <c r="W41" s="296">
        <v>16.066763000000002</v>
      </c>
      <c r="X41" s="296">
        <v>16.666602999999999</v>
      </c>
      <c r="Y41" s="296">
        <v>16.898457000000001</v>
      </c>
      <c r="Z41" s="296">
        <v>17.326927000000001</v>
      </c>
      <c r="AA41" s="296">
        <v>17.462866000000002</v>
      </c>
      <c r="AB41" s="296">
        <v>17.684297999999998</v>
      </c>
      <c r="AC41" s="296">
        <v>17.929348000000001</v>
      </c>
      <c r="AD41" s="296">
        <v>17.996404999999999</v>
      </c>
      <c r="AE41" s="296">
        <v>18.229756999999999</v>
      </c>
      <c r="AF41" s="296">
        <v>18.424772000000001</v>
      </c>
      <c r="AG41" s="296">
        <v>18.620166999999999</v>
      </c>
      <c r="AH41" s="296">
        <v>18.737036</v>
      </c>
      <c r="AI41" s="296">
        <v>18.850363000000002</v>
      </c>
      <c r="AJ41" s="296">
        <v>19.065864999999999</v>
      </c>
      <c r="AK41" s="296">
        <v>19.225909999999999</v>
      </c>
      <c r="AL41" s="296">
        <v>19.335702999999999</v>
      </c>
      <c r="AM41" s="296">
        <v>19.588217</v>
      </c>
      <c r="AN41" s="296">
        <v>19.623833000000001</v>
      </c>
      <c r="AO41" s="296">
        <v>19.577938</v>
      </c>
      <c r="AP41" s="296">
        <v>19.620148</v>
      </c>
      <c r="AQ41" s="296">
        <v>19.597536000000002</v>
      </c>
      <c r="AR41" s="296">
        <v>19.772902999999999</v>
      </c>
      <c r="AS41" s="296">
        <v>19.758562000000001</v>
      </c>
      <c r="AT41" s="296">
        <v>19.623857000000001</v>
      </c>
      <c r="AU41" s="296">
        <v>19.641705000000002</v>
      </c>
      <c r="AV41" s="297">
        <v>7.4958506874953064E-3</v>
      </c>
    </row>
    <row r="42" spans="1:48" s="280" customFormat="1" ht="12.9" customHeight="1">
      <c r="A42" s="280" t="s">
        <v>24</v>
      </c>
      <c r="B42" s="296">
        <v>8.8587806092391812</v>
      </c>
      <c r="C42" s="296">
        <v>7.2187537219205105</v>
      </c>
      <c r="D42" s="296">
        <v>7.365604152788511</v>
      </c>
      <c r="E42" s="296">
        <v>8.8873175920093885</v>
      </c>
      <c r="F42" s="296">
        <v>4.8130168071388626</v>
      </c>
      <c r="G42" s="296">
        <v>4.9287729999999996</v>
      </c>
      <c r="H42" s="296">
        <v>4.9588802021999996</v>
      </c>
      <c r="I42" s="296">
        <v>3.7503248000000005</v>
      </c>
      <c r="J42" s="296">
        <v>4.4909524000000003</v>
      </c>
      <c r="K42" s="296">
        <v>4.9945050000000002</v>
      </c>
      <c r="L42" s="296">
        <v>3.309901</v>
      </c>
      <c r="M42" s="296">
        <v>2.827858</v>
      </c>
      <c r="N42" s="296">
        <v>3.5135098942749994</v>
      </c>
      <c r="O42" s="296">
        <v>3.4781140000000001</v>
      </c>
      <c r="P42" s="296">
        <v>3.3326310000000001</v>
      </c>
      <c r="Q42" s="296">
        <v>3.5254859999999999</v>
      </c>
      <c r="R42" s="296">
        <v>3.5533450000000002</v>
      </c>
      <c r="S42" s="296">
        <v>3.6320199999999998</v>
      </c>
      <c r="T42" s="296">
        <v>3.7880159999999998</v>
      </c>
      <c r="U42" s="296">
        <v>3.9699409999999999</v>
      </c>
      <c r="V42" s="296">
        <v>4.2003570000000003</v>
      </c>
      <c r="W42" s="296">
        <v>4.3306779999999998</v>
      </c>
      <c r="X42" s="296">
        <v>4.3493409999999999</v>
      </c>
      <c r="Y42" s="296">
        <v>4.4063739999999996</v>
      </c>
      <c r="Z42" s="296">
        <v>4.4117179999999996</v>
      </c>
      <c r="AA42" s="296">
        <v>4.3968540000000003</v>
      </c>
      <c r="AB42" s="296">
        <v>4.3878079999999997</v>
      </c>
      <c r="AC42" s="296">
        <v>4.5070410000000001</v>
      </c>
      <c r="AD42" s="296">
        <v>4.6089310000000001</v>
      </c>
      <c r="AE42" s="296">
        <v>4.7250370000000004</v>
      </c>
      <c r="AF42" s="296">
        <v>4.7857830000000003</v>
      </c>
      <c r="AG42" s="296">
        <v>4.8035680000000003</v>
      </c>
      <c r="AH42" s="296">
        <v>4.8600649999999996</v>
      </c>
      <c r="AI42" s="296">
        <v>4.9060959999999998</v>
      </c>
      <c r="AJ42" s="296">
        <v>5.0085839999999999</v>
      </c>
      <c r="AK42" s="296">
        <v>5.0841419999999999</v>
      </c>
      <c r="AL42" s="296">
        <v>5.1276809999999999</v>
      </c>
      <c r="AM42" s="296">
        <v>5.1528140000000002</v>
      </c>
      <c r="AN42" s="296">
        <v>5.2237099999999996</v>
      </c>
      <c r="AO42" s="296">
        <v>5.3565370000000003</v>
      </c>
      <c r="AP42" s="296">
        <v>5.4316969999999998</v>
      </c>
      <c r="AQ42" s="296">
        <v>5.5372320000000004</v>
      </c>
      <c r="AR42" s="296">
        <v>5.6951270000000003</v>
      </c>
      <c r="AS42" s="296">
        <v>5.9118219999999999</v>
      </c>
      <c r="AT42" s="296">
        <v>5.9765930000000003</v>
      </c>
      <c r="AU42" s="296">
        <v>6.1611370000000001</v>
      </c>
      <c r="AV42" s="297">
        <v>2.4106302654254574E-2</v>
      </c>
    </row>
    <row r="43" spans="1:48" s="280" customFormat="1" ht="12.9" customHeight="1">
      <c r="A43" s="280" t="s">
        <v>39</v>
      </c>
      <c r="B43" s="296">
        <v>1.7320665011297836</v>
      </c>
      <c r="C43" s="296">
        <v>1.9023175526905256</v>
      </c>
      <c r="D43" s="296">
        <v>2.1303159268487466</v>
      </c>
      <c r="E43" s="296">
        <v>2.6336036357309429</v>
      </c>
      <c r="F43" s="296">
        <v>2.7189923274487202</v>
      </c>
      <c r="G43" s="296">
        <v>1.8096479999999999</v>
      </c>
      <c r="H43" s="296">
        <v>2.0108612675999997</v>
      </c>
      <c r="I43" s="296">
        <v>1.9531232000000001</v>
      </c>
      <c r="J43" s="296">
        <v>2.0813481999999999</v>
      </c>
      <c r="K43" s="296">
        <v>2.1934130000000001</v>
      </c>
      <c r="L43" s="296">
        <v>2.1289380000000002</v>
      </c>
      <c r="M43" s="296">
        <v>2.0288729999999999</v>
      </c>
      <c r="N43" s="296">
        <v>2.1177312455999995</v>
      </c>
      <c r="O43" s="296">
        <v>2.1174390000000001</v>
      </c>
      <c r="P43" s="296">
        <v>2.0832280000000001</v>
      </c>
      <c r="Q43" s="296">
        <v>2.108419</v>
      </c>
      <c r="R43" s="296">
        <v>2.1785130000000001</v>
      </c>
      <c r="S43" s="296">
        <v>2.1792850000000001</v>
      </c>
      <c r="T43" s="296">
        <v>2.1704780000000001</v>
      </c>
      <c r="U43" s="296">
        <v>2.1726019999999999</v>
      </c>
      <c r="V43" s="296">
        <v>2.1825299999999999</v>
      </c>
      <c r="W43" s="296">
        <v>2.181943</v>
      </c>
      <c r="X43" s="296">
        <v>2.1876169999999999</v>
      </c>
      <c r="Y43" s="296">
        <v>2.1871909999999999</v>
      </c>
      <c r="Z43" s="296">
        <v>2.1969850000000002</v>
      </c>
      <c r="AA43" s="296">
        <v>2.2055799999999999</v>
      </c>
      <c r="AB43" s="296">
        <v>2.2169300000000001</v>
      </c>
      <c r="AC43" s="296">
        <v>2.216577</v>
      </c>
      <c r="AD43" s="296">
        <v>2.223366</v>
      </c>
      <c r="AE43" s="296">
        <v>2.2175389999999999</v>
      </c>
      <c r="AF43" s="296">
        <v>2.2389749999999999</v>
      </c>
      <c r="AG43" s="296">
        <v>2.261924</v>
      </c>
      <c r="AH43" s="296">
        <v>2.2766199999999999</v>
      </c>
      <c r="AI43" s="296">
        <v>2.2934909999999999</v>
      </c>
      <c r="AJ43" s="296">
        <v>2.3123049999999998</v>
      </c>
      <c r="AK43" s="296">
        <v>2.3254540000000001</v>
      </c>
      <c r="AL43" s="296">
        <v>2.3314819999999998</v>
      </c>
      <c r="AM43" s="296">
        <v>2.342031</v>
      </c>
      <c r="AN43" s="296">
        <v>2.3496890000000001</v>
      </c>
      <c r="AO43" s="296">
        <v>2.3494199999999998</v>
      </c>
      <c r="AP43" s="296">
        <v>2.3559199999999998</v>
      </c>
      <c r="AQ43" s="296">
        <v>2.357297</v>
      </c>
      <c r="AR43" s="296">
        <v>2.3613080000000002</v>
      </c>
      <c r="AS43" s="296">
        <v>2.367035</v>
      </c>
      <c r="AT43" s="296">
        <v>2.3715090000000001</v>
      </c>
      <c r="AU43" s="296">
        <v>2.3748870000000002</v>
      </c>
      <c r="AV43" s="297">
        <v>3.7995191360884555E-3</v>
      </c>
    </row>
    <row r="44" spans="1:48">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row>
    <row r="45" spans="1:48">
      <c r="A45" s="54"/>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row>
  </sheetData>
  <hyperlinks>
    <hyperlink ref="B1" location="Cover!B16" display="return to TOC"/>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37F82A00B46344287D29A2B5774955F" ma:contentTypeVersion="14" ma:contentTypeDescription="Create a new document." ma:contentTypeScope="" ma:versionID="973bd6561572a3005a6b7ab97f1f6e80">
  <xsd:schema xmlns:xsd="http://www.w3.org/2001/XMLSchema" xmlns:xs="http://www.w3.org/2001/XMLSchema" xmlns:p="http://schemas.microsoft.com/office/2006/metadata/properties" xmlns:ns1="http://schemas.microsoft.com/sharepoint/v3" xmlns:ns2="63979cc8-f6b2-4ee6-8bed-630b6048d169" xmlns:ns4="59db5950-9a61-4c09-b3e2-fe6d472fba04" targetNamespace="http://schemas.microsoft.com/office/2006/metadata/properties" ma:root="true" ma:fieldsID="0c769d9437d03691a8a8f58a18ba4cc8" ns1:_="" ns2:_="" ns4:_="">
    <xsd:import namespace="http://schemas.microsoft.com/sharepoint/v3"/>
    <xsd:import namespace="63979cc8-f6b2-4ee6-8bed-630b6048d169"/>
    <xsd:import namespace="59db5950-9a61-4c09-b3e2-fe6d472fba04"/>
    <xsd:element name="properties">
      <xsd:complexType>
        <xsd:sequence>
          <xsd:element name="documentManagement">
            <xsd:complexType>
              <xsd:all>
                <xsd:element ref="ns1:PublishingStartDate" minOccurs="0"/>
                <xsd:element ref="ns1:PublishingExpirationDate" minOccurs="0"/>
                <xsd:element ref="ns2:Program"/>
                <xsd:element ref="ns2:Content_x0020_Type"/>
                <xsd:element ref="ns1:RoutingRuleDescription"/>
                <xsd:element ref="ns4:d599451e10b14aceb47619c4acf6a5e3" minOccurs="0"/>
                <xsd:element ref="ns4:TaxCatchAll" minOccurs="0"/>
                <xsd:element ref="ns2:BusinessUnit" minOccurs="0"/>
                <xsd:element ref="ns2:Year" minOccurs="0"/>
                <xsd:element ref="ns2:Publish" minOccurs="0"/>
                <xsd:element ref="ns2:Topi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element name="RoutingRuleDescription" ma:index="12" ma:displayName="Description" ma:internalName="RoutingRuleDescriptio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979cc8-f6b2-4ee6-8bed-630b6048d169" elementFormDefault="qualified">
    <xsd:import namespace="http://schemas.microsoft.com/office/2006/documentManagement/types"/>
    <xsd:import namespace="http://schemas.microsoft.com/office/infopath/2007/PartnerControls"/>
    <xsd:element name="Program" ma:index="10" ma:displayName="Theme" ma:format="Dropdown" ma:internalName="Program">
      <xsd:simpleType>
        <xsd:restriction base="dms:Choice">
          <xsd:enumeration value="About Commerce"/>
          <xsd:enumeration value="Business and Economic Development"/>
          <xsd:enumeration value="Community Services and Facilities"/>
          <xsd:enumeration value="Crime Victims and Public Safety"/>
          <xsd:enumeration value="Energy and Technology"/>
          <xsd:enumeration value="Foreclosure Fairness Program"/>
          <xsd:enumeration value="Growth Management"/>
          <xsd:enumeration value="Homeless Programs"/>
          <xsd:enumeration value="Housing and Homeless"/>
          <xsd:enumeration value="Infrastructure and Community Development"/>
          <xsd:enumeration value="Open Grants and Loan Applications"/>
          <xsd:enumeration value="Research Services"/>
          <xsd:enumeration value="Services and Assistance"/>
          <xsd:enumeration value="Reports and Publications"/>
        </xsd:restriction>
      </xsd:simpleType>
    </xsd:element>
    <xsd:element name="Content_x0020_Type" ma:index="11" ma:displayName="Content Type" ma:format="Dropdown" ma:internalName="Content_x0020_Type">
      <xsd:simpleType>
        <xsd:restriction base="dms:Choice">
          <xsd:enumeration value="Grant Application"/>
          <xsd:enumeration value="Loan Application"/>
          <xsd:enumeration value="Report"/>
          <xsd:enumeration value="Form"/>
          <xsd:enumeration value="Training Material"/>
          <xsd:enumeration value="Policy"/>
          <xsd:enumeration value="Presentation"/>
          <xsd:enumeration value="Award Lists"/>
          <xsd:enumeration value="Contract"/>
          <xsd:enumeration value="Project Information"/>
          <xsd:enumeration value="Data"/>
          <xsd:enumeration value="Commerce Solicitation"/>
          <xsd:enumeration value="Loan Application"/>
          <xsd:enumeration value="Public Input Process"/>
          <xsd:enumeration value="Fact Sheet"/>
          <xsd:enumeration value="Financial"/>
        </xsd:restriction>
      </xsd:simpleType>
    </xsd:element>
    <xsd:element name="BusinessUnit" ma:index="17" nillable="true" ma:displayName="Business Unit" ma:internalName="BusinessUnit">
      <xsd:simpleType>
        <xsd:restriction base="dms:Text">
          <xsd:maxLength value="55"/>
        </xsd:restriction>
      </xsd:simpleType>
    </xsd:element>
    <xsd:element name="Year" ma:index="18" nillable="true" ma:displayName="Year" ma:format="Dropdown" ma:internalName="Year">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restriction>
      </xsd:simpleType>
    </xsd:element>
    <xsd:element name="Publish" ma:index="19" nillable="true" ma:displayName="Publish" ma:format="RadioButtons" ma:internalName="Publish">
      <xsd:simpleType>
        <xsd:restriction base="dms:Choice">
          <xsd:enumeration value="Yes"/>
          <xsd:enumeration value="No"/>
        </xsd:restriction>
      </xsd:simpleType>
    </xsd:element>
    <xsd:element name="Topic" ma:index="20" nillable="true" ma:displayName="Topic" ma:format="Dropdown" ma:internalName="Topic">
      <xsd:simpleType>
        <xsd:restriction base="dms:Choice">
          <xsd:enumeration value="Affordable Housing"/>
          <xsd:enumeration value="Agriculture"/>
          <xsd:enumeration value="Annexation"/>
          <xsd:enumeration value="Annual Report"/>
          <xsd:enumeration value="Best Available Science"/>
          <xsd:enumeration value="Bicycling, Walking"/>
          <xsd:enumeration value="Buildable Lands"/>
          <xsd:enumeration value="Capital Facilities"/>
          <xsd:enumeration value="Capital Facilities Template"/>
          <xsd:enumeration value="Citizen Participation"/>
          <xsd:enumeration value="Clearing, Grading"/>
          <xsd:enumeration value="Coastal Erosion"/>
          <xsd:enumeration value="Comprehensive Plans"/>
          <xsd:enumeration value="Concurrency"/>
          <xsd:enumeration value="Critical Areas"/>
          <xsd:enumeration value="Development Regulations"/>
          <xsd:enumeration value="Economic Development"/>
          <xsd:enumeration value="ESA Listings"/>
          <xsd:enumeration value="ESHB 1724"/>
          <xsd:enumeration value="GMA"/>
          <xsd:enumeration value="GMA"/>
          <xsd:enumeration value="GMA RCWs"/>
          <xsd:enumeration value="Governor's Smart Communities Awards Program Brochure"/>
          <xsd:enumeration value="Growth Management 15-Year - An Overview, Brochure"/>
          <xsd:enumeration value="Growth Management 15-Year Report"/>
          <xsd:enumeration value="Growth Management Hearings Boards"/>
          <xsd:enumeration value="Growth Management Services"/>
          <xsd:enumeration value="Historic Preservation"/>
          <xsd:enumeration value="Housing"/>
          <xsd:enumeration value="Impact Fees"/>
          <xsd:enumeration value="Interagency Contacts"/>
          <xsd:enumeration value="Land Use Element"/>
          <xsd:enumeration value="Medical Marijuana"/>
          <xsd:enumeration value="Military Installation Compatibility"/>
          <xsd:enumeration value="Military Installations"/>
          <xsd:enumeration value="Minimum Guidelines"/>
          <xsd:enumeration value="Model Codes"/>
          <xsd:enumeration value="Natural Hazard Reduction"/>
          <xsd:enumeration value="Parks, Recreation, and Open Space"/>
          <xsd:enumeration value="Permits"/>
          <xsd:enumeration value="Planner's Update Bulletin"/>
          <xsd:enumeration value="Planner's Update Newsletter"/>
          <xsd:enumeration value="Population Forecasting"/>
          <xsd:enumeration value="Procedural Criteria"/>
          <xsd:enumeration value="Project Consistency"/>
          <xsd:enumeration value="Property Rights"/>
          <xsd:enumeration value="Quality of Life"/>
          <xsd:enumeration value="RCWs"/>
          <xsd:enumeration value="Resource Lands"/>
          <xsd:enumeration value="Rural"/>
          <xsd:enumeration value="Rural Lands"/>
          <xsd:enumeration value="SEPA/GMA"/>
          <xsd:enumeration value="Shoreline Management"/>
          <xsd:enumeration value="Short Course"/>
          <xsd:enumeration value="Success Stories"/>
          <xsd:enumeration value="Transportation"/>
          <xsd:enumeration value="Update Process"/>
          <xsd:enumeration value="Update, GMA"/>
          <xsd:enumeration value="Urban"/>
          <xsd:enumeration value="Urban Growth Areas"/>
          <xsd:enumeration value="WAC"/>
          <xsd:enumeration value="Energy"/>
          <xsd:enumeration value="Energy strategy"/>
          <xsd:enumeration value="Energy policy"/>
          <xsd:enumeration value="Electric Utilities"/>
          <xsd:enumeration value="Building Codes"/>
          <xsd:enumeration value="Appliances"/>
          <xsd:enumeration value="SEP Grants and Loans"/>
          <xsd:enumeration value="Bioenergy"/>
          <xsd:enumeration value="Petroleum and Natural Gas"/>
          <xsd:enumeration value="Renewable Resources"/>
          <xsd:enumeration value="Transportation"/>
          <xsd:enumeration value="Energy Emergencies"/>
          <xsd:enumeration value="Energy Data"/>
          <xsd:enumeration value="60 day notice"/>
          <xsd:enumeration value="Appellate Decisions"/>
          <xsd:enumeration value="Biodiversity"/>
          <xsd:enumeration value="Checklist"/>
          <xsd:enumeration value="Citizen Participation"/>
          <xsd:enumeration value="Climate Change"/>
          <xsd:enumeration value="Energy"/>
          <xsd:enumeration value="Energy Aware"/>
          <xsd:enumeration value="Evergreen Communities"/>
          <xsd:enumeration value="GMA Effectiveness"/>
          <xsd:enumeration value="GMA Publications"/>
          <xsd:enumeration value="GMA RCW Update"/>
          <xsd:enumeration value="GMA Update Map"/>
          <xsd:enumeration value="Land Use Study Commission"/>
          <xsd:enumeration value="Mineral Lands"/>
          <xsd:enumeration value="Multi-Unit Tax Exemption"/>
          <xsd:enumeration value="Multi-Unit Tax Form"/>
          <xsd:enumeration value="NSP"/>
          <xsd:enumeration value="Planner Forums"/>
          <xsd:enumeration value="Property Rights"/>
          <xsd:enumeration value="Guidebook"/>
          <xsd:enumeration value="Parks and Open Space"/>
          <xsd:enumeration value="Periodic Update"/>
          <xsd:enumeration value="GMA Update (update process)"/>
          <xsd:enumeration value="Permitting"/>
          <xsd:enumeration value="Planners Update Newsletter"/>
          <xsd:enumeration value="Regulatory Reform"/>
          <xsd:enumeration value="School Planning"/>
          <xsd:enumeration value="Rural Lands"/>
          <xsd:enumeration value="SEPA"/>
          <xsd:enumeration value="SEPA/GMA"/>
          <xsd:enumeration value="Smart Growth"/>
          <xsd:enumeration value="TDR"/>
          <xsd:enumeration value="UGA"/>
          <xsd:enumeration value="Update"/>
          <xsd:enumeration value="Update Schedule Map"/>
          <xsd:enumeration value="Urban Growth Areas"/>
        </xsd:restriction>
      </xsd:simpleType>
    </xsd:element>
  </xsd:schema>
  <xsd:schema xmlns:xsd="http://www.w3.org/2001/XMLSchema" xmlns:xs="http://www.w3.org/2001/XMLSchema" xmlns:dms="http://schemas.microsoft.com/office/2006/documentManagement/types" xmlns:pc="http://schemas.microsoft.com/office/infopath/2007/PartnerControls" targetNamespace="59db5950-9a61-4c09-b3e2-fe6d472fba04" elementFormDefault="qualified">
    <xsd:import namespace="http://schemas.microsoft.com/office/2006/documentManagement/types"/>
    <xsd:import namespace="http://schemas.microsoft.com/office/infopath/2007/PartnerControls"/>
    <xsd:element name="d599451e10b14aceb47619c4acf6a5e3" ma:index="15" nillable="true" ma:taxonomy="true" ma:internalName="d599451e10b14aceb47619c4acf6a5e3" ma:taxonomyFieldName="Tags" ma:displayName="Tags" ma:default="" ma:fieldId="{d599451e-10b1-4ace-b476-19c4acf6a5e3}" ma:taxonomyMulti="true" ma:sspId="bf6a826f-2cab-45dc-9ffe-fa5cab908faa" ma:termSetId="1ce3ecf8-e5ae-413d-890c-de5413657a20" ma:anchorId="00000000-0000-0000-0000-000000000000" ma:open="false" ma:isKeyword="false">
      <xsd:complexType>
        <xsd:sequence>
          <xsd:element ref="pc:Terms" minOccurs="0" maxOccurs="1"/>
        </xsd:sequence>
      </xsd:complexType>
    </xsd:element>
    <xsd:element name="TaxCatchAll" ma:index="16" nillable="true" ma:displayName="Taxonomy Catch All Column" ma:hidden="true" ma:list="{ae2a0ba3-27c4-4c52-bac5-ed8a80cb3154}" ma:internalName="TaxCatchAll" ma:showField="CatchAllData" ma:web="36660fb1-bd30-4810-8537-b68c6e8405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ntent_x0020_Type xmlns="63979cc8-f6b2-4ee6-8bed-630b6048d169">Form</Content_x0020_Type>
    <Year xmlns="63979cc8-f6b2-4ee6-8bed-630b6048d169">2015</Year>
    <d599451e10b14aceb47619c4acf6a5e3 xmlns="59db5950-9a61-4c09-b3e2-fe6d472fba04">
      <Terms xmlns="http://schemas.microsoft.com/office/infopath/2007/PartnerControls"/>
    </d599451e10b14aceb47619c4acf6a5e3>
    <TaxCatchAll xmlns="59db5950-9a61-4c09-b3e2-fe6d472fba04"/>
    <BusinessUnit xmlns="63979cc8-f6b2-4ee6-8bed-630b6048d169">Energy Office</BusinessUnit>
    <PublishingExpirationDate xmlns="http://schemas.microsoft.com/sharepoint/v3" xsi:nil="true"/>
    <RoutingRuleDescription xmlns="http://schemas.microsoft.com/sharepoint/v3">carbon</RoutingRuleDescription>
    <PublishingStartDate xmlns="http://schemas.microsoft.com/sharepoint/v3" xsi:nil="true"/>
    <Publish xmlns="63979cc8-f6b2-4ee6-8bed-630b6048d169">Yes</Publish>
    <Topic xmlns="63979cc8-f6b2-4ee6-8bed-630b6048d169">Energy</Topic>
    <Program xmlns="63979cc8-f6b2-4ee6-8bed-630b6048d169">Energy and Technology</Program>
  </documentManagement>
</p:properties>
</file>

<file path=customXml/itemProps1.xml><?xml version="1.0" encoding="utf-8"?>
<ds:datastoreItem xmlns:ds="http://schemas.openxmlformats.org/officeDocument/2006/customXml" ds:itemID="{4E13854F-8521-4FB5-9D9B-2C46AB221C6B}">
  <ds:schemaRefs>
    <ds:schemaRef ds:uri="http://schemas.microsoft.com/sharepoint/v3/contenttype/forms"/>
  </ds:schemaRefs>
</ds:datastoreItem>
</file>

<file path=customXml/itemProps2.xml><?xml version="1.0" encoding="utf-8"?>
<ds:datastoreItem xmlns:ds="http://schemas.openxmlformats.org/officeDocument/2006/customXml" ds:itemID="{772B73E2-A98E-4266-A15B-C2339DD2A4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3979cc8-f6b2-4ee6-8bed-630b6048d169"/>
    <ds:schemaRef ds:uri="59db5950-9a61-4c09-b3e2-fe6d472fba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A0716-B71C-4EAB-B73D-12B0E8AE7CCD}">
  <ds:schemaRefs>
    <ds:schemaRef ds:uri="http://schemas.openxmlformats.org/package/2006/metadata/core-properties"/>
    <ds:schemaRef ds:uri="http://schemas.microsoft.com/sharepoint/v3"/>
    <ds:schemaRef ds:uri="http://purl.org/dc/elements/1.1/"/>
    <ds:schemaRef ds:uri="http://schemas.microsoft.com/office/2006/documentManagement/types"/>
    <ds:schemaRef ds:uri="http://schemas.microsoft.com/office/infopath/2007/PartnerControls"/>
    <ds:schemaRef ds:uri="63979cc8-f6b2-4ee6-8bed-630b6048d169"/>
    <ds:schemaRef ds:uri="http://purl.org/dc/terms/"/>
    <ds:schemaRef ds:uri="http://schemas.microsoft.com/office/2006/metadata/properties"/>
    <ds:schemaRef ds:uri="59db5950-9a61-4c09-b3e2-fe6d472fba0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183</vt:i4>
      </vt:variant>
    </vt:vector>
  </HeadingPairs>
  <TitlesOfParts>
    <vt:vector size="210" baseType="lpstr">
      <vt:lpstr>Cover</vt:lpstr>
      <vt:lpstr>dashboard</vt:lpstr>
      <vt:lpstr>annual tables</vt:lpstr>
      <vt:lpstr>quinquennial tables</vt:lpstr>
      <vt:lpstr>parameters</vt:lpstr>
      <vt:lpstr>elasticities</vt:lpstr>
      <vt:lpstr>ramps</vt:lpstr>
      <vt:lpstr>price scenario A</vt:lpstr>
      <vt:lpstr>price scenario B</vt:lpstr>
      <vt:lpstr>price scenario C</vt:lpstr>
      <vt:lpstr>consumption scenario A</vt:lpstr>
      <vt:lpstr>consumption scenario B</vt:lpstr>
      <vt:lpstr>consumption scenario C</vt:lpstr>
      <vt:lpstr>Baseline Price</vt:lpstr>
      <vt:lpstr>Baseline Consumption</vt:lpstr>
      <vt:lpstr>Baseline Emissions</vt:lpstr>
      <vt:lpstr>Baseline expend</vt:lpstr>
      <vt:lpstr>Price Change</vt:lpstr>
      <vt:lpstr>Adjusted price</vt:lpstr>
      <vt:lpstr>Adjusted Consumption</vt:lpstr>
      <vt:lpstr>Adjusted Emissions</vt:lpstr>
      <vt:lpstr>Adjusted expend</vt:lpstr>
      <vt:lpstr>Revenue</vt:lpstr>
      <vt:lpstr>units</vt:lpstr>
      <vt:lpstr>cites</vt:lpstr>
      <vt:lpstr>log</vt:lpstr>
      <vt:lpstr>lookup</vt:lpstr>
      <vt:lpstr>acreftTOgal</vt:lpstr>
      <vt:lpstr>acreftTOm3</vt:lpstr>
      <vt:lpstr>acreinTOgal</vt:lpstr>
      <vt:lpstr>acreTOft2</vt:lpstr>
      <vt:lpstr>acreTOha</vt:lpstr>
      <vt:lpstr>units!acreTOkm2</vt:lpstr>
      <vt:lpstr>acreTOm2</vt:lpstr>
      <vt:lpstr>acreTOmi2</vt:lpstr>
      <vt:lpstr>atmTObar</vt:lpstr>
      <vt:lpstr>atmTOpsi</vt:lpstr>
      <vt:lpstr>B</vt:lpstr>
      <vt:lpstr>barTOPa</vt:lpstr>
      <vt:lpstr>barTOpsi</vt:lpstr>
      <vt:lpstr>units!bblTOgal</vt:lpstr>
      <vt:lpstr>units!bblTOL</vt:lpstr>
      <vt:lpstr>Btu.ft3TOMJ.m3</vt:lpstr>
      <vt:lpstr>Btu.hphTOmmBtu.MWh</vt:lpstr>
      <vt:lpstr>Btu.lbTOMJ.kg</vt:lpstr>
      <vt:lpstr>units!Btu.lbTOmmBtu.ton</vt:lpstr>
      <vt:lpstr>BtuTOcal</vt:lpstr>
      <vt:lpstr>units!BtuTOJ</vt:lpstr>
      <vt:lpstr>units!BtuTOkJ</vt:lpstr>
      <vt:lpstr>units!BtuTOkWh</vt:lpstr>
      <vt:lpstr>BtuTOkWh</vt:lpstr>
      <vt:lpstr>units!BtuTOMJ</vt:lpstr>
      <vt:lpstr>BtuTOWh</vt:lpstr>
      <vt:lpstr>calTOBtu</vt:lpstr>
      <vt:lpstr>calTOJ</vt:lpstr>
      <vt:lpstr>cmTOin</vt:lpstr>
      <vt:lpstr>units!dayTOmin</vt:lpstr>
      <vt:lpstr>dayTOyr</vt:lpstr>
      <vt:lpstr>EJTOTWh</vt:lpstr>
      <vt:lpstr>ft2TOm2</vt:lpstr>
      <vt:lpstr>ft2TOyd2</vt:lpstr>
      <vt:lpstr>ft3TOgal</vt:lpstr>
      <vt:lpstr>ft3TOL</vt:lpstr>
      <vt:lpstr>units!ft3TOm3</vt:lpstr>
      <vt:lpstr>ftTOm</vt:lpstr>
      <vt:lpstr>g.hphTOlb.MWh</vt:lpstr>
      <vt:lpstr>g.kWhTOlb.MWh</vt:lpstr>
      <vt:lpstr>galTOacreft</vt:lpstr>
      <vt:lpstr>galTOacrein</vt:lpstr>
      <vt:lpstr>galTObbl</vt:lpstr>
      <vt:lpstr>units!galTOL</vt:lpstr>
      <vt:lpstr>units!galTOliter</vt:lpstr>
      <vt:lpstr>galTOm3</vt:lpstr>
      <vt:lpstr>units!GJ.hrTOMW</vt:lpstr>
      <vt:lpstr>units!GJTOmmBtu</vt:lpstr>
      <vt:lpstr>GJTOMWh</vt:lpstr>
      <vt:lpstr>units!GJTOtherm</vt:lpstr>
      <vt:lpstr>gpmTOliter.s</vt:lpstr>
      <vt:lpstr>gTOlb</vt:lpstr>
      <vt:lpstr>GWTOkW</vt:lpstr>
      <vt:lpstr>GWTOquad.yr</vt:lpstr>
      <vt:lpstr>GWTOTWh.yr</vt:lpstr>
      <vt:lpstr>units!haTOacre</vt:lpstr>
      <vt:lpstr>units!haTOkm2</vt:lpstr>
      <vt:lpstr>hpTOkW</vt:lpstr>
      <vt:lpstr>hrTOday</vt:lpstr>
      <vt:lpstr>units!hrTOmin</vt:lpstr>
      <vt:lpstr>units!hrTOs</vt:lpstr>
      <vt:lpstr>units!hrTOyr</vt:lpstr>
      <vt:lpstr>inTOcm</vt:lpstr>
      <vt:lpstr>inTOmm</vt:lpstr>
      <vt:lpstr>JTOBtu</vt:lpstr>
      <vt:lpstr>JTOcal</vt:lpstr>
      <vt:lpstr>JTOWh</vt:lpstr>
      <vt:lpstr>kcalTOMJ</vt:lpstr>
      <vt:lpstr>kg.GJTOlb.MWh</vt:lpstr>
      <vt:lpstr>kgTOg</vt:lpstr>
      <vt:lpstr>kgTOlb</vt:lpstr>
      <vt:lpstr>kJ.kWhTOmmBtu.MWh</vt:lpstr>
      <vt:lpstr>units!kJTOBtu</vt:lpstr>
      <vt:lpstr>km.lTOmi.gal</vt:lpstr>
      <vt:lpstr>km2TOacre</vt:lpstr>
      <vt:lpstr>km2TOha</vt:lpstr>
      <vt:lpstr>km2TOm2</vt:lpstr>
      <vt:lpstr>km2TOmi2</vt:lpstr>
      <vt:lpstr>units!kmTOmi</vt:lpstr>
      <vt:lpstr>kWh.tonTOMJ.kg</vt:lpstr>
      <vt:lpstr>kWhTOBtu</vt:lpstr>
      <vt:lpstr>kWhTOMJ</vt:lpstr>
      <vt:lpstr>kWTOhp</vt:lpstr>
      <vt:lpstr>units!L.sTOgpm</vt:lpstr>
      <vt:lpstr>lb.mmBtuTOMg.mmBtu</vt:lpstr>
      <vt:lpstr>lb.mmBtuTOng.J</vt:lpstr>
      <vt:lpstr>lb.mmBtuTOTg.quad</vt:lpstr>
      <vt:lpstr>lb.MWhTOg.hph</vt:lpstr>
      <vt:lpstr>lb.MWhTOg.kWh</vt:lpstr>
      <vt:lpstr>lb.MWhTOkg.GJ</vt:lpstr>
      <vt:lpstr>lb.MWhTOton.GWh</vt:lpstr>
      <vt:lpstr>lbTOg</vt:lpstr>
      <vt:lpstr>units!lbTOkg</vt:lpstr>
      <vt:lpstr>lbTOMg</vt:lpstr>
      <vt:lpstr>lbTON</vt:lpstr>
      <vt:lpstr>units!lbTOoz</vt:lpstr>
      <vt:lpstr>lbTOton</vt:lpstr>
      <vt:lpstr>lookupBoolean</vt:lpstr>
      <vt:lpstr>LTOft3</vt:lpstr>
      <vt:lpstr>units!LTOgal</vt:lpstr>
      <vt:lpstr>units!LTOm3</vt:lpstr>
      <vt:lpstr>m2TOacre</vt:lpstr>
      <vt:lpstr>m2TOft2</vt:lpstr>
      <vt:lpstr>m2TOha</vt:lpstr>
      <vt:lpstr>m2TOkm2</vt:lpstr>
      <vt:lpstr>m3.dayTOgpm</vt:lpstr>
      <vt:lpstr>m3TOacreft</vt:lpstr>
      <vt:lpstr>m3TOft3</vt:lpstr>
      <vt:lpstr>m3TOgal</vt:lpstr>
      <vt:lpstr>m3TOliter</vt:lpstr>
      <vt:lpstr>Mg.hayrTOton.acreyr</vt:lpstr>
      <vt:lpstr>MgTOkg</vt:lpstr>
      <vt:lpstr>units!MgTOton</vt:lpstr>
      <vt:lpstr>mi2TOacre</vt:lpstr>
      <vt:lpstr>mi2TOkm2</vt:lpstr>
      <vt:lpstr>minTOday</vt:lpstr>
      <vt:lpstr>miTOkm</vt:lpstr>
      <vt:lpstr>MJ.hrTOkW</vt:lpstr>
      <vt:lpstr>units!MJ.kgTOBtu.lb</vt:lpstr>
      <vt:lpstr>MJ.kgTOkWh.ton</vt:lpstr>
      <vt:lpstr>MJ.kgTOmmBtu.ton</vt:lpstr>
      <vt:lpstr>MJ.kWhTOmmBtu.MWh</vt:lpstr>
      <vt:lpstr>MJ.m3TOBtu.ft3</vt:lpstr>
      <vt:lpstr>MJTOBtu</vt:lpstr>
      <vt:lpstr>units!MJTOkcal</vt:lpstr>
      <vt:lpstr>units!MJTOkWh</vt:lpstr>
      <vt:lpstr>MJTOMWh</vt:lpstr>
      <vt:lpstr>units!MJTOtherm</vt:lpstr>
      <vt:lpstr>mmBtu.MWhTOBtu.hph</vt:lpstr>
      <vt:lpstr>mmBtu.MWhTOkJ.kWh</vt:lpstr>
      <vt:lpstr>mmBtu.MWhTOMJ.kWh</vt:lpstr>
      <vt:lpstr>mmBtu.tonTOBtu.lb</vt:lpstr>
      <vt:lpstr>mmBtuTOkWh</vt:lpstr>
      <vt:lpstr>units!mmBtuTOMJ</vt:lpstr>
      <vt:lpstr>mmBtuTOMWh</vt:lpstr>
      <vt:lpstr>units!mmBtuTOtherm</vt:lpstr>
      <vt:lpstr>mmBtuTOTJ</vt:lpstr>
      <vt:lpstr>mmTOin</vt:lpstr>
      <vt:lpstr>moTOday</vt:lpstr>
      <vt:lpstr>moTOyr</vt:lpstr>
      <vt:lpstr>MtoeTOGWh</vt:lpstr>
      <vt:lpstr>MtoeTOmmBtu</vt:lpstr>
      <vt:lpstr>MtoeTOTJ</vt:lpstr>
      <vt:lpstr>MWaTOMWh</vt:lpstr>
      <vt:lpstr>units!MWhTOGJ</vt:lpstr>
      <vt:lpstr>MWhTOmmBtu</vt:lpstr>
      <vt:lpstr>MWhTOMWa</vt:lpstr>
      <vt:lpstr>MWhTOTJ</vt:lpstr>
      <vt:lpstr>MWTOGJ.hr</vt:lpstr>
      <vt:lpstr>MWTOkW</vt:lpstr>
      <vt:lpstr>ng.JTOlb.mmBtu</vt:lpstr>
      <vt:lpstr>ozTOkg</vt:lpstr>
      <vt:lpstr>Property_Tax_Offset</vt:lpstr>
      <vt:lpstr>psiTOPa</vt:lpstr>
      <vt:lpstr>quad.yrTOGW</vt:lpstr>
      <vt:lpstr>units!quadTOEJ</vt:lpstr>
      <vt:lpstr>units!quadTOTWh</vt:lpstr>
      <vt:lpstr>Regional_baseline</vt:lpstr>
      <vt:lpstr>sTOday</vt:lpstr>
      <vt:lpstr>sTOhr</vt:lpstr>
      <vt:lpstr>sTOyr</vt:lpstr>
      <vt:lpstr>tableBoolean</vt:lpstr>
      <vt:lpstr>Tg.quadTOlb.mmBtu</vt:lpstr>
      <vt:lpstr>units!thermTOBtu</vt:lpstr>
      <vt:lpstr>thermTOGJ</vt:lpstr>
      <vt:lpstr>thermTOkWh</vt:lpstr>
      <vt:lpstr>units!thermTOMJ</vt:lpstr>
      <vt:lpstr>thermTOTJ</vt:lpstr>
      <vt:lpstr>ton.GWhTOlb.MWh</vt:lpstr>
      <vt:lpstr>units!tonTOkg</vt:lpstr>
      <vt:lpstr>tonTOlb</vt:lpstr>
      <vt:lpstr>units!tonTOMg</vt:lpstr>
      <vt:lpstr>TWh.yrTOGW</vt:lpstr>
      <vt:lpstr>units!TWhTOEJ</vt:lpstr>
      <vt:lpstr>TWhTOquad</vt:lpstr>
      <vt:lpstr>WhTOBtu</vt:lpstr>
      <vt:lpstr>units!WhTOJ</vt:lpstr>
      <vt:lpstr>yd2TOft2</vt:lpstr>
      <vt:lpstr>yd3TOm3</vt:lpstr>
      <vt:lpstr>units!yrTOday</vt:lpstr>
      <vt:lpstr>units!yrTOhr</vt:lpstr>
      <vt:lpstr>units!yrTOmo</vt:lpstr>
      <vt:lpstr>yrTOs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Carbon Tax Analysis Model v3.1c</dc:title>
  <dc:creator>Keibun Mori;greg.nothstein@commerce.wa.gov</dc:creator>
  <cp:keywords>carbon tax analysis data model</cp:keywords>
  <cp:lastModifiedBy>Lucas, Rachel (COM)</cp:lastModifiedBy>
  <cp:lastPrinted>2019-07-19T19:35:09Z</cp:lastPrinted>
  <dcterms:created xsi:type="dcterms:W3CDTF">2010-11-19T18:38:07Z</dcterms:created>
  <dcterms:modified xsi:type="dcterms:W3CDTF">2019-11-09T01:28:31Z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0x010100B37F82A00B46344287D29A2B5774955F</vt:lpwstr>
  </property>
  <property fmtid="{D5CDD505-2E9C-101B-9397-08002B2CF9AE}" pid="3" name="Tags">
    <vt:lpwstr/>
  </property>
  <property fmtid="{D5CDD505-2E9C-101B-9397-08002B2CF9AE}" pid="4" name="TemplateUrl">
    <vt:lpwstr/>
  </property>
  <property fmtid="{D5CDD505-2E9C-101B-9397-08002B2CF9AE}" pid="5" name="Order">
    <vt:r8>393900</vt:r8>
  </property>
  <property fmtid="{D5CDD505-2E9C-101B-9397-08002B2CF9AE}" pid="6" name="xd_Signature">
    <vt:bool>false</vt:bool>
  </property>
  <property fmtid="{D5CDD505-2E9C-101B-9397-08002B2CF9AE}" pid="7" name="xd_ProgID">
    <vt:lpwstr/>
  </property>
</Properties>
</file>