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nergy\Combined Cycle Rulemaking\2017 EPS\Calculator\"/>
    </mc:Choice>
  </mc:AlternateContent>
  <bookViews>
    <workbookView xWindow="0" yWindow="0" windowWidth="22118" windowHeight="8064" activeTab="2"/>
  </bookViews>
  <sheets>
    <sheet name="cover" sheetId="3" r:id="rId1"/>
    <sheet name="ref" sheetId="2" r:id="rId2"/>
    <sheet name="survey" sheetId="1" r:id="rId3"/>
    <sheet name="charts" sheetId="4" r:id="rId4"/>
  </sheets>
  <definedNames>
    <definedName name="_SW1" localSheetId="1">ref!$G$21</definedName>
    <definedName name="agePenalty">ref!$C$9</definedName>
    <definedName name="agePenaltyGE" comment="GE decline in eff between maintenance">ref!$C$9</definedName>
    <definedName name="agePenaltyother">ref!$C$10</definedName>
    <definedName name="agePenaltySiemens" comment="Siemens decline in eff between maintenance">ref!$C$11</definedName>
    <definedName name="CO2Factor">ref!$C$17</definedName>
    <definedName name="dfHeatRate">ref!$C$13</definedName>
    <definedName name="dfHeatRateS">ref!$C$14</definedName>
    <definedName name="dfHours">ref!$C$15</definedName>
    <definedName name="dfIncrement">ref!$C$12</definedName>
    <definedName name="dfrate" comment="varies from 0 to 100%">ref!$C$16</definedName>
    <definedName name="LHVtoHHV">ref!$C$27</definedName>
    <definedName name="opHours">ref!$C$26</definedName>
    <definedName name="_xlnm.Print_Area" localSheetId="1">ref!$A$1:$H$23</definedName>
    <definedName name="_xlnm.Print_Area" localSheetId="2">survey!$A$1:$P$30</definedName>
    <definedName name="SWLHV" localSheetId="1">ref!$B$18</definedName>
    <definedName name="SWRAT" localSheetId="1">ref!$B$21</definedName>
    <definedName name="sysPenalty">ref!$C$7</definedName>
    <definedName name="sysPenaltyGE">ref!$C$7</definedName>
    <definedName name="sysPenaltyOther">ref!$C$8</definedName>
  </definedNames>
  <calcPr calcId="162913"/>
</workbook>
</file>

<file path=xl/calcChain.xml><?xml version="1.0" encoding="utf-8"?>
<calcChain xmlns="http://schemas.openxmlformats.org/spreadsheetml/2006/main">
  <c r="U43" i="1" l="1"/>
  <c r="T43" i="1"/>
  <c r="S43" i="1"/>
  <c r="C27" i="2"/>
  <c r="G4" i="1"/>
  <c r="J4" i="1"/>
  <c r="K4" i="1"/>
  <c r="C26" i="2"/>
  <c r="C15" i="2"/>
  <c r="L4" i="1"/>
  <c r="M4" i="1"/>
  <c r="N4" i="1"/>
  <c r="P4" i="1"/>
  <c r="G5" i="1"/>
  <c r="J5" i="1"/>
  <c r="K5" i="1"/>
  <c r="L5" i="1"/>
  <c r="M5" i="1"/>
  <c r="N5" i="1"/>
  <c r="P5" i="1"/>
  <c r="G6" i="1"/>
  <c r="J6" i="1"/>
  <c r="K6" i="1"/>
  <c r="L6" i="1"/>
  <c r="M6" i="1"/>
  <c r="N6" i="1"/>
  <c r="P6" i="1"/>
  <c r="G7" i="1"/>
  <c r="J7" i="1"/>
  <c r="K7" i="1"/>
  <c r="L7" i="1"/>
  <c r="M7" i="1"/>
  <c r="N7" i="1"/>
  <c r="P7" i="1"/>
  <c r="G8" i="1"/>
  <c r="J8" i="1"/>
  <c r="K8" i="1"/>
  <c r="L8" i="1"/>
  <c r="M8" i="1"/>
  <c r="N8" i="1"/>
  <c r="P8" i="1"/>
  <c r="G9" i="1"/>
  <c r="J9" i="1"/>
  <c r="K9" i="1"/>
  <c r="L9" i="1"/>
  <c r="M9" i="1"/>
  <c r="N9" i="1"/>
  <c r="P9" i="1"/>
  <c r="G10" i="1"/>
  <c r="J10" i="1"/>
  <c r="K10" i="1"/>
  <c r="L10" i="1"/>
  <c r="M10" i="1"/>
  <c r="N10" i="1"/>
  <c r="P10" i="1"/>
  <c r="G11" i="1"/>
  <c r="J11" i="1"/>
  <c r="K11" i="1"/>
  <c r="L11" i="1"/>
  <c r="M11" i="1"/>
  <c r="N11" i="1"/>
  <c r="P11" i="1"/>
  <c r="Z35" i="1"/>
  <c r="X28" i="1"/>
  <c r="G18" i="1"/>
  <c r="J18" i="1"/>
  <c r="K18" i="1"/>
  <c r="L18" i="1"/>
  <c r="M18" i="1"/>
  <c r="N18" i="1"/>
  <c r="P18" i="1"/>
  <c r="G19" i="1"/>
  <c r="J19" i="1"/>
  <c r="K19" i="1"/>
  <c r="L19" i="1"/>
  <c r="M19" i="1"/>
  <c r="N19" i="1"/>
  <c r="P19" i="1"/>
  <c r="G20" i="1"/>
  <c r="J20" i="1"/>
  <c r="K20" i="1"/>
  <c r="L20" i="1"/>
  <c r="M20" i="1"/>
  <c r="N20" i="1"/>
  <c r="P20" i="1"/>
  <c r="G21" i="1"/>
  <c r="J21" i="1"/>
  <c r="K21" i="1"/>
  <c r="L21" i="1"/>
  <c r="M21" i="1"/>
  <c r="N21" i="1"/>
  <c r="P21" i="1"/>
  <c r="G22" i="1"/>
  <c r="J22" i="1"/>
  <c r="K22" i="1"/>
  <c r="L22" i="1"/>
  <c r="M22" i="1"/>
  <c r="N22" i="1"/>
  <c r="P22" i="1"/>
  <c r="G23" i="1"/>
  <c r="J23" i="1"/>
  <c r="K23" i="1"/>
  <c r="L23" i="1"/>
  <c r="M23" i="1"/>
  <c r="N23" i="1"/>
  <c r="P23" i="1"/>
  <c r="G24" i="1"/>
  <c r="J24" i="1"/>
  <c r="K24" i="1"/>
  <c r="L24" i="1"/>
  <c r="M24" i="1"/>
  <c r="N24" i="1"/>
  <c r="P24" i="1"/>
  <c r="G25" i="1"/>
  <c r="J25" i="1"/>
  <c r="K25" i="1"/>
  <c r="L25" i="1"/>
  <c r="M25" i="1"/>
  <c r="N25" i="1"/>
  <c r="P25" i="1"/>
  <c r="Z37" i="1"/>
  <c r="X29" i="1"/>
  <c r="G13" i="1"/>
  <c r="J13" i="1"/>
  <c r="K13" i="1"/>
  <c r="L13" i="1"/>
  <c r="M13" i="1"/>
  <c r="N13" i="1"/>
  <c r="P13" i="1"/>
  <c r="G14" i="1"/>
  <c r="J14" i="1"/>
  <c r="K14" i="1"/>
  <c r="L14" i="1"/>
  <c r="M14" i="1"/>
  <c r="N14" i="1"/>
  <c r="P14" i="1"/>
  <c r="G15" i="1"/>
  <c r="J15" i="1"/>
  <c r="K15" i="1"/>
  <c r="L15" i="1"/>
  <c r="M15" i="1"/>
  <c r="N15" i="1"/>
  <c r="P15" i="1"/>
  <c r="G16" i="1"/>
  <c r="J16" i="1"/>
  <c r="K16" i="1"/>
  <c r="L16" i="1"/>
  <c r="M16" i="1"/>
  <c r="N16" i="1"/>
  <c r="P16" i="1"/>
  <c r="Z39" i="1"/>
  <c r="X30" i="1"/>
  <c r="X31" i="1"/>
  <c r="W30" i="1"/>
  <c r="W29" i="1"/>
  <c r="W28" i="1"/>
  <c r="P27" i="1"/>
  <c r="S8" i="1"/>
  <c r="S7" i="1"/>
  <c r="R4" i="1"/>
  <c r="S28" i="1"/>
  <c r="S29" i="1"/>
  <c r="S30" i="1"/>
  <c r="S31" i="1"/>
  <c r="R6" i="1"/>
  <c r="X35" i="1"/>
  <c r="R19" i="1"/>
  <c r="R20" i="1"/>
  <c r="X37" i="1"/>
  <c r="R14" i="1"/>
  <c r="R15" i="1"/>
  <c r="X39" i="1"/>
  <c r="X41" i="1"/>
  <c r="I21" i="1"/>
  <c r="H21" i="1"/>
  <c r="O5" i="1"/>
  <c r="H5" i="1"/>
  <c r="I5" i="1"/>
  <c r="H22" i="1"/>
  <c r="T41" i="1"/>
  <c r="O21" i="1"/>
  <c r="I22" i="1"/>
  <c r="O22" i="1"/>
  <c r="R17" i="1"/>
  <c r="R12" i="1"/>
  <c r="R3" i="1"/>
  <c r="N13" i="2"/>
  <c r="N14" i="2"/>
  <c r="L14" i="2"/>
  <c r="L13" i="2"/>
  <c r="U41" i="1"/>
  <c r="S41" i="1"/>
  <c r="H24" i="1"/>
  <c r="H25" i="1"/>
  <c r="O24" i="1"/>
  <c r="I24" i="1"/>
  <c r="I25" i="1"/>
  <c r="N12" i="2"/>
  <c r="L12" i="2"/>
  <c r="O25" i="1"/>
  <c r="V41" i="1"/>
  <c r="U42" i="1"/>
  <c r="V39" i="1"/>
  <c r="V37" i="1"/>
  <c r="V35" i="1"/>
  <c r="I6" i="1"/>
  <c r="I10" i="1"/>
  <c r="I19" i="1"/>
  <c r="H14" i="1"/>
  <c r="I4" i="1"/>
  <c r="I7" i="1"/>
  <c r="W37" i="1"/>
  <c r="S42" i="1"/>
  <c r="T42" i="1"/>
  <c r="W39" i="1"/>
  <c r="W35" i="1"/>
  <c r="H23" i="1"/>
  <c r="O6" i="1"/>
  <c r="H6" i="1"/>
  <c r="I23" i="1"/>
  <c r="H10" i="1"/>
  <c r="H19" i="1"/>
  <c r="I14" i="1"/>
  <c r="H4" i="1"/>
  <c r="H7" i="1"/>
  <c r="T28" i="1"/>
  <c r="Y35" i="1"/>
  <c r="W41" i="1"/>
  <c r="O23" i="1"/>
  <c r="Y39" i="1"/>
  <c r="Y37" i="1"/>
  <c r="T30" i="1"/>
  <c r="T29" i="1"/>
  <c r="T31" i="1"/>
  <c r="A56" i="2"/>
  <c r="C55" i="2"/>
  <c r="C56" i="2"/>
  <c r="D56" i="2"/>
  <c r="D55" i="2"/>
  <c r="B17" i="4"/>
  <c r="A17" i="4"/>
  <c r="F27" i="1"/>
  <c r="D45" i="2"/>
  <c r="F45" i="2"/>
  <c r="D44" i="2"/>
  <c r="F44" i="2"/>
  <c r="F42" i="2"/>
  <c r="F41" i="2"/>
  <c r="D43" i="2"/>
  <c r="F43" i="2"/>
  <c r="F50" i="2"/>
  <c r="F49" i="2"/>
  <c r="F48" i="2"/>
  <c r="F47" i="2"/>
  <c r="D40" i="2"/>
  <c r="F40" i="2"/>
  <c r="D39" i="2"/>
  <c r="F39" i="2"/>
  <c r="D38" i="2"/>
  <c r="F38" i="2"/>
  <c r="F36" i="2"/>
  <c r="D35" i="2"/>
  <c r="F35" i="2"/>
  <c r="H9" i="1"/>
  <c r="F51" i="2"/>
  <c r="F54" i="2"/>
  <c r="F53" i="2"/>
  <c r="O10" i="1"/>
  <c r="O19" i="1"/>
  <c r="O14" i="1"/>
  <c r="O4" i="1"/>
  <c r="O7" i="1"/>
  <c r="O9" i="1"/>
  <c r="I9" i="1"/>
  <c r="H11" i="1"/>
  <c r="I11" i="1"/>
  <c r="H15" i="1"/>
  <c r="I15" i="1"/>
  <c r="G30" i="1"/>
  <c r="G27" i="1"/>
  <c r="G28" i="1"/>
  <c r="H13" i="1"/>
  <c r="I13" i="1"/>
  <c r="I18" i="1"/>
  <c r="H18" i="1"/>
  <c r="H8" i="1"/>
  <c r="I8" i="1"/>
  <c r="H16" i="1"/>
  <c r="I16" i="1"/>
  <c r="H20" i="1"/>
  <c r="I20" i="1"/>
  <c r="O11" i="1"/>
  <c r="O15" i="1"/>
  <c r="O20" i="1"/>
  <c r="O8" i="1"/>
  <c r="G29" i="1"/>
  <c r="I27" i="1"/>
  <c r="J30" i="1"/>
  <c r="J27" i="1"/>
  <c r="O16" i="1"/>
  <c r="O18" i="1"/>
  <c r="O13" i="1"/>
  <c r="H27" i="1"/>
  <c r="L27" i="1"/>
  <c r="L30" i="1"/>
  <c r="J28" i="1"/>
  <c r="J29" i="1"/>
  <c r="Z41" i="1"/>
  <c r="O27" i="1"/>
  <c r="M30" i="1"/>
  <c r="M27" i="1"/>
  <c r="L28" i="1"/>
  <c r="L29" i="1"/>
  <c r="M29" i="1"/>
  <c r="M28" i="1"/>
  <c r="N27" i="1"/>
  <c r="N30" i="1"/>
  <c r="S21" i="1"/>
  <c r="N29" i="1"/>
  <c r="N28" i="1"/>
  <c r="O28" i="1"/>
  <c r="P30" i="1"/>
  <c r="S22" i="1"/>
  <c r="S5" i="1"/>
  <c r="S14" i="1"/>
  <c r="S24" i="1"/>
  <c r="S23" i="1"/>
  <c r="S10" i="1"/>
  <c r="S6" i="1"/>
  <c r="S19" i="1"/>
  <c r="S4" i="1"/>
  <c r="S25" i="1"/>
  <c r="S15" i="1"/>
  <c r="S18" i="1"/>
  <c r="S20" i="1"/>
  <c r="S16" i="1"/>
  <c r="S9" i="1"/>
  <c r="S13" i="1"/>
  <c r="S11" i="1"/>
  <c r="C30" i="2"/>
  <c r="P28" i="1"/>
</calcChain>
</file>

<file path=xl/sharedStrings.xml><?xml version="1.0" encoding="utf-8"?>
<sst xmlns="http://schemas.openxmlformats.org/spreadsheetml/2006/main" count="421" uniqueCount="300">
  <si>
    <t>General Electric</t>
  </si>
  <si>
    <t>1 X 1</t>
  </si>
  <si>
    <t>Siemens</t>
  </si>
  <si>
    <t>Mitsubishi</t>
  </si>
  <si>
    <t>F</t>
  </si>
  <si>
    <t>H</t>
  </si>
  <si>
    <t>G</t>
  </si>
  <si>
    <t>MW</t>
  </si>
  <si>
    <r>
      <t>Btu</t>
    </r>
    <r>
      <rPr>
        <vertAlign val="subscript"/>
        <sz val="10"/>
        <color theme="1"/>
        <rFont val="Arial Narrow"/>
        <family val="2"/>
      </rPr>
      <t>LHV</t>
    </r>
    <r>
      <rPr>
        <sz val="10"/>
        <color theme="1"/>
        <rFont val="Arial Narrow"/>
        <family val="2"/>
      </rPr>
      <t>/kWh</t>
    </r>
  </si>
  <si>
    <r>
      <t>Btu</t>
    </r>
    <r>
      <rPr>
        <vertAlign val="subscript"/>
        <sz val="10"/>
        <color theme="1"/>
        <rFont val="Arial Narrow"/>
        <family val="2"/>
      </rPr>
      <t>HHV</t>
    </r>
    <r>
      <rPr>
        <sz val="10"/>
        <color theme="1"/>
        <rFont val="Arial Narrow"/>
        <family val="2"/>
      </rPr>
      <t>/kWh</t>
    </r>
  </si>
  <si>
    <t>system loss penalty</t>
  </si>
  <si>
    <t>emission rate</t>
  </si>
  <si>
    <t>length of year</t>
  </si>
  <si>
    <t>h/yr</t>
  </si>
  <si>
    <t>capacity factor</t>
  </si>
  <si>
    <t>natural gas LHV</t>
  </si>
  <si>
    <t>natural gas HHV</t>
  </si>
  <si>
    <t>HHV/LHV ratio</t>
  </si>
  <si>
    <t>quantity</t>
  </si>
  <si>
    <t>cell name</t>
  </si>
  <si>
    <t>value</t>
  </si>
  <si>
    <t>units</t>
  </si>
  <si>
    <t>default duct firing heat rate</t>
  </si>
  <si>
    <r>
      <t>NG CO</t>
    </r>
    <r>
      <rPr>
        <vertAlign val="subscript"/>
        <sz val="11"/>
        <color theme="1"/>
        <rFont val="Calibri"/>
        <family val="2"/>
        <scheme val="minor"/>
      </rPr>
      <t>2</t>
    </r>
    <r>
      <rPr>
        <sz val="11"/>
        <color theme="1"/>
        <rFont val="Calibri"/>
        <family val="2"/>
        <scheme val="minor"/>
      </rPr>
      <t xml:space="preserve"> emission factor</t>
    </r>
  </si>
  <si>
    <r>
      <t>Btu</t>
    </r>
    <r>
      <rPr>
        <vertAlign val="subscript"/>
        <sz val="11"/>
        <color theme="1"/>
        <rFont val="Calibri"/>
        <family val="2"/>
        <scheme val="minor"/>
      </rPr>
      <t>HHV</t>
    </r>
    <r>
      <rPr>
        <sz val="11"/>
        <color theme="1"/>
        <rFont val="Calibri"/>
        <family val="2"/>
        <scheme val="minor"/>
      </rPr>
      <t>/kWh</t>
    </r>
  </si>
  <si>
    <t>operating time</t>
  </si>
  <si>
    <t>opHours</t>
  </si>
  <si>
    <t>LHVtoHHV</t>
  </si>
  <si>
    <t>default duct firing capacity</t>
  </si>
  <si>
    <t>dfHeatRate</t>
  </si>
  <si>
    <t>CO2Factor</t>
  </si>
  <si>
    <t>calculated values (intermediate inputs)</t>
  </si>
  <si>
    <t>constants (inputs)</t>
  </si>
  <si>
    <t>average ambient temperature</t>
  </si>
  <si>
    <t>average ambient humidity</t>
  </si>
  <si>
    <t>average ambient pressure</t>
  </si>
  <si>
    <t>output</t>
  </si>
  <si>
    <t>nominal performance standard</t>
  </si>
  <si>
    <t>degC</t>
  </si>
  <si>
    <t>dfIncrement</t>
  </si>
  <si>
    <t>duct firing hours</t>
  </si>
  <si>
    <t>dfHours</t>
  </si>
  <si>
    <t>This is the workbook &lt;CCCT emission rate calculator.xlsx&gt;.  It contains the survey of CCCT greenhouse gas emission rates required by Revised Code of Washington 80.80.050.</t>
  </si>
  <si>
    <t>For technical assistance, contact Greg Nothstein of the Washington State Energy Office, tel. 360-725-3112, greg.nothstein@commerce.wa.gov.</t>
  </si>
  <si>
    <t>365 days per year, 24 hours per day</t>
  </si>
  <si>
    <t>kPa</t>
  </si>
  <si>
    <t>International Standard Metric Conditions for natural gas, ISO 13443 and ISO standards 3977-2</t>
  </si>
  <si>
    <t>relative humidity</t>
  </si>
  <si>
    <t>Same as above</t>
  </si>
  <si>
    <t xml:space="preserve">Alternative Fuels &amp; Advanced Vehicles Data Center, U.S. Department of Energy, “Properties of Fuels.” </t>
  </si>
  <si>
    <t>http://www.nwcouncil.org/energy/powerplan/6/default.htm</t>
  </si>
  <si>
    <t>Aero</t>
  </si>
  <si>
    <t>Net rated output</t>
  </si>
  <si>
    <t>Methane and nitrogen oxides</t>
  </si>
  <si>
    <t>Number CCCTs</t>
  </si>
  <si>
    <t>percent</t>
  </si>
  <si>
    <t>Duct firing Capacity MW</t>
  </si>
  <si>
    <t>% duct firing</t>
  </si>
  <si>
    <t>Grays Harbor Units 1&amp;2</t>
  </si>
  <si>
    <t>Chehalis Generation</t>
  </si>
  <si>
    <t>None</t>
  </si>
  <si>
    <t>Clark River Road</t>
  </si>
  <si>
    <t>Goldendale</t>
  </si>
  <si>
    <t>Mint Farm</t>
  </si>
  <si>
    <t>Fredrickson Power</t>
  </si>
  <si>
    <t>Pacific Corp example</t>
  </si>
  <si>
    <t>Hermiston Power Project</t>
  </si>
  <si>
    <t>Point Westward</t>
  </si>
  <si>
    <t>Coyote Springs 2</t>
  </si>
  <si>
    <t>Ave</t>
  </si>
  <si>
    <t>Capacity</t>
  </si>
  <si>
    <t>Plant</t>
  </si>
  <si>
    <t>Theoretical efficiency</t>
  </si>
  <si>
    <t>Nominal class</t>
  </si>
  <si>
    <t>Design year</t>
  </si>
  <si>
    <t>Northwest Power and Conservation Council, Sixth Power Plan, Appendix I, 85% originally</t>
  </si>
  <si>
    <t>Coyote Springs 1</t>
  </si>
  <si>
    <t>Same ref. as above</t>
  </si>
  <si>
    <t>Sumas</t>
  </si>
  <si>
    <t>Ecogen</t>
  </si>
  <si>
    <t>Big Hannaford</t>
  </si>
  <si>
    <t>Tenaska</t>
  </si>
  <si>
    <t>March Point</t>
  </si>
  <si>
    <t>DRAFT ILLUSTRATIVE NUMBER</t>
  </si>
  <si>
    <t>Source</t>
  </si>
  <si>
    <t>Dept of Ecology</t>
  </si>
  <si>
    <t>Power Council</t>
  </si>
  <si>
    <t>Apr meeting</t>
  </si>
  <si>
    <t>ave.</t>
  </si>
  <si>
    <t>Excluding those w/o duct firing</t>
  </si>
  <si>
    <t>Start/stop/partial load adjustment</t>
  </si>
  <si>
    <t>Heat rate adj. for stop/start/partial load</t>
  </si>
  <si>
    <t>StartStopPartial</t>
  </si>
  <si>
    <t>Climate</t>
  </si>
  <si>
    <t>ageing penalty Siemens</t>
  </si>
  <si>
    <t>ageing penalty other</t>
  </si>
  <si>
    <t>agePenaltyGE</t>
  </si>
  <si>
    <t>agePenaltyother</t>
  </si>
  <si>
    <t>agePenaltySiemens</t>
  </si>
  <si>
    <t>$/Kilowatt</t>
  </si>
  <si>
    <t>Exclude highest and lowest</t>
  </si>
  <si>
    <t xml:space="preserve"> </t>
  </si>
  <si>
    <t>sysPenaltyGE</t>
  </si>
  <si>
    <t>sysPenaltyOther</t>
  </si>
  <si>
    <t>Estimate using Gas Turbine World citation. Northwest Power and Conservation Council.</t>
  </si>
  <si>
    <t>Temperature and humidity adjustment factor</t>
  </si>
  <si>
    <t>Kalama Energy Center</t>
  </si>
  <si>
    <t>Proposed CCCTs</t>
  </si>
  <si>
    <t>Carty Generating Station</t>
  </si>
  <si>
    <t>system loss penalty others</t>
  </si>
  <si>
    <t>default duct firing heat rate small plants</t>
  </si>
  <si>
    <t>dfHeatRateS</t>
  </si>
  <si>
    <t>cooling</t>
  </si>
  <si>
    <t>Temperature impact assessed as 0.75% on a time weighted basis. Humidity assessed as 0.25% on a time weighted basis.</t>
  </si>
  <si>
    <t>Heat rate adj. for Climate and Inlet Cooling</t>
  </si>
  <si>
    <t>GTW 2-6% at 24,000, w/ most restored w/ maintenance. 1-1.5% permanent loss at 48,000 plus restorable.</t>
  </si>
  <si>
    <t>Actual run hours in PNW vary widely between CCCTs and from year to year.</t>
  </si>
  <si>
    <t>duct firing rate</t>
  </si>
  <si>
    <t>dfrate</t>
  </si>
  <si>
    <t>Inlet cooling and CCCT cooling adjustment factor</t>
  </si>
  <si>
    <t>0.5-5% on an instantaneous basis. Combined factor for inlet (air) cooling and overall CCCT cooling</t>
  </si>
  <si>
    <t>Original value 9500, changed to 9250 following review of several recent air permits. Later changed to 9400 following Tech subgroup mtg - recommended 9500.</t>
  </si>
  <si>
    <t xml:space="preserve">Original GE value was 2.5%. Tech group recommends 3.5% for all CCCTs. </t>
  </si>
  <si>
    <t>New factor added following suggestion by GE staff.</t>
  </si>
  <si>
    <t>Evolving value, see average in table below. PacifiCorp w/ backing by others on Tech subgroup recommend 16%.</t>
  </si>
  <si>
    <t>Proposed value informed by Avista recent CCCT application 4-5%, see below. Add 1% for stop start to arrive at 6% for this combined factor. This factor could change with future CCCT updates.</t>
  </si>
  <si>
    <t xml:space="preserve">GE reference documents. Climate adjustment option explored at Technical Subgroup Mtg, KEC (Siemens) power curves for 95 F operation shows approx. 2% efficiency penalty, divide by 3 (one third time at high or low temp) to arrive at 0.75% for annual average (time weighted) - our recommendation. </t>
  </si>
  <si>
    <t>14-24% (several CCCTs)</t>
  </si>
  <si>
    <t>All CCCTs</t>
  </si>
  <si>
    <t xml:space="preserve"> lb/MWh</t>
  </si>
  <si>
    <t xml:space="preserve">Capital cost </t>
  </si>
  <si>
    <t>Recommeded value 8/6/2012</t>
  </si>
  <si>
    <t xml:space="preserve"> Add 1% for climate factor. Due to more moderate climate we believe that most WA and OR CCCTs are impacted less than 1%.</t>
  </si>
  <si>
    <t>Air permit applic. suggest 2.3% losses to aux. needs. Note that GE CCCTs may be reported as quasi-net and therefore are likely less than 2.3%. Tech subgroup recommends 2%.</t>
  </si>
  <si>
    <t>Commerce recommends 40% of CCCT operating hours to reflect more demanding operating conditions.</t>
  </si>
  <si>
    <t>Estimate using Gas Turbine World citation suggests 0.75 to 2+%.  After discussion we recommend 2% which is likely a conservative value.</t>
  </si>
  <si>
    <t>Conversation with GE technical rep. suggested 9800 Btu/kWh for small CCCTs. We recommend using 9750 Btu/kWh.</t>
  </si>
  <si>
    <t>lb. GHG/MWh</t>
  </si>
  <si>
    <t>Averages (Heat Rate or Efficiency)</t>
  </si>
  <si>
    <t>1x1</t>
  </si>
  <si>
    <t>Efficiency</t>
  </si>
  <si>
    <t>Emission rate</t>
  </si>
  <si>
    <t>Delta H.R./Emissions</t>
  </si>
  <si>
    <t>Duct firing heat rate</t>
  </si>
  <si>
    <t>Adjusted heat rate w/ duct firing</t>
  </si>
  <si>
    <t>Averages and totals</t>
  </si>
  <si>
    <t>Gross clean and new
heat rate</t>
  </si>
  <si>
    <t xml:space="preserve">  Std.Dev.  (lb/MWh)</t>
  </si>
  <si>
    <t xml:space="preserve">  Emission factor (lb/MWh)</t>
  </si>
  <si>
    <t>Adjusted heat rate -net &amp; ageing</t>
  </si>
  <si>
    <t>Duct firing fuel input varies from 0 to 100%. Eighty percent is likely on the high end.</t>
  </si>
  <si>
    <t>Impact on EPS value</t>
  </si>
  <si>
    <t>Plant format</t>
  </si>
  <si>
    <t>Higher Heat Value</t>
  </si>
  <si>
    <t>additional 2012 notes</t>
  </si>
  <si>
    <t>See above</t>
  </si>
  <si>
    <t>Baseload power plants in WA are permitted for 65%+ operation.</t>
  </si>
  <si>
    <t>Btu/lb.</t>
  </si>
  <si>
    <t>Original value 3%, changed to 3.5% for all manufacturers per tech group recommendation. See above</t>
  </si>
  <si>
    <t>Additional info. from PacifiCorp (Siemens) shows a nominal (smoothed) degradation curve of approx. 3.3% by 100k hours (16 years). Average is probably 3% degradation, and peak likely 4%.</t>
  </si>
  <si>
    <t>PacifiCorp: 2003 F class Siemens 9370 Btu/kWh.  2003 PowerGen Intl, Turbine Air Systems paper: Lifetime ave. 9050-9200 Btu/kWh.  2006 PowerGen Intl. Siemens paper, 8600-8700 Btu/kWh, same from KEC supporting documents. Various other applicants: 8800-9000 (clean, probably gross value). PacifiCorp 2011 IRP: approx. 9200 real. PSE 2011 IRP 9350, Avista 2011 IRP 9650 Btu/kWh</t>
  </si>
  <si>
    <t>h/yr.</t>
  </si>
  <si>
    <t>Was 1972 hours/yr., but now reflects compromise with Tech group recommendation. Likely on the high end.</t>
  </si>
  <si>
    <r>
      <t>lb./mmBtu</t>
    </r>
    <r>
      <rPr>
        <vertAlign val="subscript"/>
        <sz val="11"/>
        <color theme="1"/>
        <rFont val="Calibri"/>
        <family val="2"/>
        <scheme val="minor"/>
      </rPr>
      <t>HHV</t>
    </r>
  </si>
  <si>
    <t>Dept. of Ecology WAC 173-407 (Part 1) the emission factor used for reporting of emissions for EPS compliance purpose. Recommend that Commerce use the same factor for consistency.</t>
  </si>
  <si>
    <t>PSE IRP p. 4-19 lists an emission factor of 115.9 lb./MMBtu. Tenaska proposes 118.6.</t>
  </si>
  <si>
    <t>Commerce's recommended value is 6%</t>
  </si>
  <si>
    <t>GT-Pro, Avista presentation, existing new plant, conclusion 1000 lb./MWh was a reasonable and feasible EPS.</t>
  </si>
  <si>
    <t>hr./yr.</t>
  </si>
  <si>
    <t>lb./MWh</t>
  </si>
  <si>
    <t>F.03</t>
  </si>
  <si>
    <t>F.04</t>
  </si>
  <si>
    <t>F.05</t>
  </si>
  <si>
    <t>2x1</t>
  </si>
  <si>
    <t>GAC</t>
  </si>
  <si>
    <t>J</t>
  </si>
  <si>
    <t>SG800</t>
  </si>
  <si>
    <t>DRAFT DOCUMENT</t>
  </si>
  <si>
    <t>Definition</t>
  </si>
  <si>
    <t>additional information, 2012</t>
  </si>
  <si>
    <t>Annual output as a percent of adjusted maximum rate capacity</t>
  </si>
  <si>
    <t>Lower Heating Value of natural gas</t>
  </si>
  <si>
    <t>Higher Heating Value of natural gas</t>
  </si>
  <si>
    <t>SAA</t>
  </si>
  <si>
    <t xml:space="preserve">Removed M501, GE 6C &amp; Alstom 11n-2 CCCTs, none sold last 5 years for baseload service - GTW reporting of orders. </t>
  </si>
  <si>
    <t>NPCC and utility data. Current average of NW CCCTs: see table below. Average all 10.1%, but adjusted to 14.3% by excluding those w/o duct firing. PacifiCorp notes that we have not included several of their plants that are in the 15-20% range. These plants are in E. PacifiCorp (Utah) and are not rate based in WA. We believe that they largely service E. PacifiCorp load. Commerce final recommended value 15% duct firing capacity</t>
  </si>
  <si>
    <t>The heat rate of the supplemental duct firing.</t>
  </si>
  <si>
    <t>Northwest Power and Conservation Council, Fifth Power Plan: New 9290 Btu/KWh , Ave. Lifetime: 9500 Btu/KWh. This is an older value and HRSG's are now more efficient. After further research and discussion we recommend 9400 Btu/kWh.</t>
  </si>
  <si>
    <t>The HRSG units on smaller CCCTs are less efficient than unites sized for larger CCCTs .</t>
  </si>
  <si>
    <t>We started with NPCC value then lowered to 2100 hr. This was due to a higher number of operating hours in the NPCC work (85%) The value is evolving with discussion: input from by Ecology, Invenergy and SWCAA</t>
  </si>
  <si>
    <t>The pounds of CO2 emitted when one million Btus of natural gas are burned</t>
  </si>
  <si>
    <t>The efficiency penalty incurred when a CCCT is operated under real world (less than ideal) conditions.</t>
  </si>
  <si>
    <t xml:space="preserve">http://www.afdc.energy.gov/afdc/pdfs/fueltable.pdf </t>
  </si>
  <si>
    <t xml:space="preserve">Accounts for onsite power loss due to parasitic load. </t>
  </si>
  <si>
    <t>Reflects power and efficiency degradation due to long term operation of a CCCT. Power/efficiency can be recovered by maintenance measures, but there is a long-term decline in performance even with maintenance.</t>
  </si>
  <si>
    <t>NPCC report - six year major maintenance cycle w/ 0.4% degradation per year, 98% recovery with 24K hr. overhaul. This implies 0.5% permanent degradation at 15-20 yrs., combine with 2.5% maintenance cycle degradation. We would expect 3% degradation at 90-100K hrs. After further research and discussion we recommend a 3.5% factor.</t>
  </si>
  <si>
    <t>Duct firing is used to produce additional output at a CCCT during periods of high demand. It is a less efficient way to produce power. We assume a fixed duct firing capacity for this analysis.</t>
  </si>
  <si>
    <t>The number of hours that the less efficient duct firing is in operation during a one year period.</t>
  </si>
  <si>
    <t>The percent of the maximum heat input to the duct firing units.</t>
  </si>
  <si>
    <t>Standard conditions under which base heat rate is determined. Not directly used in the calculations</t>
  </si>
  <si>
    <t>Duct Burner MMBtu/hr.</t>
  </si>
  <si>
    <t>Dept. of Ecology</t>
  </si>
  <si>
    <t>Period of emission assessment</t>
  </si>
  <si>
    <t>Ave. lifetime value of 2.1% is given in the NPCC text, with 2.5% intra cycle degradation. Avista presented value of 3.5% degradation at end of maintenance cycle, est. 24000 or 48000 hrs.</t>
  </si>
  <si>
    <t>KEC and Carty applications suggestion parasitic loss of about 2-2.5% relative to GTW ratings (GTW gross or net?). NPCC 6th Plan specifies 0.9% derate from GTW value.</t>
  </si>
  <si>
    <r>
      <rPr>
        <sz val="11"/>
        <rFont val="Calibri"/>
        <family val="2"/>
        <scheme val="minor"/>
      </rPr>
      <t xml:space="preserve"> Previously used the national average of 116.98 lb./MMBtu. Source: </t>
    </r>
    <r>
      <rPr>
        <u/>
        <sz val="11"/>
        <color theme="10"/>
        <rFont val="Calibri"/>
        <family val="2"/>
        <scheme val="minor"/>
      </rPr>
      <t>https://www.eia.gov/environment/emissions/co2_vol_mass.php</t>
    </r>
  </si>
  <si>
    <t>ageing penalty GE</t>
  </si>
  <si>
    <t>We created an extreme annual operational scenario (based on GE proprietary info) with 240 hot and 12 cold stop/starts and 25% time at partial load (12% Heat Rate penalty). The overall heat rate penalty was 7%, but since this was an extreme scenario and we recommend 6%.</t>
  </si>
  <si>
    <t>HA.01</t>
  </si>
  <si>
    <t>LM2500+G4</t>
  </si>
  <si>
    <t>This factor adjusts for the operation of CCCT cooling and an inlet cooling system. Inlet cooling increases CCCT capacity (MW) and counters CCCT degradation due to high temperature and humidity.</t>
  </si>
  <si>
    <t>This factor adjusts heat rate for operation of a CCCT at less than ideal operating temperature (usually means at a high ambient temperature of plus 90 F).</t>
  </si>
  <si>
    <t>Air cooled</t>
  </si>
  <si>
    <t>Areo</t>
  </si>
  <si>
    <t>No change</t>
  </si>
  <si>
    <t>No change. Note that the final Calculator EPS value does not change when the capacity factor value is altered. It is neutral with respect to this parameter.</t>
  </si>
  <si>
    <t>slightly different value, 20,160 btu/lb.   http://www.afdc.energy.gov/afdc/pdfs/fueltable.pdf</t>
  </si>
  <si>
    <t>slightly different value, 22,453 btu/lb.</t>
  </si>
  <si>
    <t>Somewhat controversial during 2012/13 rulemaking. Discuss.</t>
  </si>
  <si>
    <t>Seeing similar value in recent PSE IRP reference material</t>
  </si>
  <si>
    <t xml:space="preserve">GTW gross vs net output already takes some system loss into account. Appears to be approx. 1 to 1.5% for GE, 0.5% for MPC, unknown for Siemens (but heat rate is listed as net value). </t>
  </si>
  <si>
    <r>
      <rPr>
        <sz val="11"/>
        <rFont val="Calibri"/>
        <family val="2"/>
        <scheme val="minor"/>
      </rPr>
      <t>As with larger CCCTs improvements have likley been made for HRSG units assocatied with smaller CCCT power plants.</t>
    </r>
    <r>
      <rPr>
        <b/>
        <sz val="11"/>
        <color rgb="FFFF0000"/>
        <rFont val="Calibri"/>
        <family val="2"/>
        <scheme val="minor"/>
      </rPr>
      <t xml:space="preserve"> </t>
    </r>
  </si>
  <si>
    <r>
      <t xml:space="preserve">This parameter was controversial during 2012/13 rulemaking. </t>
    </r>
    <r>
      <rPr>
        <b/>
        <sz val="11"/>
        <color theme="1"/>
        <rFont val="Calibri"/>
        <family val="2"/>
        <scheme val="minor"/>
      </rPr>
      <t xml:space="preserve"> </t>
    </r>
  </si>
  <si>
    <t>Estimation of Duct Firing Percentage,  8/2012</t>
  </si>
  <si>
    <t>Mentioned as an importatn input for discussion during 2017 meeting.</t>
  </si>
  <si>
    <t>Most WA and OR CCCTs are water cooled. Air cooling is becoming more common due to water use constraints in some locations and reduces plant efficiency. Closed loop cooling is another common option.</t>
  </si>
  <si>
    <t>Aero/small</t>
  </si>
  <si>
    <t>Mid F/G</t>
  </si>
  <si>
    <t>Adv H/J</t>
  </si>
  <si>
    <t>Total</t>
  </si>
  <si>
    <t>Count</t>
  </si>
  <si>
    <t>Manufacturer</t>
  </si>
  <si>
    <t>small/aero</t>
  </si>
  <si>
    <t>F class</t>
  </si>
  <si>
    <t>H class</t>
  </si>
  <si>
    <t>Total %</t>
  </si>
  <si>
    <t>HA.02</t>
  </si>
  <si>
    <t>EPS total</t>
  </si>
  <si>
    <t>Estimate</t>
  </si>
  <si>
    <t>Avista IRP: Model 1 CCCT 6720 Btu/kWh, 7% duct firing capacity, at 7912 Btu/kWh. Model 2 CCCT 6631 Btu/kWh, 7% duct firing capacity at 7843 Btu/kWh (likely LHV). Pac Power 10, 12 and 22% duct firing capacity.  Ref. suggests 5% eff loss over 30 yr for a steam turbine. http://www.geindustrial.com/publibrary/checko
ut/GEA-13450A?TNR=Service%20and%20
Maintenance|GEA-13450A|generic</t>
  </si>
  <si>
    <t>Apply HHV and ageing and system loss penalties</t>
  </si>
  <si>
    <t>Apply ageing and system loss penalties</t>
  </si>
  <si>
    <t>Degradation Effects on CombinedCycle Power Plant Performance—Part III: Gas and Steam TurbineComponent Degradation Effects.  A. I. ZwebekP. Pilidis</t>
  </si>
  <si>
    <t>ASME Vol. 126, APRIL 2004</t>
  </si>
  <si>
    <t xml:space="preserve">TECHNICAL PAPERS: Gas Turbines: Cycle Innovations 
Degradation Effects on Combined Cycle Power Plant Performance—Part II: Steam Turbine Cycle Component Degradation Effects 
 A. Zwebek and P. Pilidis 
 [+] Author and Article Information
J. Eng. Gas Turbines Power 125(3), 658-663 (Aug 15, 2003) (6 pages)
doi:10.1115/1.1519272
History: Received December 01, 2000; Revised March 01, 2001; Online August 15, 2003 </t>
  </si>
  <si>
    <t>J. Eng. Gas Turbines Power 125(3), 658-663 (Aug 15, 2003) (6 pages)</t>
  </si>
  <si>
    <t>This discussion draft edition was released on Monday, March 26 2012 and updated April 10. Final update Oct. 2 2012.</t>
  </si>
  <si>
    <t>The 2017 EPS Calculator was developed  for the Technical subgroup draft on Dec. 11 2017</t>
  </si>
  <si>
    <t>Hold</t>
  </si>
  <si>
    <t>Hold Sytem loss/degradation:  https://www.scribd.com/document/131340597/Degradation-Effects-on-Comined-Cycle-Power-Plant-Performance</t>
  </si>
  <si>
    <t>Calculator input parameters have been altered relative to 2012/13 to reflect stakeholder commets - see notes in ref tab.</t>
  </si>
  <si>
    <t>2 X 1</t>
  </si>
  <si>
    <t>Areo, 2 units installed</t>
  </si>
  <si>
    <t>information source, 2012</t>
  </si>
  <si>
    <t>2017 EPS ruelmaking notes</t>
  </si>
  <si>
    <t>Jan 30 version: Alter CCCT mix to better match manufacturer shares and braod model categories (aero, mid/workhorse, advanced). One F.03 removed, one Siemens F class added.</t>
  </si>
  <si>
    <t xml:space="preserve"> Dec. 11 vers C: The mix of CCCTs more closely (than Vers A) approximates the manufacturer and model shares purchased in the U.S. during 2012-17. Most of the largest CCCTs (2X1 systems) have been removed/adjusted out of the the mix and duplicates for common models were added to better approximate PNW purchase patterns (mostly 1X1 CCCTs). </t>
  </si>
  <si>
    <t>(not update yr)</t>
  </si>
  <si>
    <t>(MB G equiv. to F)</t>
  </si>
  <si>
    <t>(GT per ST)</t>
  </si>
  <si>
    <t>Manufacturer market share</t>
  </si>
  <si>
    <t>Class of CCCT</t>
  </si>
  <si>
    <t>Manufacturer and model type</t>
  </si>
  <si>
    <t>Model category</t>
  </si>
  <si>
    <t xml:space="preserve">The J models are being installed now, and the during survey period. </t>
  </si>
  <si>
    <t>Newest, most efficient GE CCCT. HA.01 version installed in US.  Better size fit for PNW</t>
  </si>
  <si>
    <t>Proposed category shares</t>
  </si>
  <si>
    <t>Manuf. shares</t>
  </si>
  <si>
    <t>EPS shares</t>
  </si>
  <si>
    <t>Set to 100%, either on or off.</t>
  </si>
  <si>
    <t>Consider adding aero unit for MB</t>
  </si>
  <si>
    <t>count</t>
  </si>
  <si>
    <t>EPS count</t>
  </si>
  <si>
    <t>Small/aero</t>
  </si>
  <si>
    <t>Fully Adjusted emission rate</t>
  </si>
  <si>
    <t>F/G class</t>
  </si>
  <si>
    <t>H/J class</t>
  </si>
  <si>
    <t>Survey Total</t>
  </si>
  <si>
    <t>2017 CCCT emission rate calculator. Incorporated 2017 GTW CCCT performance parameters (net capacity and heat rate).</t>
  </si>
  <si>
    <t>Feb. 26 Draft EPS for Stakeholders</t>
  </si>
  <si>
    <t>Very controversial in 2012. Reduced to 30% of oper. Hrs</t>
  </si>
  <si>
    <t>Increased from 6 to 7.0% to reflect more starts and freq. ramping to integrate renewables, EIM market etc.</t>
  </si>
  <si>
    <t>hold</t>
  </si>
  <si>
    <t>2017/18 status</t>
  </si>
  <si>
    <t>After review, hold</t>
  </si>
  <si>
    <t>Refer to the same GE chart as shown in 2012, showing 2.5% long-term reduction in thermal efficiency (1995, GE 7FA), w/ a higher % at end of maitenance cycle. Wartsila ICE shows up to 1.5% redux then full restoration with maintenance. GE LMS 100PA: -1.7% at 25,000 hrs, restored to -0.75% with maintenance, then -1.9% thermal eff. decline at 50,000 hrs. NPCC 7th plan work suggests 2-3% absolute loss after 20 years (their source is source GTW).</t>
  </si>
  <si>
    <t>Siemens value 3.5%, see above two entries</t>
  </si>
  <si>
    <t>PacifiCorp notes that they have consolidated several of their plants into one value and recommends 16%. We note several plant proposals coming in lower at 12-13.5% duct firing. Recommendation is for 15% duct firing value.</t>
  </si>
  <si>
    <t xml:space="preserve">Black and Veatch for 2017 PSE IRP: 8000-9000 Btu/Kwh HHV. PSE IRP uses 8500 Btu/kWh (likely a new CCCT value) and 15% duct firing capacity for their 2 examples: 7F.05, 359 MW, HR 6520 Btu/kWh and 7HA.01 405 MW, HR 6410 Btu/kWh (both net).  See Avista duct firing heat rates above.  </t>
  </si>
  <si>
    <t>Change relative to 2012/13</t>
  </si>
  <si>
    <t>increase to 8766, leap year</t>
  </si>
  <si>
    <t>The 7F.05  series are being installed.</t>
  </si>
  <si>
    <t>Newest, most efficient GE CCCT. HA.02 versions installed in US.</t>
  </si>
  <si>
    <t>Air cooled, equivalent to GE &amp; Siemens F class</t>
  </si>
  <si>
    <t>Installed during survey period</t>
  </si>
  <si>
    <t>Decreased from 9400 to 9200 Btu/kWh</t>
  </si>
  <si>
    <t>Decreased from 9750 to 9550 Btu/kWh</t>
  </si>
  <si>
    <t>3% HR improvement relative to 2012</t>
  </si>
  <si>
    <t>2% HR improvement relative to 2012</t>
  </si>
  <si>
    <t>Manufacturer and Model Shares: 2012-17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</si>
</sst>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0.000"/>
    <numFmt numFmtId="167" formatCode="m/d/yy;@"/>
    <numFmt numFmtId="168" formatCode="0.0"/>
  </numFmts>
  <fonts count="38" x14ac:knownFonts="1">
    <font>
      <sz val="11"/>
      <color theme="1"/>
      <name val="Calibri"/>
      <family val="2"/>
      <scheme val="minor"/>
    </font>
    <font>
      <b/>
      <sz val="11"/>
      <color theme="1"/>
      <name val="Calibri"/>
      <family val="2"/>
      <scheme val="minor"/>
    </font>
    <font>
      <b/>
      <sz val="11"/>
      <color theme="0"/>
      <name val="Calibri"/>
      <family val="2"/>
      <scheme val="minor"/>
    </font>
    <font>
      <b/>
      <sz val="10"/>
      <color theme="1"/>
      <name val="Arial Narrow"/>
      <family val="2"/>
    </font>
    <font>
      <sz val="10"/>
      <color theme="1"/>
      <name val="Arial Narrow"/>
      <family val="2"/>
    </font>
    <font>
      <vertAlign val="subscript"/>
      <sz val="10"/>
      <color theme="1"/>
      <name val="Arial Narrow"/>
      <family val="2"/>
    </font>
    <font>
      <vertAlign val="subscript"/>
      <sz val="11"/>
      <color theme="1"/>
      <name val="Calibri"/>
      <family val="2"/>
      <scheme val="minor"/>
    </font>
    <font>
      <sz val="11"/>
      <color theme="1"/>
      <name val="Calibri"/>
      <family val="2"/>
    </font>
    <font>
      <sz val="11"/>
      <name val="Calibri"/>
      <family val="2"/>
      <scheme val="minor"/>
    </font>
    <font>
      <sz val="11"/>
      <color theme="1"/>
      <name val="Calibri"/>
      <family val="2"/>
      <scheme val="minor"/>
    </font>
    <font>
      <b/>
      <sz val="11"/>
      <color theme="3"/>
      <name val="Calibri"/>
      <family val="2"/>
      <scheme val="minor"/>
    </font>
    <font>
      <sz val="11"/>
      <color rgb="FF1F497D"/>
      <name val="Calibri"/>
      <family val="2"/>
      <scheme val="minor"/>
    </font>
    <font>
      <sz val="11"/>
      <color theme="3"/>
      <name val="Calibri"/>
      <family val="2"/>
      <scheme val="minor"/>
    </font>
    <font>
      <sz val="13.5"/>
      <color theme="3"/>
      <name val="Calibri"/>
      <family val="2"/>
      <scheme val="minor"/>
    </font>
    <font>
      <b/>
      <sz val="11"/>
      <color rgb="FF1F497D"/>
      <name val="Calibri"/>
      <family val="2"/>
      <scheme val="minor"/>
    </font>
    <font>
      <i/>
      <sz val="11"/>
      <color theme="3"/>
      <name val="Calibri"/>
      <family val="2"/>
      <scheme val="minor"/>
    </font>
    <font>
      <sz val="10"/>
      <color rgb="FF1F497D"/>
      <name val="Calibri"/>
      <family val="2"/>
      <scheme val="minor"/>
    </font>
    <font>
      <sz val="10"/>
      <color theme="3"/>
      <name val="Calibri"/>
      <family val="2"/>
      <scheme val="minor"/>
    </font>
    <font>
      <i/>
      <sz val="11"/>
      <color theme="1"/>
      <name val="Calibri"/>
      <family val="2"/>
      <scheme val="minor"/>
    </font>
    <font>
      <sz val="10"/>
      <name val="Arial"/>
      <family val="2"/>
    </font>
    <font>
      <sz val="12"/>
      <name val="Arial"/>
      <family val="2"/>
    </font>
    <font>
      <sz val="9"/>
      <color theme="1"/>
      <name val="Calibri"/>
      <family val="2"/>
      <scheme val="minor"/>
    </font>
    <font>
      <b/>
      <sz val="11"/>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sz val="18"/>
      <color rgb="FFFF0000"/>
      <name val="Calibri"/>
      <family val="2"/>
      <scheme val="minor"/>
    </font>
    <font>
      <b/>
      <sz val="11"/>
      <color theme="1"/>
      <name val="Arial Narrow"/>
      <family val="2"/>
    </font>
    <font>
      <u/>
      <sz val="11"/>
      <color theme="10"/>
      <name val="Calibri"/>
      <family val="2"/>
      <scheme val="minor"/>
    </font>
    <font>
      <sz val="11"/>
      <color rgb="FFFF0000"/>
      <name val="Calibri"/>
      <family val="2"/>
      <scheme val="minor"/>
    </font>
    <font>
      <b/>
      <sz val="11"/>
      <color rgb="FFFF0000"/>
      <name val="Arial Narrow"/>
      <family val="2"/>
    </font>
    <font>
      <sz val="10"/>
      <color theme="1"/>
      <name val="Arial"/>
      <family val="2"/>
    </font>
    <font>
      <b/>
      <sz val="10"/>
      <color theme="1"/>
      <name val="Arial"/>
      <family val="2"/>
    </font>
    <font>
      <b/>
      <sz val="12"/>
      <color theme="1"/>
      <name val="Calibri"/>
      <family val="2"/>
      <scheme val="minor"/>
    </font>
    <font>
      <sz val="9"/>
      <color theme="1"/>
      <name val="Arial Narrow"/>
      <family val="2"/>
    </font>
    <font>
      <b/>
      <sz val="12"/>
      <color theme="0"/>
      <name val="Calibri"/>
      <family val="2"/>
      <scheme val="minor"/>
    </font>
    <font>
      <sz val="12"/>
      <color theme="1"/>
      <name val="Calibri"/>
      <family val="2"/>
      <scheme val="minor"/>
    </font>
    <font>
      <b/>
      <sz val="11"/>
      <color theme="1"/>
      <name val="Arial"/>
      <family val="2"/>
    </font>
  </fonts>
  <fills count="5">
    <fill>
      <patternFill patternType="none"/>
    </fill>
    <fill>
      <patternFill patternType="gray125"/>
    </fill>
    <fill>
      <patternFill patternType="solid">
        <fgColor theme="9" tint="-0.499984740745262"/>
        <bgColor indexed="64"/>
      </patternFill>
    </fill>
    <fill>
      <patternFill patternType="solid">
        <fgColor theme="6" tint="0.59996337778862885"/>
        <bgColor indexed="64"/>
      </patternFill>
    </fill>
    <fill>
      <patternFill patternType="solid">
        <fgColor theme="6" tint="0.59999389629810485"/>
        <bgColor indexed="64"/>
      </patternFill>
    </fill>
  </fills>
  <borders count="3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5">
    <xf numFmtId="0" fontId="0" fillId="0" borderId="0">
      <alignment vertical="top" wrapText="1"/>
    </xf>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19" fillId="0" borderId="0"/>
    <xf numFmtId="0" fontId="9" fillId="0" borderId="0"/>
    <xf numFmtId="0" fontId="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20" fillId="3" borderId="16" applyNumberFormat="0" applyFont="0" applyFill="0" applyProtection="0">
      <alignment horizontal="centerContinuous" vertical="top" wrapText="1"/>
    </xf>
    <xf numFmtId="0" fontId="28" fillId="0" borderId="0" applyNumberFormat="0" applyFill="0" applyBorder="0" applyAlignment="0" applyProtection="0">
      <alignment vertical="top" wrapText="1"/>
    </xf>
  </cellStyleXfs>
  <cellXfs count="340">
    <xf numFmtId="0" fontId="0" fillId="0" borderId="0" xfId="0">
      <alignment vertical="top" wrapText="1"/>
    </xf>
    <xf numFmtId="0" fontId="0" fillId="0" borderId="0" xfId="0" applyAlignment="1">
      <alignment horizontal="center" vertical="top"/>
    </xf>
    <xf numFmtId="0" fontId="2" fillId="2" borderId="0" xfId="0" applyFont="1" applyFill="1" applyAlignment="1">
      <alignment horizontal="center" vertical="top"/>
    </xf>
    <xf numFmtId="1" fontId="0" fillId="0" borderId="0" xfId="0" applyNumberFormat="1" applyAlignment="1">
      <alignment horizontal="center" vertical="top"/>
    </xf>
    <xf numFmtId="0" fontId="2" fillId="2" borderId="0" xfId="0" applyFont="1" applyFill="1" applyAlignment="1">
      <alignment horizontal="left" vertical="top"/>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Font="1" applyAlignment="1">
      <alignment horizontal="center" vertical="center"/>
    </xf>
    <xf numFmtId="3" fontId="1" fillId="0" borderId="0" xfId="0" applyNumberFormat="1" applyFont="1" applyAlignment="1">
      <alignment horizontal="center" vertical="top"/>
    </xf>
    <xf numFmtId="3" fontId="0" fillId="0" borderId="0" xfId="0" applyNumberFormat="1" applyFill="1" applyBorder="1" applyAlignment="1">
      <alignment horizontal="center"/>
    </xf>
    <xf numFmtId="3" fontId="0" fillId="0" borderId="0" xfId="0" applyNumberFormat="1" applyFont="1" applyFill="1" applyBorder="1" applyAlignment="1">
      <alignment horizontal="center" wrapText="1"/>
    </xf>
    <xf numFmtId="0" fontId="1" fillId="0" borderId="0" xfId="0" applyFont="1" applyAlignment="1">
      <alignment horizontal="center" vertical="center"/>
    </xf>
    <xf numFmtId="0" fontId="0" fillId="0" borderId="0" xfId="0" applyFill="1">
      <alignment vertical="top" wrapText="1"/>
    </xf>
    <xf numFmtId="0" fontId="12" fillId="0" borderId="0" xfId="0" applyFont="1" applyFill="1" applyAlignment="1"/>
    <xf numFmtId="0" fontId="12" fillId="0" borderId="0" xfId="0" applyFont="1" applyFill="1" applyAlignment="1">
      <alignment horizontal="center"/>
    </xf>
    <xf numFmtId="0" fontId="13" fillId="0" borderId="0" xfId="0" applyFont="1">
      <alignment vertical="top" wrapText="1"/>
    </xf>
    <xf numFmtId="0" fontId="11" fillId="0" borderId="1" xfId="0" applyFont="1" applyBorder="1" applyAlignment="1">
      <alignment horizontal="center"/>
    </xf>
    <xf numFmtId="37" fontId="12" fillId="0" borderId="1" xfId="1" applyNumberFormat="1" applyFont="1" applyFill="1" applyBorder="1" applyAlignment="1">
      <alignment horizontal="center" vertical="center"/>
    </xf>
    <xf numFmtId="164" fontId="12" fillId="0" borderId="2" xfId="2" applyNumberFormat="1" applyFont="1" applyFill="1" applyBorder="1" applyAlignment="1">
      <alignment horizontal="center"/>
    </xf>
    <xf numFmtId="0" fontId="11" fillId="0" borderId="0" xfId="0" applyFont="1" applyBorder="1" applyAlignment="1">
      <alignment horizontal="center"/>
    </xf>
    <xf numFmtId="0" fontId="0" fillId="0" borderId="0" xfId="0" applyBorder="1" applyAlignment="1"/>
    <xf numFmtId="37" fontId="12" fillId="0" borderId="0" xfId="1" applyNumberFormat="1" applyFont="1" applyFill="1" applyBorder="1" applyAlignment="1">
      <alignment horizontal="center" vertical="center"/>
    </xf>
    <xf numFmtId="0" fontId="12" fillId="0" borderId="0" xfId="0" applyFont="1" applyFill="1" applyBorder="1" applyAlignment="1">
      <alignment horizontal="center"/>
    </xf>
    <xf numFmtId="164" fontId="12" fillId="0" borderId="3" xfId="2" applyNumberFormat="1" applyFont="1" applyFill="1" applyBorder="1" applyAlignment="1">
      <alignment horizontal="center"/>
    </xf>
    <xf numFmtId="9" fontId="12" fillId="0" borderId="3" xfId="2" applyFont="1" applyFill="1" applyBorder="1" applyAlignment="1">
      <alignment horizontal="center"/>
    </xf>
    <xf numFmtId="0" fontId="0" fillId="0" borderId="4" xfId="0" applyBorder="1" applyAlignment="1"/>
    <xf numFmtId="164" fontId="10" fillId="0" borderId="5" xfId="0" applyNumberFormat="1" applyFont="1" applyFill="1" applyBorder="1" applyAlignment="1">
      <alignment horizontal="center"/>
    </xf>
    <xf numFmtId="0" fontId="11" fillId="0" borderId="6" xfId="0" applyFont="1" applyBorder="1" applyAlignment="1"/>
    <xf numFmtId="0" fontId="11" fillId="0" borderId="7" xfId="0" applyFont="1" applyBorder="1" applyAlignment="1"/>
    <xf numFmtId="0" fontId="11" fillId="0" borderId="9" xfId="0" applyFont="1" applyBorder="1" applyAlignment="1"/>
    <xf numFmtId="0" fontId="11" fillId="0" borderId="10" xfId="0" applyFont="1" applyBorder="1" applyAlignment="1">
      <alignment horizontal="center" wrapText="1"/>
    </xf>
    <xf numFmtId="0" fontId="12" fillId="0" borderId="10" xfId="0" applyFont="1" applyFill="1" applyBorder="1" applyAlignment="1">
      <alignment horizontal="center" wrapText="1"/>
    </xf>
    <xf numFmtId="0" fontId="12" fillId="0" borderId="11" xfId="0" applyFont="1" applyFill="1" applyBorder="1" applyAlignment="1">
      <alignment horizontal="center" wrapText="1"/>
    </xf>
    <xf numFmtId="0" fontId="14" fillId="0" borderId="8" xfId="0" applyFont="1" applyBorder="1" applyAlignment="1"/>
    <xf numFmtId="164" fontId="15" fillId="0" borderId="3" xfId="2" applyNumberFormat="1" applyFont="1" applyFill="1" applyBorder="1" applyAlignment="1">
      <alignment horizontal="center"/>
    </xf>
    <xf numFmtId="3" fontId="0" fillId="0" borderId="0" xfId="0" applyNumberFormat="1" applyAlignment="1">
      <alignment horizontal="center" vertical="top" wrapText="1"/>
    </xf>
    <xf numFmtId="0" fontId="0" fillId="0" borderId="0" xfId="0" applyAlignment="1">
      <alignment horizontal="center" vertical="top" wrapText="1"/>
    </xf>
    <xf numFmtId="3" fontId="1" fillId="0" borderId="0" xfId="0" applyNumberFormat="1" applyFont="1" applyAlignment="1">
      <alignment horizontal="center" vertical="top" wrapText="1"/>
    </xf>
    <xf numFmtId="0" fontId="1" fillId="0" borderId="0" xfId="0" applyFont="1" applyAlignment="1">
      <alignment horizontal="center" vertical="top" wrapText="1"/>
    </xf>
    <xf numFmtId="0" fontId="0" fillId="0" borderId="4" xfId="0" applyBorder="1" applyAlignment="1">
      <alignment horizontal="center"/>
    </xf>
    <xf numFmtId="0" fontId="12" fillId="0" borderId="4" xfId="0" applyFont="1" applyFill="1" applyBorder="1" applyAlignment="1">
      <alignment horizontal="center"/>
    </xf>
    <xf numFmtId="0" fontId="0" fillId="0" borderId="0" xfId="0" applyFill="1" applyAlignment="1">
      <alignment horizontal="center" vertical="top" wrapText="1"/>
    </xf>
    <xf numFmtId="0" fontId="10" fillId="0" borderId="0" xfId="0" applyFont="1" applyAlignment="1">
      <alignment horizontal="center" vertical="top" wrapText="1"/>
    </xf>
    <xf numFmtId="164" fontId="12" fillId="0" borderId="0" xfId="0" applyNumberFormat="1" applyFont="1" applyAlignment="1">
      <alignment horizontal="center" vertical="top" wrapText="1"/>
    </xf>
    <xf numFmtId="0" fontId="16" fillId="0" borderId="0" xfId="0" applyFont="1" applyBorder="1" applyAlignment="1">
      <alignment horizontal="center"/>
    </xf>
    <xf numFmtId="0" fontId="17" fillId="0" borderId="0" xfId="0" applyFont="1" applyBorder="1" applyAlignment="1">
      <alignment horizontal="center"/>
    </xf>
    <xf numFmtId="0" fontId="9" fillId="0" borderId="0" xfId="4"/>
    <xf numFmtId="0" fontId="0" fillId="0" borderId="0" xfId="0" applyAlignment="1">
      <alignment vertical="top"/>
    </xf>
    <xf numFmtId="164" fontId="0" fillId="0" borderId="0" xfId="2" applyNumberFormat="1" applyFont="1" applyAlignment="1">
      <alignment horizontal="center" vertical="top" wrapText="1"/>
    </xf>
    <xf numFmtId="0" fontId="12" fillId="0" borderId="10" xfId="0" applyFont="1" applyBorder="1" applyAlignment="1">
      <alignment horizontal="center" wrapText="1"/>
    </xf>
    <xf numFmtId="1" fontId="0" fillId="0" borderId="0" xfId="0" applyNumberFormat="1" applyAlignment="1">
      <alignment horizontal="center" vertical="top" wrapText="1"/>
    </xf>
    <xf numFmtId="164" fontId="0" fillId="0" borderId="0" xfId="0" applyNumberFormat="1" applyAlignment="1">
      <alignment horizontal="center" vertical="top" wrapText="1"/>
    </xf>
    <xf numFmtId="1" fontId="0" fillId="0" borderId="0" xfId="0" applyNumberFormat="1">
      <alignment vertical="top" wrapText="1"/>
    </xf>
    <xf numFmtId="0" fontId="0" fillId="0" borderId="15" xfId="0" applyBorder="1">
      <alignment vertical="top" wrapText="1"/>
    </xf>
    <xf numFmtId="0" fontId="0" fillId="2" borderId="0" xfId="0" applyFill="1">
      <alignment vertical="top" wrapText="1"/>
    </xf>
    <xf numFmtId="0" fontId="0" fillId="2" borderId="0" xfId="0" applyFill="1" applyAlignment="1">
      <alignment horizontal="center" vertical="top"/>
    </xf>
    <xf numFmtId="1" fontId="0" fillId="2" borderId="0" xfId="0" applyNumberFormat="1" applyFill="1" applyAlignment="1">
      <alignment horizontal="center" vertical="top" wrapText="1"/>
    </xf>
    <xf numFmtId="165" fontId="0" fillId="0" borderId="0" xfId="1" applyNumberFormat="1" applyFont="1" applyAlignment="1">
      <alignment vertical="top" wrapText="1"/>
    </xf>
    <xf numFmtId="9" fontId="0" fillId="0" borderId="0" xfId="2" applyFont="1" applyAlignment="1">
      <alignment horizontal="center" vertical="top"/>
    </xf>
    <xf numFmtId="166" fontId="0" fillId="0" borderId="0" xfId="0" applyNumberFormat="1" applyAlignment="1">
      <alignment horizontal="center" vertical="top" wrapText="1"/>
    </xf>
    <xf numFmtId="1" fontId="0" fillId="0" borderId="0" xfId="0" applyNumberFormat="1" applyAlignment="1">
      <alignment vertical="top" wrapText="1"/>
    </xf>
    <xf numFmtId="0" fontId="0" fillId="0" borderId="0" xfId="0" applyAlignment="1">
      <alignment vertical="top" wrapText="1"/>
    </xf>
    <xf numFmtId="0" fontId="0" fillId="0" borderId="0" xfId="0">
      <alignment vertical="top" wrapText="1"/>
    </xf>
    <xf numFmtId="0" fontId="21" fillId="0" borderId="0" xfId="0" applyFont="1" applyAlignment="1">
      <alignment horizontal="center" vertical="top"/>
    </xf>
    <xf numFmtId="1" fontId="0" fillId="0" borderId="0" xfId="0" applyNumberFormat="1" applyFill="1" applyBorder="1" applyAlignment="1">
      <alignment horizontal="center" vertical="center"/>
    </xf>
    <xf numFmtId="164" fontId="0" fillId="0" borderId="0" xfId="2" applyNumberFormat="1" applyFont="1" applyFill="1" applyAlignment="1">
      <alignment horizontal="center" vertical="top" wrapText="1"/>
    </xf>
    <xf numFmtId="0" fontId="22" fillId="0" borderId="0" xfId="0" applyFont="1" applyFill="1" applyBorder="1" applyAlignment="1"/>
    <xf numFmtId="0" fontId="0" fillId="0" borderId="13" xfId="0" applyBorder="1">
      <alignment vertical="top" wrapText="1"/>
    </xf>
    <xf numFmtId="0" fontId="0" fillId="0" borderId="1" xfId="0" applyBorder="1">
      <alignment vertical="top" wrapText="1"/>
    </xf>
    <xf numFmtId="0" fontId="0" fillId="0" borderId="1" xfId="0" applyBorder="1" applyAlignment="1">
      <alignment horizontal="center" vertical="top" wrapText="1"/>
    </xf>
    <xf numFmtId="164" fontId="0" fillId="0" borderId="2" xfId="2" applyNumberFormat="1" applyFont="1" applyBorder="1" applyAlignment="1">
      <alignment horizontal="center" vertical="top" wrapText="1"/>
    </xf>
    <xf numFmtId="0" fontId="0" fillId="0" borderId="4" xfId="0" applyBorder="1">
      <alignment vertical="top" wrapText="1"/>
    </xf>
    <xf numFmtId="0" fontId="0" fillId="0" borderId="4" xfId="0" applyBorder="1" applyAlignment="1">
      <alignment horizontal="center" vertical="top" wrapText="1"/>
    </xf>
    <xf numFmtId="164" fontId="0" fillId="0" borderId="5" xfId="2" applyNumberFormat="1" applyFont="1" applyBorder="1" applyAlignment="1">
      <alignment horizontal="center" vertical="top" wrapText="1"/>
    </xf>
    <xf numFmtId="164" fontId="1" fillId="0" borderId="0" xfId="2" applyNumberFormat="1" applyFont="1" applyAlignment="1">
      <alignment horizontal="center" vertical="center"/>
    </xf>
    <xf numFmtId="0" fontId="0" fillId="0" borderId="0" xfId="0" applyAlignment="1">
      <alignment horizontal="center" vertical="top"/>
    </xf>
    <xf numFmtId="0" fontId="0" fillId="0" borderId="7" xfId="0" applyBorder="1" applyAlignment="1">
      <alignment horizontal="center" vertical="top" wrapText="1"/>
    </xf>
    <xf numFmtId="0" fontId="18" fillId="0" borderId="7" xfId="0" applyFont="1" applyBorder="1" applyAlignment="1">
      <alignment horizontal="center" vertical="top" wrapText="1"/>
    </xf>
    <xf numFmtId="0" fontId="1" fillId="0" borderId="0" xfId="0" applyFont="1" applyAlignment="1">
      <alignment horizontal="left" vertical="top"/>
    </xf>
    <xf numFmtId="0" fontId="0" fillId="0" borderId="0" xfId="0" applyBorder="1" applyAlignment="1">
      <alignment horizontal="center" vertical="top"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horizontal="center" vertical="center"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top"/>
    </xf>
    <xf numFmtId="0" fontId="2" fillId="2" borderId="4" xfId="0" applyFont="1" applyFill="1" applyBorder="1" applyAlignment="1">
      <alignment horizontal="center" wrapText="1"/>
    </xf>
    <xf numFmtId="0" fontId="2" fillId="2" borderId="4" xfId="0" applyFont="1" applyFill="1" applyBorder="1" applyAlignment="1">
      <alignment horizontal="center" vertical="top"/>
    </xf>
    <xf numFmtId="3" fontId="2" fillId="2" borderId="14" xfId="0" applyNumberFormat="1" applyFont="1" applyFill="1" applyBorder="1" applyAlignment="1">
      <alignment horizontal="center" wrapText="1"/>
    </xf>
    <xf numFmtId="3" fontId="2" fillId="2" borderId="0" xfId="0" applyNumberFormat="1" applyFont="1" applyFill="1" applyBorder="1" applyAlignment="1">
      <alignment horizontal="center" wrapText="1"/>
    </xf>
    <xf numFmtId="3" fontId="2" fillId="2" borderId="3" xfId="0" applyNumberFormat="1" applyFont="1" applyFill="1" applyBorder="1" applyAlignment="1">
      <alignment horizontal="center" wrapText="1"/>
    </xf>
    <xf numFmtId="9" fontId="0" fillId="0" borderId="3" xfId="2" applyFont="1" applyFill="1" applyBorder="1" applyAlignment="1">
      <alignment horizontal="center" wrapText="1"/>
    </xf>
    <xf numFmtId="3" fontId="0" fillId="0" borderId="14" xfId="0" applyNumberFormat="1" applyFill="1" applyBorder="1" applyAlignment="1">
      <alignment horizontal="center"/>
    </xf>
    <xf numFmtId="3" fontId="0" fillId="0" borderId="3" xfId="0" applyNumberFormat="1" applyFill="1" applyBorder="1" applyAlignment="1">
      <alignment horizontal="center"/>
    </xf>
    <xf numFmtId="9" fontId="0" fillId="0" borderId="14" xfId="2" applyFont="1" applyFill="1" applyBorder="1" applyAlignment="1">
      <alignment horizontal="center" wrapText="1"/>
    </xf>
    <xf numFmtId="0" fontId="1" fillId="0" borderId="10" xfId="0" applyFont="1" applyBorder="1" applyAlignment="1">
      <alignment horizontal="left"/>
    </xf>
    <xf numFmtId="0" fontId="0" fillId="0" borderId="10" xfId="0" applyBorder="1" applyAlignment="1">
      <alignment horizontal="center"/>
    </xf>
    <xf numFmtId="3" fontId="1" fillId="0" borderId="9" xfId="0" applyNumberFormat="1" applyFont="1" applyBorder="1" applyAlignment="1">
      <alignment horizontal="center" vertical="top"/>
    </xf>
    <xf numFmtId="3" fontId="1" fillId="0" borderId="10" xfId="0" applyNumberFormat="1" applyFont="1" applyBorder="1" applyAlignment="1">
      <alignment horizontal="center" vertical="top"/>
    </xf>
    <xf numFmtId="9" fontId="1" fillId="0" borderId="11" xfId="2" applyFont="1" applyBorder="1" applyAlignment="1">
      <alignment horizontal="center" vertical="top"/>
    </xf>
    <xf numFmtId="3" fontId="1" fillId="0" borderId="11" xfId="0" applyNumberFormat="1" applyFont="1" applyBorder="1" applyAlignment="1">
      <alignment horizontal="center" vertical="top"/>
    </xf>
    <xf numFmtId="0" fontId="21" fillId="0" borderId="0" xfId="0" applyFont="1" applyAlignment="1">
      <alignment vertical="top"/>
    </xf>
    <xf numFmtId="0" fontId="24" fillId="0" borderId="0" xfId="0" applyFont="1" applyBorder="1" applyAlignment="1">
      <alignment horizontal="center" vertical="top"/>
    </xf>
    <xf numFmtId="0" fontId="24" fillId="0" borderId="14" xfId="0" applyFont="1" applyBorder="1" applyAlignment="1">
      <alignment horizontal="center" vertical="top"/>
    </xf>
    <xf numFmtId="164" fontId="24" fillId="0" borderId="0" xfId="2" applyNumberFormat="1" applyFont="1" applyBorder="1" applyAlignment="1">
      <alignment horizontal="center" vertical="top"/>
    </xf>
    <xf numFmtId="0" fontId="24" fillId="0" borderId="3" xfId="0" applyFont="1" applyBorder="1" applyAlignment="1">
      <alignment horizontal="center" vertical="top"/>
    </xf>
    <xf numFmtId="164" fontId="24" fillId="0" borderId="14" xfId="2" applyNumberFormat="1" applyFont="1" applyBorder="1" applyAlignment="1">
      <alignment horizontal="center" vertical="top"/>
    </xf>
    <xf numFmtId="164" fontId="24" fillId="0" borderId="3" xfId="2" applyNumberFormat="1" applyFont="1" applyBorder="1" applyAlignment="1">
      <alignment horizontal="center" vertical="top"/>
    </xf>
    <xf numFmtId="0" fontId="23" fillId="0" borderId="14" xfId="0" applyFont="1" applyBorder="1" applyAlignment="1">
      <alignment horizontal="left" vertical="top"/>
    </xf>
    <xf numFmtId="1" fontId="24" fillId="0" borderId="0" xfId="0" applyNumberFormat="1" applyFont="1" applyBorder="1" applyAlignment="1">
      <alignment horizontal="center" vertical="top"/>
    </xf>
    <xf numFmtId="1" fontId="24" fillId="0" borderId="14" xfId="0" applyNumberFormat="1" applyFont="1" applyBorder="1" applyAlignment="1">
      <alignment horizontal="center" vertical="top"/>
    </xf>
    <xf numFmtId="0" fontId="23" fillId="0" borderId="0" xfId="0" applyFont="1" applyBorder="1" applyAlignment="1">
      <alignment horizontal="center" vertical="top"/>
    </xf>
    <xf numFmtId="1" fontId="24" fillId="0" borderId="3" xfId="0" applyNumberFormat="1" applyFont="1" applyBorder="1" applyAlignment="1">
      <alignment horizontal="center" vertical="top"/>
    </xf>
    <xf numFmtId="0" fontId="24" fillId="0" borderId="4" xfId="0" applyFont="1" applyBorder="1" applyAlignment="1">
      <alignment horizontal="center" vertical="top"/>
    </xf>
    <xf numFmtId="0" fontId="24" fillId="0" borderId="15" xfId="0" applyFont="1" applyBorder="1" applyAlignment="1">
      <alignment horizontal="center" vertical="top"/>
    </xf>
    <xf numFmtId="1" fontId="24" fillId="0" borderId="4" xfId="0" applyNumberFormat="1" applyFont="1" applyBorder="1" applyAlignment="1">
      <alignment horizontal="center" vertical="top"/>
    </xf>
    <xf numFmtId="0" fontId="24" fillId="0" borderId="5" xfId="0" applyFont="1" applyBorder="1" applyAlignment="1">
      <alignment horizontal="center" vertical="top"/>
    </xf>
    <xf numFmtId="1" fontId="24" fillId="0" borderId="15" xfId="0" applyNumberFormat="1" applyFont="1" applyBorder="1" applyAlignment="1">
      <alignment horizontal="center" vertical="top"/>
    </xf>
    <xf numFmtId="1" fontId="24" fillId="0" borderId="5" xfId="0" applyNumberFormat="1" applyFont="1" applyBorder="1" applyAlignment="1">
      <alignment horizontal="center" vertical="top"/>
    </xf>
    <xf numFmtId="164" fontId="0" fillId="0" borderId="0" xfId="2" applyNumberFormat="1" applyFont="1" applyBorder="1" applyAlignment="1">
      <alignment vertical="top" wrapText="1"/>
    </xf>
    <xf numFmtId="164" fontId="0" fillId="0" borderId="3" xfId="0" applyNumberFormat="1" applyBorder="1" applyAlignment="1">
      <alignment horizontal="center" vertical="top"/>
    </xf>
    <xf numFmtId="164" fontId="24" fillId="0" borderId="13" xfId="2" applyNumberFormat="1" applyFont="1" applyBorder="1" applyAlignment="1">
      <alignment horizontal="center" vertical="top"/>
    </xf>
    <xf numFmtId="164" fontId="1" fillId="0" borderId="9" xfId="2" applyNumberFormat="1" applyFont="1" applyBorder="1" applyAlignment="1">
      <alignment horizontal="center" vertical="top"/>
    </xf>
    <xf numFmtId="3" fontId="0" fillId="0" borderId="0" xfId="0" applyNumberFormat="1" applyAlignment="1">
      <alignment horizontal="center" vertical="top"/>
    </xf>
    <xf numFmtId="0" fontId="1" fillId="0" borderId="0" xfId="0" applyFont="1" applyAlignment="1">
      <alignment horizontal="left" wrapText="1"/>
    </xf>
    <xf numFmtId="0" fontId="0" fillId="0" borderId="0" xfId="0" applyAlignment="1">
      <alignment horizontal="left" vertical="center"/>
    </xf>
    <xf numFmtId="0" fontId="0" fillId="0" borderId="0" xfId="0">
      <alignment vertical="top" wrapText="1"/>
    </xf>
    <xf numFmtId="0" fontId="0" fillId="0" borderId="0" xfId="0" applyFill="1" applyBorder="1" applyAlignment="1">
      <alignment horizontal="center" wrapText="1"/>
    </xf>
    <xf numFmtId="0" fontId="0" fillId="0" borderId="0" xfId="0" applyFill="1" applyBorder="1" applyAlignment="1">
      <alignment horizontal="center"/>
    </xf>
    <xf numFmtId="3" fontId="0" fillId="0" borderId="0" xfId="0" applyNumberFormat="1" applyFill="1" applyBorder="1" applyAlignment="1">
      <alignment horizontal="center"/>
    </xf>
    <xf numFmtId="3" fontId="0" fillId="0" borderId="0" xfId="0" applyNumberFormat="1" applyFont="1" applyFill="1" applyBorder="1" applyAlignment="1">
      <alignment horizontal="center" wrapText="1"/>
    </xf>
    <xf numFmtId="0" fontId="0" fillId="0" borderId="8" xfId="0" applyBorder="1" applyAlignment="1">
      <alignment horizontal="center" vertical="top" wrapText="1"/>
    </xf>
    <xf numFmtId="9" fontId="0" fillId="0" borderId="3" xfId="2" applyFont="1" applyFill="1" applyBorder="1" applyAlignment="1">
      <alignment horizontal="center" wrapText="1"/>
    </xf>
    <xf numFmtId="3" fontId="0" fillId="0" borderId="14" xfId="0" applyNumberFormat="1" applyFill="1" applyBorder="1" applyAlignment="1">
      <alignment horizontal="center"/>
    </xf>
    <xf numFmtId="3" fontId="0" fillId="0" borderId="3" xfId="0" applyNumberFormat="1" applyFill="1" applyBorder="1" applyAlignment="1">
      <alignment horizontal="center"/>
    </xf>
    <xf numFmtId="9" fontId="0" fillId="0" borderId="14" xfId="2" applyFont="1" applyFill="1" applyBorder="1" applyAlignment="1">
      <alignment horizontal="center" wrapText="1"/>
    </xf>
    <xf numFmtId="1" fontId="0" fillId="0" borderId="3" xfId="0" applyNumberFormat="1" applyBorder="1" applyAlignment="1">
      <alignment horizontal="center"/>
    </xf>
    <xf numFmtId="1" fontId="0" fillId="0" borderId="14" xfId="0" applyNumberFormat="1" applyBorder="1">
      <alignment vertical="top" wrapText="1"/>
    </xf>
    <xf numFmtId="1" fontId="0" fillId="0" borderId="13" xfId="0" applyNumberFormat="1" applyBorder="1">
      <alignment vertical="top" wrapText="1"/>
    </xf>
    <xf numFmtId="1" fontId="0" fillId="0" borderId="2" xfId="0" applyNumberFormat="1" applyBorder="1">
      <alignment vertical="top" wrapText="1"/>
    </xf>
    <xf numFmtId="1" fontId="0" fillId="0" borderId="9" xfId="0" applyNumberFormat="1" applyBorder="1">
      <alignment vertical="top" wrapText="1"/>
    </xf>
    <xf numFmtId="1" fontId="0" fillId="0" borderId="3" xfId="0" applyNumberFormat="1" applyBorder="1">
      <alignment vertical="top" wrapText="1"/>
    </xf>
    <xf numFmtId="1" fontId="0" fillId="0" borderId="3" xfId="0" applyNumberFormat="1" applyFont="1" applyFill="1" applyBorder="1" applyAlignment="1">
      <alignment horizontal="center"/>
    </xf>
    <xf numFmtId="0" fontId="0" fillId="0" borderId="10" xfId="0" applyBorder="1">
      <alignment vertical="top" wrapText="1"/>
    </xf>
    <xf numFmtId="0" fontId="0" fillId="0" borderId="10" xfId="0" applyFont="1" applyBorder="1" applyAlignment="1">
      <alignment horizontal="right" vertical="top" wrapText="1"/>
    </xf>
    <xf numFmtId="0" fontId="9" fillId="0" borderId="10" xfId="4" applyFont="1" applyBorder="1" applyAlignment="1">
      <alignment horizontal="center"/>
    </xf>
    <xf numFmtId="0" fontId="3" fillId="0" borderId="10" xfId="0" applyFont="1" applyBorder="1" applyAlignment="1">
      <alignment horizontal="center" wrapText="1"/>
    </xf>
    <xf numFmtId="0" fontId="3" fillId="0" borderId="9" xfId="0" applyFont="1" applyBorder="1" applyAlignment="1">
      <alignment horizontal="center" wrapText="1"/>
    </xf>
    <xf numFmtId="0" fontId="3" fillId="0" borderId="11" xfId="0" applyFont="1" applyBorder="1" applyAlignment="1">
      <alignment horizontal="centerContinuous" wrapText="1"/>
    </xf>
    <xf numFmtId="0" fontId="3" fillId="0" borderId="11" xfId="0" applyFont="1" applyBorder="1" applyAlignment="1">
      <alignment horizontal="center" wrapText="1"/>
    </xf>
    <xf numFmtId="0" fontId="3" fillId="0" borderId="9" xfId="0" applyFont="1" applyBorder="1" applyAlignment="1">
      <alignment horizontal="centerContinuous" wrapText="1"/>
    </xf>
    <xf numFmtId="0" fontId="2" fillId="2" borderId="19" xfId="0" applyFont="1" applyFill="1" applyBorder="1" applyAlignment="1">
      <alignment horizontal="left" vertical="top"/>
    </xf>
    <xf numFmtId="0" fontId="0" fillId="0" borderId="19" xfId="0" applyBorder="1">
      <alignment vertical="top" wrapText="1"/>
    </xf>
    <xf numFmtId="0" fontId="0" fillId="0" borderId="19" xfId="0" applyFill="1" applyBorder="1">
      <alignment vertical="top" wrapText="1"/>
    </xf>
    <xf numFmtId="0" fontId="0" fillId="0" borderId="20" xfId="0" applyFill="1" applyBorder="1">
      <alignment vertical="top" wrapText="1"/>
    </xf>
    <xf numFmtId="0" fontId="7" fillId="0" borderId="19" xfId="0" applyFont="1" applyBorder="1">
      <alignment vertical="top" wrapText="1"/>
    </xf>
    <xf numFmtId="0" fontId="0" fillId="0" borderId="21" xfId="0" applyFill="1" applyBorder="1">
      <alignment vertical="top" wrapText="1"/>
    </xf>
    <xf numFmtId="0" fontId="0" fillId="0" borderId="22" xfId="0" applyFill="1" applyBorder="1">
      <alignment vertical="top" wrapText="1"/>
    </xf>
    <xf numFmtId="0" fontId="0" fillId="0" borderId="24" xfId="0" applyBorder="1">
      <alignment vertical="top" wrapText="1"/>
    </xf>
    <xf numFmtId="0" fontId="0" fillId="0" borderId="24" xfId="0" applyFill="1" applyBorder="1">
      <alignment vertical="top" wrapText="1"/>
    </xf>
    <xf numFmtId="0" fontId="7" fillId="0" borderId="24" xfId="0" applyFont="1" applyBorder="1">
      <alignment vertical="top" wrapText="1"/>
    </xf>
    <xf numFmtId="0" fontId="7" fillId="0" borderId="24" xfId="0" applyFont="1" applyFill="1" applyBorder="1">
      <alignment vertical="top" wrapText="1"/>
    </xf>
    <xf numFmtId="0" fontId="2" fillId="2" borderId="0" xfId="0" applyFont="1" applyFill="1" applyBorder="1" applyAlignment="1">
      <alignment horizontal="left" vertical="top"/>
    </xf>
    <xf numFmtId="0" fontId="2" fillId="2" borderId="20" xfId="0" applyFont="1" applyFill="1" applyBorder="1" applyAlignment="1">
      <alignment horizontal="center" vertical="top"/>
    </xf>
    <xf numFmtId="0" fontId="0" fillId="0" borderId="0" xfId="0" applyBorder="1">
      <alignment vertical="top" wrapText="1"/>
    </xf>
    <xf numFmtId="3" fontId="0" fillId="0" borderId="0" xfId="0" applyNumberFormat="1" applyBorder="1" applyAlignment="1">
      <alignment horizontal="center" vertical="top" wrapText="1"/>
    </xf>
    <xf numFmtId="0" fontId="0" fillId="0" borderId="20" xfId="0" applyBorder="1" applyAlignment="1">
      <alignment horizontal="center" vertical="top" wrapText="1"/>
    </xf>
    <xf numFmtId="9" fontId="0" fillId="0" borderId="0" xfId="0" applyNumberFormat="1" applyFill="1" applyBorder="1" applyAlignment="1">
      <alignment horizontal="center" vertical="top" wrapText="1"/>
    </xf>
    <xf numFmtId="0" fontId="0" fillId="0" borderId="20" xfId="0" applyFill="1" applyBorder="1" applyAlignment="1">
      <alignment horizontal="center" vertical="top" wrapText="1"/>
    </xf>
    <xf numFmtId="164" fontId="0" fillId="0" borderId="0" xfId="0" applyNumberFormat="1" applyBorder="1" applyAlignment="1">
      <alignment horizontal="center" vertical="top" wrapText="1"/>
    </xf>
    <xf numFmtId="0" fontId="0" fillId="0" borderId="0" xfId="0" applyFill="1" applyBorder="1" applyAlignment="1">
      <alignment horizontal="center" vertical="top" wrapText="1"/>
    </xf>
    <xf numFmtId="3" fontId="0" fillId="0" borderId="0" xfId="0" applyNumberFormat="1" applyFill="1" applyBorder="1" applyAlignment="1">
      <alignment horizontal="center" vertical="top" wrapText="1"/>
    </xf>
    <xf numFmtId="9" fontId="0" fillId="0" borderId="0" xfId="2" applyFont="1" applyFill="1" applyBorder="1" applyAlignment="1">
      <alignment horizontal="center" vertical="top" wrapText="1"/>
    </xf>
    <xf numFmtId="168" fontId="0" fillId="0" borderId="0" xfId="0" applyNumberFormat="1" applyFill="1" applyBorder="1" applyAlignment="1">
      <alignment horizontal="center" vertical="top" wrapText="1"/>
    </xf>
    <xf numFmtId="164" fontId="0" fillId="0" borderId="0" xfId="2" applyNumberFormat="1" applyFont="1" applyFill="1" applyBorder="1" applyAlignment="1">
      <alignment horizontal="center" vertical="top" wrapText="1"/>
    </xf>
    <xf numFmtId="0" fontId="0" fillId="0" borderId="26" xfId="0" applyBorder="1">
      <alignment vertical="top" wrapText="1"/>
    </xf>
    <xf numFmtId="164" fontId="0" fillId="0" borderId="26" xfId="2" applyNumberFormat="1" applyFont="1" applyFill="1" applyBorder="1" applyAlignment="1">
      <alignment horizontal="center" vertical="top" wrapText="1"/>
    </xf>
    <xf numFmtId="0" fontId="0" fillId="0" borderId="22" xfId="0" applyFill="1" applyBorder="1" applyAlignment="1">
      <alignment horizontal="center" vertical="top" wrapText="1"/>
    </xf>
    <xf numFmtId="0" fontId="25" fillId="0" borderId="19" xfId="0" applyFont="1" applyBorder="1">
      <alignment vertical="top" wrapText="1"/>
    </xf>
    <xf numFmtId="164" fontId="0" fillId="0" borderId="11" xfId="2" applyNumberFormat="1" applyFont="1" applyBorder="1" applyAlignment="1">
      <alignment horizontal="center" vertical="top" wrapText="1"/>
    </xf>
    <xf numFmtId="0" fontId="0" fillId="0" borderId="0" xfId="0" applyBorder="1" applyAlignment="1">
      <alignment horizontal="center"/>
    </xf>
    <xf numFmtId="0" fontId="0" fillId="0" borderId="3" xfId="0" applyBorder="1" applyAlignment="1">
      <alignment horizontal="center"/>
    </xf>
    <xf numFmtId="0" fontId="0" fillId="0" borderId="3" xfId="0" applyFont="1" applyFill="1" applyBorder="1" applyAlignment="1">
      <alignment horizontal="center"/>
    </xf>
    <xf numFmtId="0" fontId="4" fillId="0" borderId="6" xfId="0" applyFont="1" applyBorder="1" applyAlignment="1">
      <alignment horizontal="center" vertical="center" wrapText="1"/>
    </xf>
    <xf numFmtId="0" fontId="3" fillId="0" borderId="12" xfId="0" applyFont="1" applyBorder="1" applyAlignment="1">
      <alignment horizontal="center" wrapText="1"/>
    </xf>
    <xf numFmtId="3" fontId="1" fillId="0" borderId="12" xfId="0" applyNumberFormat="1" applyFont="1" applyBorder="1" applyAlignment="1">
      <alignment horizontal="center" vertical="top"/>
    </xf>
    <xf numFmtId="0" fontId="27" fillId="0" borderId="18" xfId="0" applyFont="1" applyBorder="1" applyAlignment="1">
      <alignment horizontal="center" wrapText="1"/>
    </xf>
    <xf numFmtId="0" fontId="27" fillId="0" borderId="23" xfId="0" applyFont="1" applyBorder="1" applyAlignment="1">
      <alignment horizontal="left" wrapText="1"/>
    </xf>
    <xf numFmtId="0" fontId="27" fillId="0" borderId="17" xfId="0" applyFont="1" applyBorder="1" applyAlignment="1">
      <alignment horizontal="left" wrapText="1"/>
    </xf>
    <xf numFmtId="0" fontId="2" fillId="2" borderId="28" xfId="0" applyFont="1" applyFill="1" applyBorder="1" applyAlignment="1">
      <alignment horizontal="left" vertical="top"/>
    </xf>
    <xf numFmtId="0" fontId="2" fillId="2" borderId="29" xfId="0" applyFont="1" applyFill="1" applyBorder="1" applyAlignment="1">
      <alignment horizontal="left" vertical="top"/>
    </xf>
    <xf numFmtId="0" fontId="2" fillId="2" borderId="27" xfId="0" applyFont="1" applyFill="1" applyBorder="1" applyAlignment="1">
      <alignment horizontal="left" vertical="top"/>
    </xf>
    <xf numFmtId="0" fontId="28" fillId="0" borderId="19" xfId="14" applyBorder="1">
      <alignment vertical="top" wrapText="1"/>
    </xf>
    <xf numFmtId="0" fontId="27" fillId="0" borderId="25" xfId="0" applyFont="1" applyBorder="1" applyAlignment="1">
      <alignment horizontal="center" wrapText="1"/>
    </xf>
    <xf numFmtId="0" fontId="27" fillId="0" borderId="18" xfId="0" applyFont="1" applyBorder="1" applyAlignment="1">
      <alignment horizontal="left" wrapText="1"/>
    </xf>
    <xf numFmtId="0" fontId="0" fillId="0" borderId="20" xfId="0" applyBorder="1" applyAlignment="1">
      <alignment horizontal="left" vertical="top" wrapText="1"/>
    </xf>
    <xf numFmtId="0" fontId="0" fillId="0" borderId="20" xfId="0" applyFill="1" applyBorder="1" applyAlignment="1">
      <alignment horizontal="left" vertical="top" wrapText="1"/>
    </xf>
    <xf numFmtId="0" fontId="0" fillId="0" borderId="22"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2" fillId="0" borderId="10" xfId="0" applyFont="1" applyFill="1" applyBorder="1" applyAlignment="1">
      <alignment horizontal="left" wrapText="1"/>
    </xf>
    <xf numFmtId="0" fontId="12" fillId="0" borderId="1" xfId="0" applyFont="1" applyFill="1" applyBorder="1" applyAlignment="1">
      <alignment horizontal="left"/>
    </xf>
    <xf numFmtId="0" fontId="12" fillId="0" borderId="0" xfId="0" applyFont="1" applyFill="1" applyBorder="1" applyAlignment="1">
      <alignment horizontal="left"/>
    </xf>
    <xf numFmtId="0" fontId="12" fillId="0" borderId="4" xfId="0" applyFont="1" applyFill="1" applyBorder="1" applyAlignment="1">
      <alignment horizontal="left"/>
    </xf>
    <xf numFmtId="0" fontId="12" fillId="0" borderId="0" xfId="0" applyFont="1" applyAlignment="1">
      <alignment horizontal="left" vertical="top" wrapText="1"/>
    </xf>
    <xf numFmtId="0" fontId="0" fillId="0" borderId="0" xfId="4" applyFont="1" applyAlignment="1">
      <alignment horizontal="left" vertical="center"/>
    </xf>
    <xf numFmtId="0" fontId="29" fillId="0" borderId="19" xfId="0" applyFont="1" applyBorder="1">
      <alignment vertical="top" wrapText="1"/>
    </xf>
    <xf numFmtId="9" fontId="0" fillId="0" borderId="20" xfId="0" applyNumberFormat="1" applyFill="1" applyBorder="1" applyAlignment="1">
      <alignment horizontal="left" vertical="center" wrapText="1"/>
    </xf>
    <xf numFmtId="10" fontId="0" fillId="0" borderId="20" xfId="0" applyNumberFormat="1" applyFill="1" applyBorder="1" applyAlignment="1">
      <alignment horizontal="left" vertical="top" wrapText="1"/>
    </xf>
    <xf numFmtId="0" fontId="0" fillId="0" borderId="20" xfId="0" applyNumberFormat="1" applyFill="1" applyBorder="1" applyAlignment="1">
      <alignment horizontal="left" vertical="top" wrapText="1"/>
    </xf>
    <xf numFmtId="1" fontId="0" fillId="0" borderId="20" xfId="2" applyNumberFormat="1" applyFont="1" applyFill="1" applyBorder="1" applyAlignment="1">
      <alignment horizontal="left" vertical="top" wrapText="1"/>
    </xf>
    <xf numFmtId="0" fontId="0" fillId="0" borderId="0" xfId="0" applyAlignment="1">
      <alignment horizontal="left" vertical="top"/>
    </xf>
    <xf numFmtId="0" fontId="1" fillId="0" borderId="0" xfId="0" applyFont="1" applyAlignment="1">
      <alignment horizontal="left" vertical="center"/>
    </xf>
    <xf numFmtId="0" fontId="0" fillId="2" borderId="0" xfId="0" applyFill="1" applyAlignment="1">
      <alignment horizontal="left" vertical="center"/>
    </xf>
    <xf numFmtId="0" fontId="0" fillId="2" borderId="0" xfId="0" applyFill="1" applyAlignment="1">
      <alignment horizontal="left" vertical="top"/>
    </xf>
    <xf numFmtId="0" fontId="30" fillId="0" borderId="23" xfId="0" applyFont="1" applyBorder="1" applyAlignment="1">
      <alignment horizontal="center" wrapText="1"/>
    </xf>
    <xf numFmtId="0" fontId="2" fillId="2" borderId="30" xfId="0" applyFont="1" applyFill="1" applyBorder="1" applyAlignment="1">
      <alignment horizontal="left" vertical="top"/>
    </xf>
    <xf numFmtId="0" fontId="0" fillId="0" borderId="24" xfId="0" applyBorder="1" applyAlignment="1">
      <alignment vertical="top" wrapText="1"/>
    </xf>
    <xf numFmtId="0" fontId="25" fillId="0" borderId="24" xfId="0" applyFont="1" applyBorder="1" applyAlignment="1">
      <alignment vertical="top" wrapText="1"/>
    </xf>
    <xf numFmtId="0" fontId="0" fillId="0" borderId="24" xfId="0" applyNumberFormat="1" applyFill="1" applyBorder="1">
      <alignment vertical="top" wrapText="1"/>
    </xf>
    <xf numFmtId="0" fontId="25" fillId="0" borderId="24" xfId="0" applyFont="1" applyBorder="1">
      <alignment vertical="top" wrapText="1"/>
    </xf>
    <xf numFmtId="0" fontId="0" fillId="0" borderId="31" xfId="0" applyFill="1" applyBorder="1">
      <alignment vertical="top" wrapText="1"/>
    </xf>
    <xf numFmtId="0" fontId="3" fillId="0" borderId="7" xfId="0" applyFont="1" applyBorder="1" applyAlignment="1">
      <alignment horizontal="center" vertical="center"/>
    </xf>
    <xf numFmtId="0" fontId="3" fillId="0" borderId="8" xfId="0" applyFont="1" applyBorder="1" applyAlignment="1">
      <alignment wrapText="1"/>
    </xf>
    <xf numFmtId="0" fontId="8" fillId="0" borderId="24" xfId="0" applyFont="1" applyBorder="1">
      <alignment vertical="top" wrapText="1"/>
    </xf>
    <xf numFmtId="0" fontId="1" fillId="0" borderId="12" xfId="0" applyFont="1" applyBorder="1" applyAlignment="1">
      <alignment vertical="center" wrapText="1"/>
    </xf>
    <xf numFmtId="0" fontId="0" fillId="0" borderId="7" xfId="0" applyBorder="1">
      <alignment vertical="top" wrapText="1"/>
    </xf>
    <xf numFmtId="0" fontId="31" fillId="0" borderId="7" xfId="0" applyFont="1" applyFill="1" applyBorder="1" applyAlignment="1"/>
    <xf numFmtId="0" fontId="31" fillId="0" borderId="0" xfId="0" applyFont="1" applyFill="1" applyBorder="1" applyAlignment="1">
      <alignment horizontal="center"/>
    </xf>
    <xf numFmtId="0" fontId="31" fillId="0" borderId="3" xfId="0" applyFont="1" applyFill="1" applyBorder="1" applyAlignment="1">
      <alignment horizontal="center"/>
    </xf>
    <xf numFmtId="0" fontId="31" fillId="0" borderId="8" xfId="0" applyFont="1" applyFill="1" applyBorder="1" applyAlignment="1"/>
    <xf numFmtId="0" fontId="31" fillId="0" borderId="4" xfId="0" quotePrefix="1" applyFont="1" applyFill="1" applyBorder="1" applyAlignment="1">
      <alignment horizontal="center"/>
    </xf>
    <xf numFmtId="0" fontId="31" fillId="0" borderId="5" xfId="0" applyFont="1" applyFill="1" applyBorder="1" applyAlignment="1">
      <alignment horizontal="center"/>
    </xf>
    <xf numFmtId="9" fontId="0" fillId="0" borderId="0" xfId="2" applyFont="1" applyAlignment="1">
      <alignment horizontal="center" vertical="top" wrapText="1"/>
    </xf>
    <xf numFmtId="1" fontId="0" fillId="0" borderId="0" xfId="0" applyNumberFormat="1" applyBorder="1" applyAlignment="1">
      <alignment horizontal="center" vertical="top"/>
    </xf>
    <xf numFmtId="0" fontId="0" fillId="0" borderId="0" xfId="0" applyFill="1" applyBorder="1">
      <alignment vertical="top" wrapText="1"/>
    </xf>
    <xf numFmtId="0" fontId="0" fillId="0" borderId="0" xfId="0" applyNumberFormat="1" applyFill="1" applyBorder="1">
      <alignment vertical="top" wrapText="1"/>
    </xf>
    <xf numFmtId="0" fontId="0" fillId="0" borderId="7" xfId="0" applyBorder="1" applyAlignment="1">
      <alignment horizontal="center" vertical="top"/>
    </xf>
    <xf numFmtId="9" fontId="1" fillId="0" borderId="7" xfId="2" applyFont="1" applyBorder="1" applyAlignment="1">
      <alignment horizontal="center" vertical="top"/>
    </xf>
    <xf numFmtId="9" fontId="1" fillId="0" borderId="8" xfId="2" applyFont="1" applyBorder="1" applyAlignment="1">
      <alignment horizontal="center" vertical="top"/>
    </xf>
    <xf numFmtId="168" fontId="0" fillId="0" borderId="15" xfId="0" applyNumberFormat="1" applyBorder="1" applyAlignment="1">
      <alignment horizontal="center" vertical="top"/>
    </xf>
    <xf numFmtId="0" fontId="24"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29" fillId="0" borderId="0" xfId="0" applyFont="1">
      <alignment vertical="top" wrapText="1"/>
    </xf>
    <xf numFmtId="0" fontId="29" fillId="0" borderId="0" xfId="0" applyFont="1" applyFill="1" applyBorder="1">
      <alignment vertical="top" wrapText="1"/>
    </xf>
    <xf numFmtId="0" fontId="8" fillId="0" borderId="0" xfId="0" applyFont="1">
      <alignment vertical="top" wrapText="1"/>
    </xf>
    <xf numFmtId="0" fontId="3" fillId="0" borderId="10" xfId="0" applyFont="1" applyBorder="1" applyAlignment="1">
      <alignment horizontal="left" wrapText="1"/>
    </xf>
    <xf numFmtId="0" fontId="2" fillId="2" borderId="4" xfId="0" applyFont="1" applyFill="1" applyBorder="1" applyAlignment="1">
      <alignment horizontal="left" vertical="top"/>
    </xf>
    <xf numFmtId="0" fontId="3" fillId="0" borderId="12" xfId="0" applyFont="1" applyBorder="1" applyAlignment="1">
      <alignment horizontal="left" wrapText="1"/>
    </xf>
    <xf numFmtId="0" fontId="4" fillId="0" borderId="7" xfId="0" applyFont="1" applyBorder="1" applyAlignment="1">
      <alignment horizontal="center" vertical="center" wrapText="1"/>
    </xf>
    <xf numFmtId="0" fontId="2" fillId="2" borderId="7" xfId="0" applyFont="1" applyFill="1" applyBorder="1" applyAlignment="1">
      <alignment horizontal="left" vertical="top"/>
    </xf>
    <xf numFmtId="0" fontId="0" fillId="0" borderId="7" xfId="0" applyBorder="1" applyAlignment="1"/>
    <xf numFmtId="0" fontId="1" fillId="0" borderId="12" xfId="0" applyFont="1" applyBorder="1" applyAlignment="1">
      <alignment horizontal="left" vertical="center" wrapText="1"/>
    </xf>
    <xf numFmtId="168" fontId="0" fillId="0" borderId="13" xfId="0" applyNumberFormat="1" applyBorder="1" applyAlignment="1">
      <alignment horizontal="center" vertical="top"/>
    </xf>
    <xf numFmtId="168" fontId="0" fillId="0" borderId="14" xfId="0" applyNumberFormat="1" applyBorder="1" applyAlignment="1">
      <alignment horizontal="center" vertical="top"/>
    </xf>
    <xf numFmtId="0" fontId="23" fillId="0" borderId="15" xfId="0" applyFont="1" applyBorder="1" applyAlignment="1">
      <alignment horizontal="left" vertical="top"/>
    </xf>
    <xf numFmtId="0" fontId="26" fillId="0" borderId="0" xfId="0" applyFont="1" applyAlignment="1">
      <alignment horizontal="left" vertical="top"/>
    </xf>
    <xf numFmtId="9" fontId="18" fillId="0" borderId="7" xfId="2" applyFont="1" applyBorder="1" applyAlignment="1">
      <alignment horizontal="center" vertical="top" wrapText="1"/>
    </xf>
    <xf numFmtId="0" fontId="0" fillId="0" borderId="14" xfId="0" applyBorder="1">
      <alignment vertical="top" wrapText="1"/>
    </xf>
    <xf numFmtId="0" fontId="2" fillId="2" borderId="7" xfId="0" applyFont="1" applyFill="1" applyBorder="1" applyAlignment="1">
      <alignment horizontal="center" vertical="top" wrapText="1"/>
    </xf>
    <xf numFmtId="0" fontId="34" fillId="0" borderId="0" xfId="0" applyFont="1" applyBorder="1" applyAlignment="1">
      <alignment horizontal="center" vertical="center" wrapText="1"/>
    </xf>
    <xf numFmtId="0" fontId="1" fillId="0" borderId="15" xfId="0" applyFont="1" applyBorder="1" applyAlignment="1">
      <alignment horizontal="left" wrapText="1"/>
    </xf>
    <xf numFmtId="0" fontId="1" fillId="0" borderId="10" xfId="0" applyFont="1" applyBorder="1" applyAlignment="1">
      <alignment horizontal="center" vertical="center" wrapText="1"/>
    </xf>
    <xf numFmtId="3" fontId="1" fillId="0" borderId="11" xfId="0" applyNumberFormat="1" applyFont="1" applyBorder="1" applyAlignment="1">
      <alignment horizontal="center" vertical="center"/>
    </xf>
    <xf numFmtId="0" fontId="32" fillId="0" borderId="10" xfId="0" applyFont="1" applyFill="1" applyBorder="1" applyAlignment="1">
      <alignment horizontal="center"/>
    </xf>
    <xf numFmtId="0" fontId="1" fillId="0" borderId="7" xfId="0" applyFont="1" applyBorder="1" applyAlignment="1">
      <alignment horizontal="center" vertical="top"/>
    </xf>
    <xf numFmtId="0" fontId="1" fillId="0" borderId="8" xfId="0" applyFont="1" applyBorder="1" applyAlignment="1">
      <alignment horizontal="center" vertical="top"/>
    </xf>
    <xf numFmtId="1" fontId="31" fillId="0" borderId="4" xfId="0" applyNumberFormat="1" applyFont="1" applyFill="1" applyBorder="1" applyAlignment="1">
      <alignment horizontal="center"/>
    </xf>
    <xf numFmtId="1" fontId="32" fillId="0" borderId="10" xfId="0" applyNumberFormat="1" applyFont="1" applyFill="1" applyBorder="1" applyAlignment="1">
      <alignment horizontal="center"/>
    </xf>
    <xf numFmtId="0" fontId="1" fillId="0" borderId="12" xfId="0" applyFont="1" applyBorder="1" applyAlignment="1">
      <alignment horizontal="center" vertical="top"/>
    </xf>
    <xf numFmtId="9" fontId="1" fillId="0" borderId="12" xfId="0" applyNumberFormat="1" applyFont="1" applyBorder="1" applyAlignment="1">
      <alignment horizontal="center" vertical="top"/>
    </xf>
    <xf numFmtId="0" fontId="32" fillId="0" borderId="12" xfId="0" applyFont="1" applyFill="1" applyBorder="1" applyAlignment="1"/>
    <xf numFmtId="0" fontId="0" fillId="0" borderId="14" xfId="0" applyBorder="1" applyAlignment="1">
      <alignment horizontal="center" vertical="top"/>
    </xf>
    <xf numFmtId="9" fontId="1" fillId="0" borderId="14" xfId="2" applyFont="1" applyBorder="1" applyAlignment="1">
      <alignment horizontal="center" vertical="top"/>
    </xf>
    <xf numFmtId="9" fontId="1" fillId="0" borderId="15" xfId="2" applyFont="1" applyBorder="1" applyAlignment="1">
      <alignment horizontal="center" vertical="top"/>
    </xf>
    <xf numFmtId="9" fontId="1" fillId="0" borderId="9" xfId="0" applyNumberFormat="1" applyFont="1" applyBorder="1" applyAlignment="1">
      <alignment horizontal="center" vertical="top"/>
    </xf>
    <xf numFmtId="168" fontId="0" fillId="0" borderId="2" xfId="0" applyNumberFormat="1" applyBorder="1" applyAlignment="1">
      <alignment horizontal="center" vertical="top"/>
    </xf>
    <xf numFmtId="168" fontId="0" fillId="0" borderId="3" xfId="0" applyNumberFormat="1" applyBorder="1" applyAlignment="1">
      <alignment horizontal="center" vertical="top"/>
    </xf>
    <xf numFmtId="168" fontId="0" fillId="0" borderId="5" xfId="0" applyNumberFormat="1" applyBorder="1" applyAlignment="1">
      <alignment horizontal="center" vertical="top"/>
    </xf>
    <xf numFmtId="0" fontId="1" fillId="0" borderId="9" xfId="0" applyFont="1" applyBorder="1" applyAlignment="1">
      <alignment horizontal="center" vertical="top"/>
    </xf>
    <xf numFmtId="0" fontId="1" fillId="0" borderId="11" xfId="0" applyFont="1" applyBorder="1" applyAlignment="1">
      <alignment horizontal="center" vertical="top"/>
    </xf>
    <xf numFmtId="0" fontId="1" fillId="0" borderId="13" xfId="0" applyFont="1" applyBorder="1" applyAlignment="1">
      <alignment horizontal="center" vertical="top"/>
    </xf>
    <xf numFmtId="0" fontId="1" fillId="0" borderId="2" xfId="0" applyFont="1" applyBorder="1" applyAlignment="1">
      <alignment horizontal="center" vertical="top"/>
    </xf>
    <xf numFmtId="0" fontId="1" fillId="0" borderId="15" xfId="0" applyFont="1" applyBorder="1" applyAlignment="1">
      <alignment horizontal="center" vertical="top"/>
    </xf>
    <xf numFmtId="0" fontId="1" fillId="0" borderId="5" xfId="0" applyFont="1" applyBorder="1" applyAlignment="1">
      <alignment horizontal="center" vertical="top"/>
    </xf>
    <xf numFmtId="0" fontId="8" fillId="0" borderId="0" xfId="0" applyFont="1" applyBorder="1" applyAlignment="1">
      <alignment horizontal="center"/>
    </xf>
    <xf numFmtId="9" fontId="0" fillId="0" borderId="3" xfId="2" applyNumberFormat="1" applyFont="1" applyBorder="1" applyAlignment="1">
      <alignment horizontal="center" vertical="top"/>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0" fillId="0" borderId="6" xfId="0" applyBorder="1" applyAlignment="1">
      <alignment horizontal="center" vertical="top"/>
    </xf>
    <xf numFmtId="0" fontId="0" fillId="0" borderId="8" xfId="0" applyBorder="1" applyAlignment="1">
      <alignment horizontal="center" vertical="top"/>
    </xf>
    <xf numFmtId="1" fontId="0" fillId="0" borderId="2" xfId="0" applyNumberFormat="1" applyBorder="1" applyAlignment="1">
      <alignment horizontal="center" vertical="top"/>
    </xf>
    <xf numFmtId="1" fontId="0" fillId="0" borderId="3" xfId="0" applyNumberFormat="1" applyBorder="1" applyAlignment="1">
      <alignment horizontal="center" vertical="top"/>
    </xf>
    <xf numFmtId="1" fontId="0" fillId="0" borderId="5" xfId="0" applyNumberFormat="1" applyBorder="1" applyAlignment="1">
      <alignment horizontal="center" vertical="top"/>
    </xf>
    <xf numFmtId="0" fontId="0" fillId="0" borderId="3" xfId="0" applyBorder="1" applyAlignment="1">
      <alignment horizontal="center" vertical="top"/>
    </xf>
    <xf numFmtId="0" fontId="1" fillId="0" borderId="6" xfId="0" applyFont="1" applyBorder="1" applyAlignment="1">
      <alignment vertical="top"/>
    </xf>
    <xf numFmtId="0" fontId="1" fillId="0" borderId="1" xfId="0" applyFont="1" applyBorder="1" applyAlignment="1">
      <alignment horizontal="center" vertical="top" wrapText="1"/>
    </xf>
    <xf numFmtId="9" fontId="1" fillId="0" borderId="2" xfId="0" applyNumberFormat="1" applyFont="1" applyBorder="1" applyAlignment="1">
      <alignment horizontal="center" vertical="top"/>
    </xf>
    <xf numFmtId="3" fontId="33" fillId="0" borderId="11" xfId="0" applyNumberFormat="1" applyFont="1" applyBorder="1" applyAlignment="1">
      <alignment horizontal="center" vertical="top"/>
    </xf>
    <xf numFmtId="0" fontId="27" fillId="0" borderId="11" xfId="0" applyFont="1" applyBorder="1" applyAlignment="1">
      <alignment horizontal="center" wrapText="1"/>
    </xf>
    <xf numFmtId="0" fontId="35" fillId="2" borderId="3" xfId="0" applyFont="1" applyFill="1" applyBorder="1" applyAlignment="1">
      <alignment horizontal="center" wrapText="1"/>
    </xf>
    <xf numFmtId="1" fontId="36" fillId="0" borderId="3" xfId="0" applyNumberFormat="1" applyFont="1" applyFill="1" applyBorder="1" applyAlignment="1">
      <alignment horizontal="center"/>
    </xf>
    <xf numFmtId="164" fontId="36" fillId="0" borderId="2" xfId="2" applyNumberFormat="1" applyFont="1" applyBorder="1" applyAlignment="1">
      <alignment horizontal="center" vertical="top"/>
    </xf>
    <xf numFmtId="0" fontId="33" fillId="0" borderId="3" xfId="0" applyFont="1" applyBorder="1" applyAlignment="1">
      <alignment horizontal="center" vertical="top"/>
    </xf>
    <xf numFmtId="0" fontId="33" fillId="0" borderId="5" xfId="0" applyFont="1" applyBorder="1" applyAlignment="1">
      <alignment horizontal="center" vertical="top"/>
    </xf>
    <xf numFmtId="0" fontId="36" fillId="0" borderId="0" xfId="0" applyFont="1" applyAlignment="1">
      <alignment horizontal="center" vertical="top"/>
    </xf>
    <xf numFmtId="1" fontId="36" fillId="0" borderId="0" xfId="0" applyNumberFormat="1" applyFont="1" applyFill="1" applyBorder="1" applyAlignment="1">
      <alignment horizontal="center"/>
    </xf>
    <xf numFmtId="0" fontId="36" fillId="0" borderId="0" xfId="0" applyFont="1">
      <alignment vertical="top"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1" fontId="22" fillId="0" borderId="13" xfId="0" applyNumberFormat="1" applyFont="1" applyBorder="1" applyAlignment="1">
      <alignment horizontal="center" vertical="top" wrapText="1"/>
    </xf>
    <xf numFmtId="1" fontId="22" fillId="4" borderId="2" xfId="0" applyNumberFormat="1" applyFont="1" applyFill="1" applyBorder="1" applyAlignment="1">
      <alignment horizontal="center" vertical="top" wrapText="1"/>
    </xf>
    <xf numFmtId="1" fontId="8" fillId="0" borderId="15" xfId="0" applyNumberFormat="1" applyFont="1" applyBorder="1" applyAlignment="1">
      <alignment horizontal="center" vertical="top" wrapText="1"/>
    </xf>
    <xf numFmtId="1" fontId="8" fillId="0" borderId="5" xfId="0" applyNumberFormat="1" applyFont="1" applyBorder="1" applyAlignment="1">
      <alignment horizontal="center" vertical="top" wrapText="1"/>
    </xf>
    <xf numFmtId="0" fontId="1" fillId="0" borderId="6" xfId="0" applyFont="1" applyBorder="1" applyAlignment="1">
      <alignment horizontal="center" vertical="top"/>
    </xf>
    <xf numFmtId="1" fontId="1" fillId="0" borderId="6" xfId="0" applyNumberFormat="1" applyFont="1" applyBorder="1" applyAlignment="1">
      <alignment horizontal="center" vertical="top"/>
    </xf>
    <xf numFmtId="0" fontId="32" fillId="0" borderId="12" xfId="0" applyFont="1" applyFill="1" applyBorder="1" applyAlignment="1">
      <alignment horizontal="center"/>
    </xf>
    <xf numFmtId="1" fontId="8" fillId="0" borderId="6" xfId="0" applyNumberFormat="1" applyFont="1" applyFill="1" applyBorder="1" applyAlignment="1">
      <alignment horizontal="center"/>
    </xf>
    <xf numFmtId="1" fontId="8" fillId="0" borderId="7" xfId="0" applyNumberFormat="1" applyFont="1" applyFill="1" applyBorder="1" applyAlignment="1">
      <alignment horizontal="center"/>
    </xf>
    <xf numFmtId="1" fontId="8" fillId="0" borderId="8" xfId="0" applyNumberFormat="1" applyFont="1" applyFill="1" applyBorder="1" applyAlignment="1">
      <alignment horizontal="center"/>
    </xf>
    <xf numFmtId="1" fontId="0" fillId="0" borderId="12" xfId="0" applyNumberFormat="1" applyBorder="1">
      <alignment vertical="top" wrapText="1"/>
    </xf>
    <xf numFmtId="0" fontId="8" fillId="0" borderId="19" xfId="0" applyFont="1" applyBorder="1">
      <alignment vertical="top" wrapText="1"/>
    </xf>
    <xf numFmtId="0" fontId="1" fillId="0" borderId="0" xfId="0" applyFont="1">
      <alignment vertical="top" wrapText="1"/>
    </xf>
    <xf numFmtId="0" fontId="8" fillId="0" borderId="21" xfId="0" applyFont="1" applyBorder="1">
      <alignment vertical="top" wrapText="1"/>
    </xf>
    <xf numFmtId="164" fontId="32" fillId="0" borderId="9" xfId="2" applyNumberFormat="1" applyFont="1" applyFill="1" applyBorder="1" applyAlignment="1">
      <alignment horizontal="center"/>
    </xf>
    <xf numFmtId="164" fontId="32" fillId="0" borderId="10" xfId="2" applyNumberFormat="1" applyFont="1" applyFill="1" applyBorder="1" applyAlignment="1">
      <alignment horizontal="center"/>
    </xf>
    <xf numFmtId="164" fontId="32" fillId="0" borderId="11" xfId="2" applyNumberFormat="1" applyFont="1" applyFill="1" applyBorder="1" applyAlignment="1">
      <alignment horizontal="center"/>
    </xf>
    <xf numFmtId="164" fontId="37" fillId="0" borderId="10" xfId="0" applyNumberFormat="1" applyFont="1" applyBorder="1" applyAlignment="1">
      <alignment horizontal="center" vertical="top" wrapText="1"/>
    </xf>
    <xf numFmtId="164" fontId="37" fillId="0" borderId="10" xfId="0" applyNumberFormat="1" applyFont="1" applyBorder="1" applyAlignment="1">
      <alignment horizontal="center" vertical="top"/>
    </xf>
    <xf numFmtId="164" fontId="37" fillId="0" borderId="11" xfId="0" applyNumberFormat="1" applyFont="1" applyBorder="1" applyAlignment="1">
      <alignment horizontal="center" vertical="top"/>
    </xf>
    <xf numFmtId="0" fontId="2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2" fillId="0" borderId="9"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33" fillId="0" borderId="9"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cellXfs>
  <cellStyles count="15">
    <cellStyle name="Bold Border on Right" xfId="13"/>
    <cellStyle name="Comma" xfId="1" builtinId="3"/>
    <cellStyle name="Comma 2" xfId="12"/>
    <cellStyle name="Comma 3" xfId="11"/>
    <cellStyle name="Hyperlink" xfId="14" builtinId="8"/>
    <cellStyle name="Normal" xfId="0" builtinId="0" customBuiltin="1"/>
    <cellStyle name="Normal 2" xfId="3"/>
    <cellStyle name="Normal 2 2" xfId="6"/>
    <cellStyle name="Normal 3" xfId="4"/>
    <cellStyle name="Normal 3 2" xfId="9"/>
    <cellStyle name="Normal 4" xfId="5"/>
    <cellStyle name="Normal 5" xfId="7"/>
    <cellStyle name="Normal 6" xfId="8"/>
    <cellStyle name="Percent" xfId="2" builtinId="5"/>
    <cellStyle name="Percent 2" xfId="10"/>
  </cellStyles>
  <dxfs count="3">
    <dxf>
      <fill>
        <patternFill>
          <bgColor theme="6" tint="0.79998168889431442"/>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6" tint="0.79998168889431442"/>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6" tint="0.79998168889431442"/>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All CCCT Capital Cost vs. GHG Emission</a:t>
            </a:r>
            <a:r>
              <a:rPr lang="en-US" sz="1200" b="1" i="0" baseline="0">
                <a:effectLst/>
              </a:rPr>
              <a:t>- excludes oldest CCCTs, 2012 EPS</a:t>
            </a:r>
            <a:endParaRPr lang="en-US" sz="1200">
              <a:effectLst/>
            </a:endParaRPr>
          </a:p>
          <a:p>
            <a:pPr>
              <a:defRPr sz="1200"/>
            </a:pPr>
            <a:endParaRPr lang="en-US" sz="1200"/>
          </a:p>
        </c:rich>
      </c:tx>
      <c:layout>
        <c:manualLayout>
          <c:xMode val="edge"/>
          <c:yMode val="edge"/>
          <c:x val="0.10940095392812318"/>
          <c:y val="5.0694863285325395E-3"/>
        </c:manualLayout>
      </c:layout>
      <c:overlay val="1"/>
    </c:title>
    <c:autoTitleDeleted val="0"/>
    <c:plotArea>
      <c:layout>
        <c:manualLayout>
          <c:layoutTarget val="inner"/>
          <c:xMode val="edge"/>
          <c:yMode val="edge"/>
          <c:x val="0.14798709536307991"/>
          <c:y val="0.10002641389571525"/>
          <c:w val="0.74885323709536677"/>
          <c:h val="0.74692712773960579"/>
        </c:manualLayout>
      </c:layout>
      <c:scatterChart>
        <c:scatterStyle val="lineMarker"/>
        <c:varyColors val="0"/>
        <c:ser>
          <c:idx val="0"/>
          <c:order val="0"/>
          <c:spPr>
            <a:ln w="28575">
              <a:noFill/>
            </a:ln>
          </c:spPr>
          <c:trendline>
            <c:trendlineType val="linear"/>
            <c:dispRSqr val="1"/>
            <c:dispEq val="1"/>
            <c:trendlineLbl>
              <c:layout>
                <c:manualLayout>
                  <c:x val="-0.31733416135483067"/>
                  <c:y val="0.1136482939632546"/>
                </c:manualLayout>
              </c:layout>
              <c:numFmt formatCode="General" sourceLinked="0"/>
            </c:trendlineLbl>
          </c:trendline>
          <c:xVal>
            <c:numRef>
              <c:f>charts!$B$4:$B$16</c:f>
              <c:numCache>
                <c:formatCode>0</c:formatCode>
                <c:ptCount val="13"/>
                <c:pt idx="0">
                  <c:v>972.27042151595833</c:v>
                </c:pt>
                <c:pt idx="1">
                  <c:v>942.75052121031808</c:v>
                </c:pt>
                <c:pt idx="2">
                  <c:v>933.96135226232013</c:v>
                </c:pt>
                <c:pt idx="3">
                  <c:v>1056.1399489349913</c:v>
                </c:pt>
                <c:pt idx="4">
                  <c:v>1013.3858559167629</c:v>
                </c:pt>
                <c:pt idx="5">
                  <c:v>927.10877986218588</c:v>
                </c:pt>
                <c:pt idx="6">
                  <c:v>924.12940055777983</c:v>
                </c:pt>
                <c:pt idx="7">
                  <c:v>943.79330396686009</c:v>
                </c:pt>
                <c:pt idx="8">
                  <c:v>903.86962128781829</c:v>
                </c:pt>
                <c:pt idx="9">
                  <c:v>949.00721774957094</c:v>
                </c:pt>
                <c:pt idx="10">
                  <c:v>944.53814879296181</c:v>
                </c:pt>
                <c:pt idx="12">
                  <c:v>1052.7136627349239</c:v>
                </c:pt>
              </c:numCache>
            </c:numRef>
          </c:xVal>
          <c:yVal>
            <c:numRef>
              <c:f>charts!$A$4:$A$16</c:f>
              <c:numCache>
                <c:formatCode>General</c:formatCode>
                <c:ptCount val="13"/>
                <c:pt idx="0">
                  <c:v>552</c:v>
                </c:pt>
                <c:pt idx="1">
                  <c:v>568</c:v>
                </c:pt>
                <c:pt idx="2">
                  <c:v>499</c:v>
                </c:pt>
                <c:pt idx="3">
                  <c:v>644</c:v>
                </c:pt>
                <c:pt idx="4">
                  <c:v>806</c:v>
                </c:pt>
                <c:pt idx="5">
                  <c:v>546</c:v>
                </c:pt>
                <c:pt idx="6">
                  <c:v>510</c:v>
                </c:pt>
                <c:pt idx="7">
                  <c:v>495</c:v>
                </c:pt>
                <c:pt idx="8">
                  <c:v>461</c:v>
                </c:pt>
                <c:pt idx="9">
                  <c:v>569</c:v>
                </c:pt>
                <c:pt idx="10">
                  <c:v>489</c:v>
                </c:pt>
                <c:pt idx="12">
                  <c:v>853</c:v>
                </c:pt>
              </c:numCache>
            </c:numRef>
          </c:yVal>
          <c:smooth val="0"/>
          <c:extLst>
            <c:ext xmlns:c16="http://schemas.microsoft.com/office/drawing/2014/chart" uri="{C3380CC4-5D6E-409C-BE32-E72D297353CC}">
              <c16:uniqueId val="{00000000-6A49-4F22-8CDD-110F3D94251D}"/>
            </c:ext>
          </c:extLst>
        </c:ser>
        <c:dLbls>
          <c:showLegendKey val="0"/>
          <c:showVal val="0"/>
          <c:showCatName val="0"/>
          <c:showSerName val="0"/>
          <c:showPercent val="0"/>
          <c:showBubbleSize val="0"/>
        </c:dLbls>
        <c:axId val="536745952"/>
        <c:axId val="536746344"/>
      </c:scatterChart>
      <c:valAx>
        <c:axId val="536745952"/>
        <c:scaling>
          <c:orientation val="minMax"/>
          <c:max val="1100"/>
          <c:min val="850"/>
        </c:scaling>
        <c:delete val="0"/>
        <c:axPos val="b"/>
        <c:title>
          <c:tx>
            <c:rich>
              <a:bodyPr/>
              <a:lstStyle/>
              <a:p>
                <a:pPr>
                  <a:defRPr/>
                </a:pPr>
                <a:r>
                  <a:rPr lang="en-US"/>
                  <a:t>GHG emissions: Pounds/MWh</a:t>
                </a:r>
              </a:p>
            </c:rich>
          </c:tx>
          <c:overlay val="0"/>
        </c:title>
        <c:numFmt formatCode="0" sourceLinked="1"/>
        <c:majorTickMark val="out"/>
        <c:minorTickMark val="none"/>
        <c:tickLblPos val="nextTo"/>
        <c:crossAx val="536746344"/>
        <c:crosses val="autoZero"/>
        <c:crossBetween val="midCat"/>
      </c:valAx>
      <c:valAx>
        <c:axId val="536746344"/>
        <c:scaling>
          <c:orientation val="minMax"/>
          <c:min val="400"/>
        </c:scaling>
        <c:delete val="0"/>
        <c:axPos val="l"/>
        <c:majorGridlines/>
        <c:title>
          <c:tx>
            <c:rich>
              <a:bodyPr rot="-5400000" vert="horz"/>
              <a:lstStyle/>
              <a:p>
                <a:pPr>
                  <a:defRPr/>
                </a:pPr>
                <a:r>
                  <a:rPr lang="en-US"/>
                  <a:t>Capital cost: Dollars/Kilowatt</a:t>
                </a:r>
              </a:p>
            </c:rich>
          </c:tx>
          <c:layout>
            <c:manualLayout>
              <c:xMode val="edge"/>
              <c:yMode val="edge"/>
              <c:x val="2.2456911636045511E-2"/>
              <c:y val="0.20674891753180552"/>
            </c:manualLayout>
          </c:layout>
          <c:overlay val="0"/>
        </c:title>
        <c:numFmt formatCode="General" sourceLinked="1"/>
        <c:majorTickMark val="out"/>
        <c:minorTickMark val="none"/>
        <c:tickLblPos val="nextTo"/>
        <c:crossAx val="536745952"/>
        <c:crosses val="autoZero"/>
        <c:crossBetween val="midCat"/>
      </c:valAx>
    </c:plotArea>
    <c:plotVisOnly val="1"/>
    <c:dispBlanksAs val="gap"/>
    <c:showDLblsOverMax val="0"/>
  </c:chart>
  <c:spPr>
    <a:ln>
      <a:noFill/>
    </a:ln>
  </c:spPr>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734874</xdr:colOff>
      <xdr:row>1</xdr:row>
      <xdr:rowOff>23468</xdr:rowOff>
    </xdr:from>
    <xdr:to>
      <xdr:col>12</xdr:col>
      <xdr:colOff>460858</xdr:colOff>
      <xdr:row>19</xdr:row>
      <xdr:rowOff>65835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409651</xdr:colOff>
      <xdr:row>19</xdr:row>
      <xdr:rowOff>182660</xdr:rowOff>
    </xdr:from>
    <xdr:to>
      <xdr:col>19</xdr:col>
      <xdr:colOff>329184</xdr:colOff>
      <xdr:row>48</xdr:row>
      <xdr:rowOff>79737</xdr:rowOff>
    </xdr:to>
    <xdr:pic>
      <xdr:nvPicPr>
        <xdr:cNvPr id="4" name="Picture 3"/>
        <xdr:cNvPicPr>
          <a:picLocks noChangeAspect="1"/>
        </xdr:cNvPicPr>
      </xdr:nvPicPr>
      <xdr:blipFill>
        <a:blip xmlns:r="http://schemas.openxmlformats.org/officeDocument/2006/relationships" r:embed="rId2"/>
        <a:stretch>
          <a:fillRect/>
        </a:stretch>
      </xdr:blipFill>
      <xdr:spPr>
        <a:xfrm>
          <a:off x="5830214" y="3935358"/>
          <a:ext cx="7644384" cy="5551726"/>
        </a:xfrm>
        <a:prstGeom prst="rect">
          <a:avLst/>
        </a:prstGeom>
      </xdr:spPr>
    </xdr:pic>
    <xdr:clientData/>
  </xdr:twoCellAnchor>
  <xdr:twoCellAnchor editAs="oneCell">
    <xdr:from>
      <xdr:col>0</xdr:col>
      <xdr:colOff>0</xdr:colOff>
      <xdr:row>22</xdr:row>
      <xdr:rowOff>0</xdr:rowOff>
    </xdr:from>
    <xdr:to>
      <xdr:col>6</xdr:col>
      <xdr:colOff>464089</xdr:colOff>
      <xdr:row>42</xdr:row>
      <xdr:rowOff>138989</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4301338"/>
          <a:ext cx="5240915" cy="4147718"/>
        </a:xfrm>
        <a:prstGeom prst="rect">
          <a:avLst/>
        </a:prstGeom>
      </xdr:spPr>
    </xdr:pic>
    <xdr:clientData/>
  </xdr:twoCellAnchor>
  <xdr:twoCellAnchor editAs="oneCell">
    <xdr:from>
      <xdr:col>7</xdr:col>
      <xdr:colOff>380391</xdr:colOff>
      <xdr:row>49</xdr:row>
      <xdr:rowOff>43892</xdr:rowOff>
    </xdr:from>
    <xdr:to>
      <xdr:col>19</xdr:col>
      <xdr:colOff>361811</xdr:colOff>
      <xdr:row>79</xdr:row>
      <xdr:rowOff>154164</xdr:rowOff>
    </xdr:to>
    <xdr:pic>
      <xdr:nvPicPr>
        <xdr:cNvPr id="6" name="Picture 5"/>
        <xdr:cNvPicPr>
          <a:picLocks noChangeAspect="1"/>
        </xdr:cNvPicPr>
      </xdr:nvPicPr>
      <xdr:blipFill>
        <a:blip xmlns:r="http://schemas.openxmlformats.org/officeDocument/2006/relationships" r:embed="rId4"/>
        <a:stretch>
          <a:fillRect/>
        </a:stretch>
      </xdr:blipFill>
      <xdr:spPr>
        <a:xfrm>
          <a:off x="5800954" y="9634119"/>
          <a:ext cx="7706271" cy="5596672"/>
        </a:xfrm>
        <a:prstGeom prst="rect">
          <a:avLst/>
        </a:prstGeom>
      </xdr:spPr>
    </xdr:pic>
    <xdr:clientData/>
  </xdr:twoCellAnchor>
  <xdr:twoCellAnchor editAs="oneCell">
    <xdr:from>
      <xdr:col>7</xdr:col>
      <xdr:colOff>380390</xdr:colOff>
      <xdr:row>81</xdr:row>
      <xdr:rowOff>65837</xdr:rowOff>
    </xdr:from>
    <xdr:to>
      <xdr:col>19</xdr:col>
      <xdr:colOff>432912</xdr:colOff>
      <xdr:row>112</xdr:row>
      <xdr:rowOff>43891</xdr:rowOff>
    </xdr:to>
    <xdr:pic>
      <xdr:nvPicPr>
        <xdr:cNvPr id="10" name="Picture 9"/>
        <xdr:cNvPicPr>
          <a:picLocks noChangeAspect="1"/>
        </xdr:cNvPicPr>
      </xdr:nvPicPr>
      <xdr:blipFill>
        <a:blip xmlns:r="http://schemas.openxmlformats.org/officeDocument/2006/relationships" r:embed="rId5"/>
        <a:stretch>
          <a:fillRect/>
        </a:stretch>
      </xdr:blipFill>
      <xdr:spPr>
        <a:xfrm>
          <a:off x="5800953" y="15508224"/>
          <a:ext cx="7777373" cy="5647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ia.gov/environment/emissions/co2_vol_mass.php" TargetMode="External"/><Relationship Id="rId2" Type="http://schemas.openxmlformats.org/officeDocument/2006/relationships/hyperlink" Target="http://www.afdc.energy.gov/afdc/pdfs/fueltable.pdf" TargetMode="External"/><Relationship Id="rId1" Type="http://schemas.openxmlformats.org/officeDocument/2006/relationships/hyperlink" Target="http://www.nwcouncil.org/energy/powerplan/6/default.ht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showGridLines="0" workbookViewId="0">
      <selection activeCell="G13" sqref="G13"/>
    </sheetView>
  </sheetViews>
  <sheetFormatPr defaultRowHeight="14.4" x14ac:dyDescent="0.3"/>
  <cols>
    <col min="1" max="1" width="2.69921875" customWidth="1"/>
    <col min="2" max="2" width="80.69921875" customWidth="1"/>
  </cols>
  <sheetData>
    <row r="2" spans="2:2" ht="28.8" x14ac:dyDescent="0.3">
      <c r="B2" t="s">
        <v>42</v>
      </c>
    </row>
    <row r="4" spans="2:2" ht="27.25" customHeight="1" x14ac:dyDescent="0.3">
      <c r="B4" t="s">
        <v>246</v>
      </c>
    </row>
    <row r="6" spans="2:2" ht="31.25" customHeight="1" x14ac:dyDescent="0.3">
      <c r="B6" t="s">
        <v>43</v>
      </c>
    </row>
    <row r="7" spans="2:2" s="126" customFormat="1" ht="31.25" customHeight="1" x14ac:dyDescent="0.3">
      <c r="B7" s="126" t="s">
        <v>247</v>
      </c>
    </row>
    <row r="8" spans="2:2" ht="29.95" customHeight="1" x14ac:dyDescent="0.3">
      <c r="B8" t="s">
        <v>278</v>
      </c>
    </row>
    <row r="9" spans="2:2" ht="64.8" customHeight="1" x14ac:dyDescent="0.3">
      <c r="B9" s="126" t="s">
        <v>256</v>
      </c>
    </row>
    <row r="10" spans="2:2" ht="28.8" x14ac:dyDescent="0.3">
      <c r="B10" t="s">
        <v>250</v>
      </c>
    </row>
    <row r="11" spans="2:2" ht="28.8" x14ac:dyDescent="0.3">
      <c r="B11" t="s">
        <v>255</v>
      </c>
    </row>
    <row r="12" spans="2:2" x14ac:dyDescent="0.3">
      <c r="B12" s="244" t="s">
        <v>279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90" zoomScaleNormal="90" workbookViewId="0">
      <pane xSplit="1" ySplit="1" topLeftCell="B2" activePane="bottomRight" state="frozen"/>
      <selection pane="topRight" activeCell="B1" sqref="B1"/>
      <selection pane="bottomLeft" activeCell="A2" sqref="A2"/>
      <selection pane="bottomRight" activeCell="T9" sqref="T9"/>
    </sheetView>
  </sheetViews>
  <sheetFormatPr defaultRowHeight="14.4" x14ac:dyDescent="0.3"/>
  <cols>
    <col min="1" max="1" width="27.8984375" customWidth="1"/>
    <col min="2" max="2" width="17.796875" customWidth="1"/>
    <col min="3" max="3" width="14.09765625" style="36" customWidth="1"/>
    <col min="4" max="4" width="13.8984375" style="36" customWidth="1"/>
    <col min="5" max="5" width="37" style="199" customWidth="1"/>
    <col min="6" max="6" width="46" customWidth="1"/>
    <col min="7" max="7" width="45.296875" customWidth="1"/>
    <col min="8" max="8" width="47.296875" style="199" customWidth="1"/>
    <col min="9" max="9" width="50.59765625" customWidth="1"/>
    <col min="10" max="10" width="22.59765625" customWidth="1"/>
    <col min="11" max="11" width="25.09765625" customWidth="1"/>
    <col min="12" max="12" width="12.796875" customWidth="1"/>
    <col min="13" max="13" width="12.296875" customWidth="1"/>
    <col min="14" max="14" width="10.19921875" customWidth="1"/>
    <col min="15" max="15" width="10.296875" customWidth="1"/>
  </cols>
  <sheetData>
    <row r="1" spans="1:19" x14ac:dyDescent="0.25">
      <c r="A1" s="188" t="s">
        <v>18</v>
      </c>
      <c r="B1" s="193" t="s">
        <v>19</v>
      </c>
      <c r="C1" s="193" t="s">
        <v>20</v>
      </c>
      <c r="D1" s="186" t="s">
        <v>21</v>
      </c>
      <c r="E1" s="194" t="s">
        <v>178</v>
      </c>
      <c r="F1" s="187" t="s">
        <v>253</v>
      </c>
      <c r="G1" s="188" t="s">
        <v>179</v>
      </c>
      <c r="H1" s="194" t="s">
        <v>154</v>
      </c>
      <c r="I1" s="216" t="s">
        <v>254</v>
      </c>
      <c r="J1" s="324" t="s">
        <v>283</v>
      </c>
    </row>
    <row r="2" spans="1:19" x14ac:dyDescent="0.3">
      <c r="A2" s="151" t="s">
        <v>32</v>
      </c>
      <c r="B2" s="162"/>
      <c r="C2" s="85"/>
      <c r="D2" s="163"/>
      <c r="E2" s="191"/>
      <c r="F2" s="189"/>
      <c r="G2" s="190"/>
      <c r="H2" s="191"/>
      <c r="I2" s="217"/>
      <c r="J2" s="217" t="s">
        <v>289</v>
      </c>
    </row>
    <row r="3" spans="1:19" x14ac:dyDescent="0.3">
      <c r="A3" s="152" t="s">
        <v>12</v>
      </c>
      <c r="B3" s="164"/>
      <c r="C3" s="165">
        <v>8766</v>
      </c>
      <c r="D3" s="166" t="s">
        <v>13</v>
      </c>
      <c r="E3" s="195" t="s">
        <v>202</v>
      </c>
      <c r="F3" s="158" t="s">
        <v>44</v>
      </c>
      <c r="G3" s="152"/>
      <c r="H3" s="195"/>
      <c r="I3" s="158" t="s">
        <v>214</v>
      </c>
      <c r="J3" s="245" t="s">
        <v>290</v>
      </c>
    </row>
    <row r="4" spans="1:19" ht="48.85" customHeight="1" x14ac:dyDescent="0.3">
      <c r="A4" s="152" t="s">
        <v>14</v>
      </c>
      <c r="B4" s="164"/>
      <c r="C4" s="167">
        <v>0.7</v>
      </c>
      <c r="D4" s="168" t="s">
        <v>55</v>
      </c>
      <c r="E4" s="196" t="s">
        <v>180</v>
      </c>
      <c r="F4" s="159" t="s">
        <v>75</v>
      </c>
      <c r="G4" s="153" t="s">
        <v>116</v>
      </c>
      <c r="H4" s="196" t="s">
        <v>156</v>
      </c>
      <c r="I4" s="159" t="s">
        <v>215</v>
      </c>
      <c r="J4" s="236" t="s">
        <v>282</v>
      </c>
    </row>
    <row r="5" spans="1:19" ht="35.6" customHeight="1" x14ac:dyDescent="0.3">
      <c r="A5" s="152" t="s">
        <v>15</v>
      </c>
      <c r="B5" s="164"/>
      <c r="C5" s="165">
        <v>20263</v>
      </c>
      <c r="D5" s="166" t="s">
        <v>157</v>
      </c>
      <c r="E5" s="195" t="s">
        <v>181</v>
      </c>
      <c r="F5" s="160" t="s">
        <v>49</v>
      </c>
      <c r="G5" s="192" t="s">
        <v>192</v>
      </c>
      <c r="H5" s="195"/>
      <c r="I5" s="158" t="s">
        <v>216</v>
      </c>
      <c r="J5" t="s">
        <v>282</v>
      </c>
    </row>
    <row r="6" spans="1:19" ht="21.05" customHeight="1" x14ac:dyDescent="0.3">
      <c r="A6" s="152" t="s">
        <v>16</v>
      </c>
      <c r="B6" s="164"/>
      <c r="C6" s="165">
        <v>22449</v>
      </c>
      <c r="D6" s="166" t="s">
        <v>157</v>
      </c>
      <c r="E6" s="195" t="s">
        <v>182</v>
      </c>
      <c r="F6" s="160" t="s">
        <v>77</v>
      </c>
      <c r="G6" s="152"/>
      <c r="H6" s="195"/>
      <c r="I6" s="158" t="s">
        <v>217</v>
      </c>
    </row>
    <row r="7" spans="1:19" ht="70.849999999999994" customHeight="1" x14ac:dyDescent="0.3">
      <c r="A7" s="323" t="s">
        <v>10</v>
      </c>
      <c r="B7" s="164" t="s">
        <v>102</v>
      </c>
      <c r="C7" s="169">
        <v>0.02</v>
      </c>
      <c r="D7" s="166" t="s">
        <v>55</v>
      </c>
      <c r="E7" s="195" t="s">
        <v>193</v>
      </c>
      <c r="F7" s="158" t="s">
        <v>104</v>
      </c>
      <c r="G7" s="192" t="s">
        <v>50</v>
      </c>
      <c r="H7" s="196" t="s">
        <v>133</v>
      </c>
      <c r="I7" s="218" t="s">
        <v>220</v>
      </c>
      <c r="J7" s="246" t="s">
        <v>284</v>
      </c>
    </row>
    <row r="8" spans="1:19" ht="65.25" customHeight="1" x14ac:dyDescent="0.3">
      <c r="A8" s="207" t="s">
        <v>109</v>
      </c>
      <c r="B8" s="164" t="s">
        <v>103</v>
      </c>
      <c r="C8" s="169">
        <v>0.02</v>
      </c>
      <c r="D8" s="166" t="s">
        <v>55</v>
      </c>
      <c r="E8" s="195" t="s">
        <v>183</v>
      </c>
      <c r="F8" s="158" t="s">
        <v>135</v>
      </c>
      <c r="G8" s="152" t="s">
        <v>204</v>
      </c>
      <c r="H8" s="196" t="s">
        <v>184</v>
      </c>
      <c r="I8" s="219"/>
      <c r="J8" t="s">
        <v>248</v>
      </c>
    </row>
    <row r="9" spans="1:19" ht="120.85" customHeight="1" x14ac:dyDescent="0.3">
      <c r="A9" s="207" t="s">
        <v>206</v>
      </c>
      <c r="B9" s="164" t="s">
        <v>96</v>
      </c>
      <c r="C9" s="169">
        <v>3.5000000000000003E-2</v>
      </c>
      <c r="D9" s="166" t="s">
        <v>55</v>
      </c>
      <c r="E9" s="195" t="s">
        <v>194</v>
      </c>
      <c r="F9" s="160" t="s">
        <v>195</v>
      </c>
      <c r="G9" s="152" t="s">
        <v>203</v>
      </c>
      <c r="H9" s="209" t="s">
        <v>122</v>
      </c>
      <c r="I9" s="158" t="s">
        <v>285</v>
      </c>
      <c r="K9" s="236" t="s">
        <v>249</v>
      </c>
      <c r="L9" s="236" t="s">
        <v>242</v>
      </c>
      <c r="M9" s="236" t="s">
        <v>243</v>
      </c>
      <c r="N9" s="332" t="s">
        <v>244</v>
      </c>
      <c r="O9" s="332"/>
      <c r="P9" s="242"/>
      <c r="Q9" s="333" t="s">
        <v>245</v>
      </c>
      <c r="R9" s="333"/>
      <c r="S9" s="243"/>
    </row>
    <row r="10" spans="1:19" ht="45.25" customHeight="1" x14ac:dyDescent="0.3">
      <c r="A10" s="207" t="s">
        <v>95</v>
      </c>
      <c r="B10" s="164" t="s">
        <v>97</v>
      </c>
      <c r="C10" s="169">
        <v>3.5000000000000003E-2</v>
      </c>
      <c r="D10" s="166" t="s">
        <v>55</v>
      </c>
      <c r="E10" s="195" t="s">
        <v>183</v>
      </c>
      <c r="F10" s="160" t="s">
        <v>48</v>
      </c>
      <c r="G10" s="155" t="s">
        <v>115</v>
      </c>
      <c r="H10" s="209" t="s">
        <v>158</v>
      </c>
      <c r="I10" s="158" t="s">
        <v>155</v>
      </c>
      <c r="J10" s="236" t="s">
        <v>248</v>
      </c>
    </row>
    <row r="11" spans="1:19" ht="58.5" customHeight="1" x14ac:dyDescent="0.3">
      <c r="A11" s="207" t="s">
        <v>94</v>
      </c>
      <c r="B11" s="164" t="s">
        <v>98</v>
      </c>
      <c r="C11" s="169">
        <v>3.5000000000000003E-2</v>
      </c>
      <c r="D11" s="166" t="s">
        <v>55</v>
      </c>
      <c r="E11" s="195" t="s">
        <v>183</v>
      </c>
      <c r="F11" s="160" t="s">
        <v>48</v>
      </c>
      <c r="G11" s="155" t="s">
        <v>159</v>
      </c>
      <c r="H11" s="209" t="s">
        <v>286</v>
      </c>
      <c r="I11" s="158" t="s">
        <v>155</v>
      </c>
      <c r="J11" s="236" t="s">
        <v>248</v>
      </c>
    </row>
    <row r="12" spans="1:19" ht="134.35" customHeight="1" x14ac:dyDescent="0.3">
      <c r="A12" s="207" t="s">
        <v>28</v>
      </c>
      <c r="B12" s="164" t="s">
        <v>39</v>
      </c>
      <c r="C12" s="167">
        <v>0.15</v>
      </c>
      <c r="D12" s="168" t="s">
        <v>55</v>
      </c>
      <c r="E12" s="196" t="s">
        <v>196</v>
      </c>
      <c r="F12" s="161" t="s">
        <v>185</v>
      </c>
      <c r="G12" s="152" t="s">
        <v>124</v>
      </c>
      <c r="H12" s="196" t="s">
        <v>287</v>
      </c>
      <c r="I12" s="159" t="s">
        <v>239</v>
      </c>
      <c r="J12" s="236" t="s">
        <v>248</v>
      </c>
      <c r="K12" s="236" t="s">
        <v>240</v>
      </c>
      <c r="L12" s="52">
        <f>7900*C6/C5*(1+agePenalty)*(1+sysPenalty)</f>
        <v>9239.7637797956868</v>
      </c>
      <c r="M12" s="237" t="s">
        <v>241</v>
      </c>
      <c r="N12" s="52">
        <f>8500*(1+agePenalty)*(1+sysPenalty)</f>
        <v>8973.4500000000007</v>
      </c>
    </row>
    <row r="13" spans="1:19" ht="118.25" customHeight="1" x14ac:dyDescent="0.3">
      <c r="A13" s="178" t="s">
        <v>22</v>
      </c>
      <c r="B13" s="164" t="s">
        <v>29</v>
      </c>
      <c r="C13" s="170">
        <v>9200</v>
      </c>
      <c r="D13" s="168" t="s">
        <v>24</v>
      </c>
      <c r="E13" s="196" t="s">
        <v>186</v>
      </c>
      <c r="F13" s="159" t="s">
        <v>187</v>
      </c>
      <c r="G13" s="152" t="s">
        <v>160</v>
      </c>
      <c r="H13" s="210" t="s">
        <v>121</v>
      </c>
      <c r="I13" s="220" t="s">
        <v>288</v>
      </c>
      <c r="J13" s="244" t="s">
        <v>295</v>
      </c>
      <c r="K13" s="62" t="s">
        <v>297</v>
      </c>
      <c r="L13" s="52">
        <f>9400*(1-0.03)</f>
        <v>9118</v>
      </c>
      <c r="M13" s="236" t="s">
        <v>298</v>
      </c>
      <c r="N13">
        <f>9400*(1-0.02)</f>
        <v>9212</v>
      </c>
    </row>
    <row r="14" spans="1:19" s="62" customFormat="1" ht="81.25" customHeight="1" x14ac:dyDescent="0.3">
      <c r="A14" s="178" t="s">
        <v>110</v>
      </c>
      <c r="B14" s="164" t="s">
        <v>111</v>
      </c>
      <c r="C14" s="170">
        <v>9550</v>
      </c>
      <c r="D14" s="168" t="s">
        <v>24</v>
      </c>
      <c r="E14" s="196" t="s">
        <v>183</v>
      </c>
      <c r="F14" s="159" t="s">
        <v>136</v>
      </c>
      <c r="G14" s="152" t="s">
        <v>188</v>
      </c>
      <c r="H14" s="210" t="s">
        <v>123</v>
      </c>
      <c r="I14" s="221" t="s">
        <v>221</v>
      </c>
      <c r="J14" s="244" t="s">
        <v>296</v>
      </c>
      <c r="K14" s="126" t="s">
        <v>297</v>
      </c>
      <c r="L14" s="52">
        <f>9750*(1-0.03)</f>
        <v>9457.5</v>
      </c>
      <c r="M14" s="236" t="s">
        <v>298</v>
      </c>
      <c r="N14" s="62">
        <f>9750*(1-0.02)</f>
        <v>9555</v>
      </c>
    </row>
    <row r="15" spans="1:19" ht="82.8" customHeight="1" x14ac:dyDescent="0.3">
      <c r="A15" s="178" t="s">
        <v>40</v>
      </c>
      <c r="B15" s="164" t="s">
        <v>41</v>
      </c>
      <c r="C15" s="171">
        <f>opHours*0.3</f>
        <v>1840.86</v>
      </c>
      <c r="D15" s="168" t="s">
        <v>161</v>
      </c>
      <c r="E15" s="196" t="s">
        <v>197</v>
      </c>
      <c r="F15" s="161" t="s">
        <v>134</v>
      </c>
      <c r="G15" s="152" t="s">
        <v>189</v>
      </c>
      <c r="H15" s="211" t="s">
        <v>162</v>
      </c>
      <c r="I15" s="158" t="s">
        <v>222</v>
      </c>
      <c r="J15" s="245" t="s">
        <v>280</v>
      </c>
    </row>
    <row r="16" spans="1:19" s="62" customFormat="1" ht="40.35" customHeight="1" x14ac:dyDescent="0.3">
      <c r="A16" s="178" t="s">
        <v>117</v>
      </c>
      <c r="B16" s="164" t="s">
        <v>118</v>
      </c>
      <c r="C16" s="172">
        <v>1</v>
      </c>
      <c r="D16" s="168" t="s">
        <v>55</v>
      </c>
      <c r="E16" s="196" t="s">
        <v>198</v>
      </c>
      <c r="F16" s="161" t="s">
        <v>150</v>
      </c>
      <c r="G16" s="192"/>
      <c r="H16" s="211"/>
      <c r="I16" s="158" t="s">
        <v>218</v>
      </c>
      <c r="J16" s="244" t="s">
        <v>269</v>
      </c>
    </row>
    <row r="17" spans="1:10" ht="57.6" x14ac:dyDescent="0.3">
      <c r="A17" s="152" t="s">
        <v>23</v>
      </c>
      <c r="B17" s="164" t="s">
        <v>30</v>
      </c>
      <c r="C17" s="173">
        <v>117.6</v>
      </c>
      <c r="D17" s="168" t="s">
        <v>163</v>
      </c>
      <c r="E17" s="196" t="s">
        <v>190</v>
      </c>
      <c r="F17" s="159" t="s">
        <v>164</v>
      </c>
      <c r="G17" s="192" t="s">
        <v>205</v>
      </c>
      <c r="H17" s="210" t="s">
        <v>165</v>
      </c>
      <c r="I17" s="158"/>
      <c r="J17" s="246" t="s">
        <v>248</v>
      </c>
    </row>
    <row r="18" spans="1:10" ht="31.55" customHeight="1" x14ac:dyDescent="0.3">
      <c r="A18" s="152" t="s">
        <v>33</v>
      </c>
      <c r="B18" s="164"/>
      <c r="C18" s="170">
        <v>15</v>
      </c>
      <c r="D18" s="168" t="s">
        <v>38</v>
      </c>
      <c r="E18" s="196" t="s">
        <v>199</v>
      </c>
      <c r="F18" s="159" t="s">
        <v>46</v>
      </c>
      <c r="G18" s="152"/>
      <c r="H18" s="196"/>
      <c r="I18" s="158"/>
      <c r="J18" s="246" t="s">
        <v>248</v>
      </c>
    </row>
    <row r="19" spans="1:10" x14ac:dyDescent="0.3">
      <c r="A19" s="152" t="s">
        <v>34</v>
      </c>
      <c r="B19" s="164"/>
      <c r="C19" s="167">
        <v>0.6</v>
      </c>
      <c r="D19" s="168" t="s">
        <v>47</v>
      </c>
      <c r="E19" s="196" t="s">
        <v>155</v>
      </c>
      <c r="F19" s="159" t="s">
        <v>48</v>
      </c>
      <c r="G19" s="152"/>
      <c r="H19" s="196"/>
      <c r="I19" s="158"/>
    </row>
    <row r="20" spans="1:10" x14ac:dyDescent="0.3">
      <c r="A20" s="152" t="s">
        <v>35</v>
      </c>
      <c r="B20" s="164"/>
      <c r="C20" s="173">
        <v>101.325</v>
      </c>
      <c r="D20" s="168" t="s">
        <v>45</v>
      </c>
      <c r="E20" s="196" t="s">
        <v>155</v>
      </c>
      <c r="F20" s="159" t="s">
        <v>48</v>
      </c>
      <c r="G20" s="152"/>
      <c r="H20" s="196"/>
      <c r="I20" s="158"/>
    </row>
    <row r="21" spans="1:10" ht="72" x14ac:dyDescent="0.3">
      <c r="A21" s="178" t="s">
        <v>90</v>
      </c>
      <c r="B21" s="164" t="s">
        <v>92</v>
      </c>
      <c r="C21" s="174">
        <v>7.0000000000000007E-2</v>
      </c>
      <c r="D21" s="168" t="s">
        <v>55</v>
      </c>
      <c r="E21" s="196" t="s">
        <v>191</v>
      </c>
      <c r="F21" s="159" t="s">
        <v>166</v>
      </c>
      <c r="G21" s="152" t="s">
        <v>125</v>
      </c>
      <c r="H21" s="208" t="s">
        <v>207</v>
      </c>
      <c r="I21" s="225" t="s">
        <v>224</v>
      </c>
      <c r="J21" s="244" t="s">
        <v>281</v>
      </c>
    </row>
    <row r="22" spans="1:10" ht="105.55" customHeight="1" x14ac:dyDescent="0.3">
      <c r="A22" s="323" t="s">
        <v>105</v>
      </c>
      <c r="B22" s="164" t="s">
        <v>93</v>
      </c>
      <c r="C22" s="174">
        <v>0.01</v>
      </c>
      <c r="D22" s="168" t="s">
        <v>55</v>
      </c>
      <c r="E22" s="196" t="s">
        <v>211</v>
      </c>
      <c r="F22" s="154" t="s">
        <v>113</v>
      </c>
      <c r="G22" s="152" t="s">
        <v>126</v>
      </c>
      <c r="H22" s="196" t="s">
        <v>132</v>
      </c>
      <c r="I22" s="158"/>
      <c r="J22" s="236" t="s">
        <v>248</v>
      </c>
    </row>
    <row r="23" spans="1:10" s="62" customFormat="1" ht="85.25" customHeight="1" thickBot="1" x14ac:dyDescent="0.35">
      <c r="A23" s="325" t="s">
        <v>119</v>
      </c>
      <c r="B23" s="175" t="s">
        <v>112</v>
      </c>
      <c r="C23" s="176">
        <v>0.01</v>
      </c>
      <c r="D23" s="177" t="s">
        <v>55</v>
      </c>
      <c r="E23" s="197" t="s">
        <v>210</v>
      </c>
      <c r="F23" s="157" t="s">
        <v>120</v>
      </c>
      <c r="G23" s="156" t="s">
        <v>167</v>
      </c>
      <c r="H23" s="197" t="s">
        <v>225</v>
      </c>
      <c r="I23" s="222" t="s">
        <v>219</v>
      </c>
      <c r="J23" s="236" t="s">
        <v>248</v>
      </c>
    </row>
    <row r="24" spans="1:10" s="62" customFormat="1" x14ac:dyDescent="0.3">
      <c r="C24" s="65"/>
      <c r="D24" s="41"/>
      <c r="E24" s="198"/>
      <c r="G24" s="12"/>
      <c r="H24" s="199"/>
    </row>
    <row r="25" spans="1:10" x14ac:dyDescent="0.3">
      <c r="A25" s="4" t="s">
        <v>31</v>
      </c>
      <c r="B25" s="4"/>
      <c r="C25" s="2"/>
      <c r="D25" s="2"/>
      <c r="E25" s="4"/>
      <c r="F25" s="4"/>
      <c r="G25" s="4"/>
      <c r="H25" s="4"/>
    </row>
    <row r="26" spans="1:10" x14ac:dyDescent="0.3">
      <c r="A26" t="s">
        <v>25</v>
      </c>
      <c r="B26" t="s">
        <v>26</v>
      </c>
      <c r="C26" s="35">
        <f>C3*C4</f>
        <v>6136.2</v>
      </c>
      <c r="D26" s="36" t="s">
        <v>168</v>
      </c>
      <c r="G26" s="62"/>
    </row>
    <row r="27" spans="1:10" x14ac:dyDescent="0.3">
      <c r="A27" t="s">
        <v>17</v>
      </c>
      <c r="B27" t="s">
        <v>27</v>
      </c>
      <c r="C27" s="59">
        <f>C6/C5</f>
        <v>1.1078813601144943</v>
      </c>
      <c r="G27" s="62"/>
    </row>
    <row r="28" spans="1:10" x14ac:dyDescent="0.3">
      <c r="A28" t="s">
        <v>53</v>
      </c>
      <c r="C28" s="36">
        <v>2.5000000000000001E-2</v>
      </c>
      <c r="D28" s="36" t="s">
        <v>169</v>
      </c>
      <c r="G28" s="62"/>
    </row>
    <row r="29" spans="1:10" x14ac:dyDescent="0.3">
      <c r="A29" s="4" t="s">
        <v>36</v>
      </c>
      <c r="B29" s="4"/>
      <c r="C29" s="2"/>
      <c r="D29" s="2"/>
      <c r="E29" s="4"/>
      <c r="F29" s="4"/>
      <c r="G29" s="4"/>
      <c r="H29" s="4"/>
    </row>
    <row r="30" spans="1:10" ht="26.25" customHeight="1" x14ac:dyDescent="0.3">
      <c r="A30" t="s">
        <v>37</v>
      </c>
      <c r="C30" s="37">
        <f>survey!P27</f>
        <v>929.73111198422612</v>
      </c>
      <c r="D30" s="38" t="s">
        <v>137</v>
      </c>
      <c r="E30" s="200" t="s">
        <v>83</v>
      </c>
    </row>
    <row r="31" spans="1:10" ht="31" customHeight="1" x14ac:dyDescent="0.3">
      <c r="D31" s="38"/>
    </row>
    <row r="33" spans="1:7" ht="36.75" customHeight="1" x14ac:dyDescent="0.3">
      <c r="A33" s="15" t="s">
        <v>223</v>
      </c>
    </row>
    <row r="34" spans="1:7" ht="28.8" x14ac:dyDescent="0.3">
      <c r="A34" s="29" t="s">
        <v>71</v>
      </c>
      <c r="B34" s="30" t="s">
        <v>200</v>
      </c>
      <c r="C34" s="49" t="s">
        <v>84</v>
      </c>
      <c r="D34" s="31" t="s">
        <v>56</v>
      </c>
      <c r="E34" s="201" t="s">
        <v>70</v>
      </c>
      <c r="F34" s="32" t="s">
        <v>57</v>
      </c>
      <c r="G34" s="13"/>
    </row>
    <row r="35" spans="1:7" x14ac:dyDescent="0.3">
      <c r="A35" s="27" t="s">
        <v>58</v>
      </c>
      <c r="B35" s="16">
        <v>1010</v>
      </c>
      <c r="C35" s="44" t="s">
        <v>201</v>
      </c>
      <c r="D35" s="17">
        <f>B35/9.5</f>
        <v>106.31578947368421</v>
      </c>
      <c r="E35" s="202">
        <v>650</v>
      </c>
      <c r="F35" s="18">
        <f>D35/E35</f>
        <v>0.16356275303643725</v>
      </c>
      <c r="G35" s="13"/>
    </row>
    <row r="36" spans="1:7" ht="20.3" customHeight="1" x14ac:dyDescent="0.3">
      <c r="A36" s="28" t="s">
        <v>59</v>
      </c>
      <c r="B36" s="19" t="s">
        <v>60</v>
      </c>
      <c r="C36" s="44" t="s">
        <v>201</v>
      </c>
      <c r="D36" s="21">
        <v>0</v>
      </c>
      <c r="E36" s="203">
        <v>590</v>
      </c>
      <c r="F36" s="23">
        <f t="shared" ref="F36:F48" si="0">D36/E36</f>
        <v>0</v>
      </c>
      <c r="G36" s="13"/>
    </row>
    <row r="37" spans="1:7" x14ac:dyDescent="0.3">
      <c r="A37" s="28" t="s">
        <v>61</v>
      </c>
      <c r="B37" s="19" t="s">
        <v>60</v>
      </c>
      <c r="C37" s="44" t="s">
        <v>201</v>
      </c>
      <c r="D37" s="21">
        <v>0</v>
      </c>
      <c r="E37" s="203"/>
      <c r="F37" s="23">
        <v>0</v>
      </c>
      <c r="G37" s="13"/>
    </row>
    <row r="38" spans="1:7" x14ac:dyDescent="0.3">
      <c r="A38" s="28" t="s">
        <v>62</v>
      </c>
      <c r="B38" s="19">
        <v>323</v>
      </c>
      <c r="C38" s="44" t="s">
        <v>201</v>
      </c>
      <c r="D38" s="21">
        <f t="shared" ref="D38:D45" si="1">B38/9.5</f>
        <v>34</v>
      </c>
      <c r="E38" s="203">
        <v>280</v>
      </c>
      <c r="F38" s="23">
        <f t="shared" si="0"/>
        <v>0.12142857142857143</v>
      </c>
      <c r="G38" s="13"/>
    </row>
    <row r="39" spans="1:7" ht="18" customHeight="1" x14ac:dyDescent="0.3">
      <c r="A39" s="28" t="s">
        <v>63</v>
      </c>
      <c r="B39" s="19">
        <v>458</v>
      </c>
      <c r="C39" s="44" t="s">
        <v>201</v>
      </c>
      <c r="D39" s="21">
        <f t="shared" si="1"/>
        <v>48.210526315789473</v>
      </c>
      <c r="E39" s="203">
        <v>319</v>
      </c>
      <c r="F39" s="23">
        <f t="shared" si="0"/>
        <v>0.15113017653852498</v>
      </c>
      <c r="G39" s="13"/>
    </row>
    <row r="40" spans="1:7" x14ac:dyDescent="0.3">
      <c r="A40" s="28" t="s">
        <v>64</v>
      </c>
      <c r="B40" s="19">
        <v>430</v>
      </c>
      <c r="C40" s="44" t="s">
        <v>201</v>
      </c>
      <c r="D40" s="21">
        <f t="shared" si="1"/>
        <v>45.263157894736842</v>
      </c>
      <c r="E40" s="203">
        <v>318</v>
      </c>
      <c r="F40" s="23">
        <f t="shared" si="0"/>
        <v>0.14233697451175106</v>
      </c>
      <c r="G40" s="13"/>
    </row>
    <row r="41" spans="1:7" x14ac:dyDescent="0.3">
      <c r="A41" s="28" t="s">
        <v>78</v>
      </c>
      <c r="B41" s="19" t="s">
        <v>60</v>
      </c>
      <c r="C41" s="44" t="s">
        <v>201</v>
      </c>
      <c r="D41" s="21">
        <v>0</v>
      </c>
      <c r="E41" s="203">
        <v>125</v>
      </c>
      <c r="F41" s="23">
        <f t="shared" si="0"/>
        <v>0</v>
      </c>
      <c r="G41" s="13"/>
    </row>
    <row r="42" spans="1:7" x14ac:dyDescent="0.3">
      <c r="A42" s="28" t="s">
        <v>79</v>
      </c>
      <c r="B42" s="19" t="s">
        <v>60</v>
      </c>
      <c r="C42" s="44" t="s">
        <v>85</v>
      </c>
      <c r="D42" s="21">
        <v>0</v>
      </c>
      <c r="E42" s="203">
        <v>125</v>
      </c>
      <c r="F42" s="23">
        <f t="shared" si="0"/>
        <v>0</v>
      </c>
      <c r="G42" s="13"/>
    </row>
    <row r="43" spans="1:7" x14ac:dyDescent="0.3">
      <c r="A43" s="28" t="s">
        <v>80</v>
      </c>
      <c r="B43" s="19">
        <v>420</v>
      </c>
      <c r="C43" s="44" t="s">
        <v>85</v>
      </c>
      <c r="D43" s="21">
        <f t="shared" si="1"/>
        <v>44.210526315789473</v>
      </c>
      <c r="E43" s="203">
        <v>268</v>
      </c>
      <c r="F43" s="23">
        <f t="shared" si="0"/>
        <v>0.16496465043205027</v>
      </c>
      <c r="G43" s="13"/>
    </row>
    <row r="44" spans="1:7" x14ac:dyDescent="0.3">
      <c r="A44" s="28" t="s">
        <v>81</v>
      </c>
      <c r="B44" s="19">
        <v>500</v>
      </c>
      <c r="C44" s="44" t="s">
        <v>85</v>
      </c>
      <c r="D44" s="21">
        <f t="shared" si="1"/>
        <v>52.631578947368418</v>
      </c>
      <c r="E44" s="203">
        <v>270</v>
      </c>
      <c r="F44" s="23">
        <f t="shared" si="0"/>
        <v>0.19493177387914229</v>
      </c>
      <c r="G44" s="13"/>
    </row>
    <row r="45" spans="1:7" x14ac:dyDescent="0.3">
      <c r="A45" s="28" t="s">
        <v>82</v>
      </c>
      <c r="B45" s="19">
        <v>489</v>
      </c>
      <c r="C45" s="44" t="s">
        <v>85</v>
      </c>
      <c r="D45" s="21">
        <f t="shared" si="1"/>
        <v>51.473684210526315</v>
      </c>
      <c r="E45" s="203">
        <v>167</v>
      </c>
      <c r="F45" s="23">
        <f>D45/E45</f>
        <v>0.30822565395524737</v>
      </c>
      <c r="G45" s="13"/>
    </row>
    <row r="46" spans="1:7" x14ac:dyDescent="0.3">
      <c r="A46" s="28" t="s">
        <v>65</v>
      </c>
      <c r="B46" s="20"/>
      <c r="C46" s="45" t="s">
        <v>87</v>
      </c>
      <c r="D46" s="22"/>
      <c r="E46" s="203"/>
      <c r="F46" s="34">
        <v>0.2</v>
      </c>
      <c r="G46" s="14" t="s">
        <v>127</v>
      </c>
    </row>
    <row r="47" spans="1:7" x14ac:dyDescent="0.3">
      <c r="A47" s="28" t="s">
        <v>66</v>
      </c>
      <c r="B47" s="20"/>
      <c r="C47" s="45" t="s">
        <v>86</v>
      </c>
      <c r="D47" s="22">
        <v>69</v>
      </c>
      <c r="E47" s="203">
        <v>689</v>
      </c>
      <c r="F47" s="23">
        <f t="shared" si="0"/>
        <v>0.10014513788098693</v>
      </c>
      <c r="G47" s="13"/>
    </row>
    <row r="48" spans="1:7" x14ac:dyDescent="0.3">
      <c r="A48" s="28" t="s">
        <v>67</v>
      </c>
      <c r="B48" s="20"/>
      <c r="C48" s="45" t="s">
        <v>86</v>
      </c>
      <c r="D48" s="22">
        <v>25</v>
      </c>
      <c r="E48" s="203">
        <v>399</v>
      </c>
      <c r="F48" s="23">
        <f t="shared" si="0"/>
        <v>6.2656641604010022E-2</v>
      </c>
      <c r="G48" s="13"/>
    </row>
    <row r="49" spans="1:8" x14ac:dyDescent="0.3">
      <c r="A49" s="28" t="s">
        <v>68</v>
      </c>
      <c r="B49" s="20"/>
      <c r="C49" s="45" t="s">
        <v>86</v>
      </c>
      <c r="D49" s="22">
        <v>25</v>
      </c>
      <c r="E49" s="203">
        <v>281</v>
      </c>
      <c r="F49" s="24">
        <f>D49/E49</f>
        <v>8.8967971530249115E-2</v>
      </c>
      <c r="G49" s="13"/>
    </row>
    <row r="50" spans="1:8" x14ac:dyDescent="0.3">
      <c r="A50" s="28" t="s">
        <v>76</v>
      </c>
      <c r="B50" s="20"/>
      <c r="C50" s="45" t="s">
        <v>86</v>
      </c>
      <c r="D50" s="22">
        <v>5</v>
      </c>
      <c r="E50" s="203">
        <v>265</v>
      </c>
      <c r="F50" s="24">
        <f>D50/E50</f>
        <v>1.8867924528301886E-2</v>
      </c>
      <c r="G50" s="13"/>
    </row>
    <row r="51" spans="1:8" x14ac:dyDescent="0.3">
      <c r="A51" s="33" t="s">
        <v>69</v>
      </c>
      <c r="B51" s="25"/>
      <c r="C51" s="39"/>
      <c r="D51" s="40"/>
      <c r="E51" s="204"/>
      <c r="F51" s="26">
        <f>AVERAGE(F35:F50)</f>
        <v>0.10732613933282954</v>
      </c>
      <c r="G51" s="13"/>
    </row>
    <row r="52" spans="1:8" x14ac:dyDescent="0.3">
      <c r="D52" s="41"/>
      <c r="E52" s="198"/>
      <c r="F52" s="42" t="s">
        <v>83</v>
      </c>
      <c r="G52" s="12"/>
    </row>
    <row r="53" spans="1:8" x14ac:dyDescent="0.3">
      <c r="A53" s="66" t="s">
        <v>107</v>
      </c>
      <c r="E53" s="205" t="s">
        <v>89</v>
      </c>
      <c r="F53" s="43">
        <f>AVERAGE(F35,F38:F40,F43:F50)</f>
        <v>0.14310151911043939</v>
      </c>
    </row>
    <row r="54" spans="1:8" x14ac:dyDescent="0.3">
      <c r="A54" s="67" t="s">
        <v>106</v>
      </c>
      <c r="B54" s="68">
        <v>315</v>
      </c>
      <c r="C54" s="69">
        <v>34</v>
      </c>
      <c r="D54" s="70">
        <v>0.108</v>
      </c>
      <c r="E54" s="199" t="s">
        <v>100</v>
      </c>
      <c r="F54" s="51">
        <f>AVERAGE(F35:F41,F43:F44,F46:F50)</f>
        <v>0.10064232681214466</v>
      </c>
    </row>
    <row r="55" spans="1:8" x14ac:dyDescent="0.3">
      <c r="A55" s="53" t="s">
        <v>108</v>
      </c>
      <c r="B55" s="71">
        <v>780</v>
      </c>
      <c r="C55" s="72">
        <f>B56-B55</f>
        <v>102</v>
      </c>
      <c r="D55" s="73">
        <f>C55/B55</f>
        <v>0.13076923076923078</v>
      </c>
      <c r="E55" s="206" t="s">
        <v>131</v>
      </c>
      <c r="F55" s="74">
        <v>0.15</v>
      </c>
    </row>
    <row r="56" spans="1:8" x14ac:dyDescent="0.3">
      <c r="A56" s="143" t="str">
        <f>A55</f>
        <v>Carty Generating Station</v>
      </c>
      <c r="B56" s="144">
        <v>882</v>
      </c>
      <c r="C56" s="145">
        <f>C55</f>
        <v>102</v>
      </c>
      <c r="D56" s="179">
        <f>C55/B56</f>
        <v>0.11564625850340136</v>
      </c>
      <c r="F56" s="48"/>
    </row>
    <row r="57" spans="1:8" x14ac:dyDescent="0.3">
      <c r="C57"/>
      <c r="D57"/>
      <c r="G57" s="46"/>
    </row>
    <row r="58" spans="1:8" x14ac:dyDescent="0.3">
      <c r="C58"/>
      <c r="D58"/>
      <c r="G58" s="46"/>
    </row>
    <row r="59" spans="1:8" x14ac:dyDescent="0.3">
      <c r="C59"/>
      <c r="D59"/>
      <c r="G59" s="46"/>
    </row>
    <row r="60" spans="1:8" x14ac:dyDescent="0.3">
      <c r="C60"/>
      <c r="D60"/>
      <c r="G60" s="46"/>
    </row>
    <row r="61" spans="1:8" s="62" customFormat="1" x14ac:dyDescent="0.3">
      <c r="A61"/>
      <c r="B61"/>
      <c r="C61"/>
      <c r="D61"/>
      <c r="E61" s="199"/>
      <c r="F61"/>
      <c r="G61" s="46"/>
      <c r="H61" s="199"/>
    </row>
    <row r="62" spans="1:8" x14ac:dyDescent="0.3">
      <c r="C62"/>
      <c r="D62"/>
    </row>
    <row r="63" spans="1:8" ht="15" customHeight="1" x14ac:dyDescent="0.3">
      <c r="C63"/>
      <c r="D63"/>
      <c r="G63" s="47"/>
    </row>
    <row r="64" spans="1:8" x14ac:dyDescent="0.3">
      <c r="C64"/>
      <c r="D64"/>
      <c r="G64" s="47"/>
      <c r="H64" s="212"/>
    </row>
    <row r="65" spans="1:8" x14ac:dyDescent="0.3">
      <c r="C65"/>
      <c r="D65"/>
    </row>
    <row r="66" spans="1:8" x14ac:dyDescent="0.3">
      <c r="C66"/>
      <c r="D66"/>
    </row>
    <row r="67" spans="1:8" x14ac:dyDescent="0.3">
      <c r="C67"/>
      <c r="D67"/>
    </row>
    <row r="68" spans="1:8" x14ac:dyDescent="0.3">
      <c r="C68"/>
      <c r="D68"/>
    </row>
    <row r="69" spans="1:8" s="62" customFormat="1" x14ac:dyDescent="0.3">
      <c r="A69"/>
      <c r="B69"/>
      <c r="C69"/>
      <c r="D69"/>
      <c r="E69" s="199"/>
      <c r="F69"/>
      <c r="H69" s="199"/>
    </row>
    <row r="70" spans="1:8" x14ac:dyDescent="0.3">
      <c r="C70"/>
      <c r="D70"/>
    </row>
    <row r="71" spans="1:8" x14ac:dyDescent="0.3">
      <c r="C71"/>
      <c r="D71"/>
    </row>
    <row r="72" spans="1:8" x14ac:dyDescent="0.3">
      <c r="C72"/>
      <c r="D72"/>
    </row>
    <row r="73" spans="1:8" x14ac:dyDescent="0.3">
      <c r="C73"/>
      <c r="D73"/>
    </row>
    <row r="74" spans="1:8" x14ac:dyDescent="0.3">
      <c r="C74"/>
      <c r="D74"/>
    </row>
    <row r="75" spans="1:8" x14ac:dyDescent="0.3">
      <c r="C75"/>
      <c r="D75"/>
    </row>
    <row r="76" spans="1:8" x14ac:dyDescent="0.3">
      <c r="C76"/>
      <c r="D76"/>
    </row>
    <row r="77" spans="1:8" x14ac:dyDescent="0.3">
      <c r="C77"/>
      <c r="D77"/>
    </row>
    <row r="78" spans="1:8" x14ac:dyDescent="0.3">
      <c r="C78"/>
      <c r="D78"/>
    </row>
  </sheetData>
  <mergeCells count="2">
    <mergeCell ref="N9:O9"/>
    <mergeCell ref="Q9:R9"/>
  </mergeCells>
  <hyperlinks>
    <hyperlink ref="G7" r:id="rId1"/>
    <hyperlink ref="G5" r:id="rId2"/>
    <hyperlink ref="G17" r:id="rId3" display="https://www.eia.gov/environment/emissions/co2_vol_mass.php"/>
  </hyperlinks>
  <pageMargins left="0" right="0" top="0" bottom="0" header="0" footer="0"/>
  <pageSetup paperSize="5" scale="8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tabSelected="1" zoomScale="90" zoomScaleNormal="90" workbookViewId="0">
      <pane xSplit="1" ySplit="2" topLeftCell="B3" activePane="bottomRight" state="frozen"/>
      <selection pane="topRight" activeCell="B1" sqref="B1"/>
      <selection pane="bottomLeft" activeCell="A3" sqref="A3"/>
      <selection pane="bottomRight" activeCell="R44" sqref="R44"/>
    </sheetView>
  </sheetViews>
  <sheetFormatPr defaultColWidth="9.09765625" defaultRowHeight="16.149999999999999" x14ac:dyDescent="0.3"/>
  <cols>
    <col min="1" max="1" width="15.8984375" style="1" customWidth="1"/>
    <col min="2" max="2" width="6.69921875" style="1" customWidth="1"/>
    <col min="3" max="3" width="7.8984375" style="1" customWidth="1"/>
    <col min="4" max="7" width="8.69921875" style="1" customWidth="1"/>
    <col min="8" max="8" width="9.19921875" style="75" customWidth="1"/>
    <col min="9" max="9" width="9.296875" style="1" customWidth="1"/>
    <col min="10" max="12" width="8.69921875" style="1" customWidth="1"/>
    <col min="13" max="14" width="9.09765625" style="1" customWidth="1"/>
    <col min="15" max="15" width="9.296875" style="1" customWidth="1"/>
    <col min="16" max="16" width="10.796875" style="306" customWidth="1"/>
    <col min="17" max="17" width="5.8984375" customWidth="1"/>
    <col min="18" max="18" width="14.19921875" customWidth="1"/>
    <col min="19" max="19" width="10.19921875" customWidth="1"/>
    <col min="20" max="20" width="10.69921875" style="212" customWidth="1"/>
    <col min="21" max="21" width="9.59765625" style="1" customWidth="1"/>
    <col min="22" max="22" width="5.69921875" style="1" customWidth="1"/>
    <col min="23" max="23" width="13" style="1" customWidth="1"/>
    <col min="24" max="24" width="12.09765625" style="75" customWidth="1"/>
    <col min="25" max="16384" width="9.09765625" style="1"/>
  </cols>
  <sheetData>
    <row r="1" spans="1:21" ht="66.25" x14ac:dyDescent="0.3">
      <c r="A1" s="249" t="s">
        <v>262</v>
      </c>
      <c r="B1" s="247" t="s">
        <v>74</v>
      </c>
      <c r="C1" s="146" t="s">
        <v>73</v>
      </c>
      <c r="D1" s="146" t="s">
        <v>152</v>
      </c>
      <c r="E1" s="146" t="s">
        <v>52</v>
      </c>
      <c r="F1" s="184" t="s">
        <v>146</v>
      </c>
      <c r="G1" s="146" t="s">
        <v>153</v>
      </c>
      <c r="H1" s="146" t="s">
        <v>141</v>
      </c>
      <c r="I1" s="148" t="s">
        <v>72</v>
      </c>
      <c r="J1" s="147" t="s">
        <v>149</v>
      </c>
      <c r="K1" s="146" t="s">
        <v>143</v>
      </c>
      <c r="L1" s="146" t="s">
        <v>144</v>
      </c>
      <c r="M1" s="146" t="s">
        <v>91</v>
      </c>
      <c r="N1" s="149" t="s">
        <v>114</v>
      </c>
      <c r="O1" s="150" t="s">
        <v>72</v>
      </c>
      <c r="P1" s="300" t="s">
        <v>274</v>
      </c>
      <c r="R1" s="224" t="s">
        <v>260</v>
      </c>
      <c r="S1" s="262" t="s">
        <v>151</v>
      </c>
      <c r="T1" s="124"/>
    </row>
    <row r="2" spans="1:21" s="7" customFormat="1" ht="24.65" customHeight="1" x14ac:dyDescent="0.3">
      <c r="A2" s="250"/>
      <c r="B2" s="261" t="s">
        <v>257</v>
      </c>
      <c r="C2" s="261" t="s">
        <v>258</v>
      </c>
      <c r="D2" s="82" t="s">
        <v>259</v>
      </c>
      <c r="E2" s="81" t="s">
        <v>7</v>
      </c>
      <c r="F2" s="183" t="s">
        <v>8</v>
      </c>
      <c r="G2" s="81" t="s">
        <v>9</v>
      </c>
      <c r="H2" s="81" t="s">
        <v>137</v>
      </c>
      <c r="I2" s="83" t="s">
        <v>140</v>
      </c>
      <c r="J2" s="80" t="s">
        <v>9</v>
      </c>
      <c r="K2" s="81" t="s">
        <v>9</v>
      </c>
      <c r="L2" s="81" t="s">
        <v>9</v>
      </c>
      <c r="M2" s="81" t="s">
        <v>9</v>
      </c>
      <c r="N2" s="83" t="s">
        <v>9</v>
      </c>
      <c r="O2" s="80" t="s">
        <v>55</v>
      </c>
      <c r="P2" s="83" t="s">
        <v>137</v>
      </c>
      <c r="R2" s="223"/>
      <c r="T2" s="213"/>
      <c r="U2" s="11"/>
    </row>
    <row r="3" spans="1:21" x14ac:dyDescent="0.35">
      <c r="A3" s="251" t="s">
        <v>0</v>
      </c>
      <c r="B3" s="162"/>
      <c r="C3" s="84"/>
      <c r="D3" s="85"/>
      <c r="E3" s="84"/>
      <c r="F3" s="88"/>
      <c r="G3" s="89"/>
      <c r="H3" s="89"/>
      <c r="I3" s="90"/>
      <c r="J3" s="88"/>
      <c r="K3" s="84"/>
      <c r="L3" s="89"/>
      <c r="M3" s="89"/>
      <c r="N3" s="90"/>
      <c r="O3" s="88"/>
      <c r="P3" s="301"/>
      <c r="Q3" s="54"/>
      <c r="R3" s="260" t="str">
        <f>A3</f>
        <v>General Electric</v>
      </c>
      <c r="S3" s="56"/>
      <c r="T3" s="214"/>
      <c r="U3" s="55"/>
    </row>
    <row r="4" spans="1:21" ht="15" customHeight="1" x14ac:dyDescent="0.35">
      <c r="A4" s="252" t="s">
        <v>170</v>
      </c>
      <c r="B4" s="180">
        <v>1979</v>
      </c>
      <c r="C4" s="127" t="s">
        <v>4</v>
      </c>
      <c r="D4" s="180" t="s">
        <v>173</v>
      </c>
      <c r="E4" s="181">
        <v>287</v>
      </c>
      <c r="F4" s="181">
        <v>6439</v>
      </c>
      <c r="G4" s="130">
        <f t="shared" ref="G4:G6" si="0">F4*LHVtoHHV</f>
        <v>7133.6480777772294</v>
      </c>
      <c r="H4" s="130">
        <f t="shared" ref="H4:H6" si="1">G4*CO2Factor/1000</f>
        <v>838.91701394660208</v>
      </c>
      <c r="I4" s="132">
        <f t="shared" ref="I4:I6" si="2">3413/G4</f>
        <v>0.47843683383151347</v>
      </c>
      <c r="J4" s="133">
        <f t="shared" ref="J4:J6" si="3">G4/((1-sysPenaltyGE)*(1-agePenaltyGE))</f>
        <v>7543.2463548453306</v>
      </c>
      <c r="K4" s="129">
        <f>dfHeatRateS</f>
        <v>9550</v>
      </c>
      <c r="L4" s="129">
        <f t="shared" ref="L4:L6" si="4">J4+K4*dfIncrement*(dfHours*dfrate/opHours)</f>
        <v>7972.9963548453306</v>
      </c>
      <c r="M4" s="129">
        <f>L4*(1+ref!C$21)</f>
        <v>8531.1060996845044</v>
      </c>
      <c r="N4" s="134">
        <f>M4*(1+ref!C$22)*(1+ref!C$23)</f>
        <v>8702.5813322881622</v>
      </c>
      <c r="O4" s="135">
        <f t="shared" ref="O4:O6" si="5">3413/M4</f>
        <v>0.40006535613549793</v>
      </c>
      <c r="P4" s="302">
        <f>N4*CO2Factor/1000+ref!C$28</f>
        <v>1023.4485646770878</v>
      </c>
      <c r="Q4" s="126"/>
      <c r="R4" s="77">
        <f>COUNT(P4:P11)</f>
        <v>8</v>
      </c>
      <c r="S4" s="126" t="str">
        <f t="shared" ref="S4:S11" si="6">IF(P4&gt;P$27+30, "Increase", IF(P4&lt;P$27-30, "Decrease", "Hold"))</f>
        <v>Increase</v>
      </c>
      <c r="U4" s="3"/>
    </row>
    <row r="5" spans="1:21" s="75" customFormat="1" ht="15" customHeight="1" x14ac:dyDescent="0.35">
      <c r="A5" s="252" t="s">
        <v>171</v>
      </c>
      <c r="B5" s="180">
        <v>2009</v>
      </c>
      <c r="C5" s="127" t="s">
        <v>4</v>
      </c>
      <c r="D5" s="180" t="s">
        <v>139</v>
      </c>
      <c r="E5" s="181">
        <v>305</v>
      </c>
      <c r="F5" s="181">
        <v>5715</v>
      </c>
      <c r="G5" s="130">
        <f t="shared" ref="G5" si="7">F5*LHVtoHHV</f>
        <v>6331.5419730543354</v>
      </c>
      <c r="H5" s="130">
        <f t="shared" ref="H5" si="8">G5*CO2Factor/1000</f>
        <v>744.58933603118976</v>
      </c>
      <c r="I5" s="132">
        <f t="shared" ref="I5" si="9">3413/G5</f>
        <v>0.53904720438164755</v>
      </c>
      <c r="J5" s="133">
        <f t="shared" ref="J5" si="10">G5/((1-sysPenaltyGE)*(1-agePenaltyGE))</f>
        <v>6695.0850936389297</v>
      </c>
      <c r="K5" s="129">
        <f t="shared" ref="K5:K10" si="11">dfHeatRate</f>
        <v>9200</v>
      </c>
      <c r="L5" s="129">
        <f t="shared" ref="L5" si="12">J5+K5*dfIncrement*(dfHours*dfrate/opHours)</f>
        <v>7109.0850936389297</v>
      </c>
      <c r="M5" s="129">
        <f>L5*(1+ref!C$21)</f>
        <v>7606.7210501936552</v>
      </c>
      <c r="N5" s="134">
        <f>M5*(1+ref!C$22)*(1+ref!C$23)</f>
        <v>7759.6161433025482</v>
      </c>
      <c r="O5" s="135">
        <f t="shared" ref="O5" si="13">3413/M5</f>
        <v>0.44868215588280452</v>
      </c>
      <c r="P5" s="302">
        <f>N5*CO2Factor/1000+ref!C$28</f>
        <v>912.55585845237954</v>
      </c>
      <c r="Q5" s="126"/>
      <c r="R5" s="258"/>
      <c r="S5" s="246" t="str">
        <f t="shared" si="6"/>
        <v>Hold</v>
      </c>
      <c r="T5" s="125"/>
      <c r="U5" s="3"/>
    </row>
    <row r="6" spans="1:21" s="75" customFormat="1" ht="15" customHeight="1" x14ac:dyDescent="0.35">
      <c r="A6" s="252" t="s">
        <v>171</v>
      </c>
      <c r="B6" s="180">
        <v>2009</v>
      </c>
      <c r="C6" s="127" t="s">
        <v>4</v>
      </c>
      <c r="D6" s="180" t="s">
        <v>139</v>
      </c>
      <c r="E6" s="181">
        <v>305</v>
      </c>
      <c r="F6" s="181">
        <v>5715</v>
      </c>
      <c r="G6" s="130">
        <f t="shared" si="0"/>
        <v>6331.5419730543354</v>
      </c>
      <c r="H6" s="130">
        <f t="shared" si="1"/>
        <v>744.58933603118976</v>
      </c>
      <c r="I6" s="132">
        <f t="shared" si="2"/>
        <v>0.53904720438164755</v>
      </c>
      <c r="J6" s="133">
        <f t="shared" si="3"/>
        <v>6695.0850936389297</v>
      </c>
      <c r="K6" s="129">
        <f t="shared" si="11"/>
        <v>9200</v>
      </c>
      <c r="L6" s="129">
        <f t="shared" si="4"/>
        <v>7109.0850936389297</v>
      </c>
      <c r="M6" s="129">
        <f>L6*(1+ref!C$21)</f>
        <v>7606.7210501936552</v>
      </c>
      <c r="N6" s="134">
        <f>M6*(1+ref!C$22)*(1+ref!C$23)</f>
        <v>7759.6161433025482</v>
      </c>
      <c r="O6" s="135">
        <f t="shared" si="5"/>
        <v>0.44868215588280452</v>
      </c>
      <c r="P6" s="302">
        <f>N6*CO2Factor/1000+ref!C$28</f>
        <v>912.55585845237954</v>
      </c>
      <c r="Q6" s="126"/>
      <c r="R6" s="258">
        <f>R4/S$31</f>
        <v>0.4</v>
      </c>
      <c r="S6" s="126" t="str">
        <f t="shared" si="6"/>
        <v>Hold</v>
      </c>
      <c r="T6" s="125"/>
      <c r="U6" s="3"/>
    </row>
    <row r="7" spans="1:21" s="75" customFormat="1" ht="15" customHeight="1" x14ac:dyDescent="0.35">
      <c r="A7" s="252" t="s">
        <v>172</v>
      </c>
      <c r="B7" s="180">
        <v>2009</v>
      </c>
      <c r="C7" s="127" t="s">
        <v>4</v>
      </c>
      <c r="D7" s="180" t="s">
        <v>139</v>
      </c>
      <c r="E7" s="181">
        <v>376</v>
      </c>
      <c r="F7" s="181">
        <v>5660</v>
      </c>
      <c r="G7" s="130">
        <f t="shared" ref="G7" si="14">F7*LHVtoHHV</f>
        <v>6270.6084982480379</v>
      </c>
      <c r="H7" s="130">
        <f t="shared" ref="H7" si="15">G7*CO2Factor/1000</f>
        <v>737.4235593939693</v>
      </c>
      <c r="I7" s="132">
        <f t="shared" ref="I7" si="16">3413/G7</f>
        <v>0.54428529559030314</v>
      </c>
      <c r="J7" s="133">
        <f t="shared" ref="J7" si="17">G7/((1-sysPenaltyGE)*(1-agePenaltyGE))</f>
        <v>6630.652953630155</v>
      </c>
      <c r="K7" s="129">
        <f t="shared" si="11"/>
        <v>9200</v>
      </c>
      <c r="L7" s="129">
        <f t="shared" ref="L7" si="18">J7+K7*dfIncrement*(dfHours*dfrate/opHours)</f>
        <v>7044.652953630155</v>
      </c>
      <c r="M7" s="129">
        <f>L7*(1+ref!C$21)</f>
        <v>7537.778660384266</v>
      </c>
      <c r="N7" s="134">
        <f>M7*(1+ref!C$22)*(1+ref!C$23)</f>
        <v>7689.2880114579903</v>
      </c>
      <c r="O7" s="135">
        <f t="shared" ref="O7" si="19">3413/M7</f>
        <v>0.45278591396394358</v>
      </c>
      <c r="P7" s="302">
        <f>N7*CO2Factor/1000+ref!C$28</f>
        <v>904.28527014745953</v>
      </c>
      <c r="Q7" s="126"/>
      <c r="R7" s="76"/>
      <c r="S7" s="126" t="str">
        <f t="shared" si="6"/>
        <v>Hold</v>
      </c>
      <c r="T7" s="125" t="s">
        <v>291</v>
      </c>
      <c r="U7" s="3"/>
    </row>
    <row r="8" spans="1:21" ht="15" customHeight="1" x14ac:dyDescent="0.35">
      <c r="A8" s="252" t="s">
        <v>172</v>
      </c>
      <c r="B8" s="180">
        <v>2009</v>
      </c>
      <c r="C8" s="5" t="s">
        <v>4</v>
      </c>
      <c r="D8" s="180" t="s">
        <v>139</v>
      </c>
      <c r="E8" s="181">
        <v>376</v>
      </c>
      <c r="F8" s="181">
        <v>5660</v>
      </c>
      <c r="G8" s="10">
        <f t="shared" ref="G8:G11" si="20">F8*LHVtoHHV</f>
        <v>6270.6084982480379</v>
      </c>
      <c r="H8" s="10">
        <f t="shared" ref="H8:H9" si="21">G8*CO2Factor/1000</f>
        <v>737.4235593939693</v>
      </c>
      <c r="I8" s="91">
        <f t="shared" ref="I8:I9" si="22">3413/G8</f>
        <v>0.54428529559030314</v>
      </c>
      <c r="J8" s="92">
        <f t="shared" ref="J8:J9" si="23">G8/((1-sysPenaltyGE)*(1-agePenaltyGE))</f>
        <v>6630.652953630155</v>
      </c>
      <c r="K8" s="9">
        <f t="shared" si="11"/>
        <v>9200</v>
      </c>
      <c r="L8" s="9">
        <f t="shared" ref="L8:L9" si="24">J8+K8*dfIncrement*(dfHours*dfrate/opHours)</f>
        <v>7044.652953630155</v>
      </c>
      <c r="M8" s="9">
        <f>L8*(1+ref!C$21)</f>
        <v>7537.778660384266</v>
      </c>
      <c r="N8" s="93">
        <f>M8*(1+ref!C$22)*(1+ref!C$23)</f>
        <v>7689.2880114579903</v>
      </c>
      <c r="O8" s="94">
        <f t="shared" ref="O8:O24" si="25">3413/M8</f>
        <v>0.45278591396394358</v>
      </c>
      <c r="P8" s="302">
        <f>N8*CO2Factor/1000+ref!C$28</f>
        <v>904.28527014745953</v>
      </c>
      <c r="R8" s="76"/>
      <c r="S8" s="126" t="str">
        <f t="shared" si="6"/>
        <v>Hold</v>
      </c>
      <c r="T8" s="125" t="s">
        <v>291</v>
      </c>
      <c r="U8" s="3"/>
    </row>
    <row r="9" spans="1:21" ht="15" customHeight="1" x14ac:dyDescent="0.35">
      <c r="A9" s="252" t="s">
        <v>208</v>
      </c>
      <c r="B9" s="180">
        <v>2012</v>
      </c>
      <c r="C9" s="5" t="s">
        <v>5</v>
      </c>
      <c r="D9" s="180" t="s">
        <v>139</v>
      </c>
      <c r="E9" s="181">
        <v>436</v>
      </c>
      <c r="F9" s="181">
        <v>5497</v>
      </c>
      <c r="G9" s="10">
        <f t="shared" si="20"/>
        <v>6090.0238365493751</v>
      </c>
      <c r="H9" s="10">
        <f t="shared" si="21"/>
        <v>716.18680317820645</v>
      </c>
      <c r="I9" s="91">
        <f t="shared" si="22"/>
        <v>0.56042473586340102</v>
      </c>
      <c r="J9" s="92">
        <f t="shared" si="23"/>
        <v>6439.6995205132444</v>
      </c>
      <c r="K9" s="129">
        <f t="shared" si="11"/>
        <v>9200</v>
      </c>
      <c r="L9" s="9">
        <f t="shared" si="24"/>
        <v>6853.6995205132444</v>
      </c>
      <c r="M9" s="9">
        <f>L9*(1+ref!C$21)</f>
        <v>7333.4584869491719</v>
      </c>
      <c r="N9" s="93">
        <f>M9*(1+ref!C$22)*(1+ref!C$23)</f>
        <v>7480.8610025368498</v>
      </c>
      <c r="O9" s="94">
        <f t="shared" si="25"/>
        <v>0.46540114818593031</v>
      </c>
      <c r="P9" s="302">
        <f>N9*CO2Factor/1000+ref!C$28</f>
        <v>879.77425389833354</v>
      </c>
      <c r="R9" s="76"/>
      <c r="S9" s="126" t="str">
        <f t="shared" si="6"/>
        <v>Decrease</v>
      </c>
      <c r="T9" s="212" t="s">
        <v>265</v>
      </c>
      <c r="U9" s="3"/>
    </row>
    <row r="10" spans="1:21" s="75" customFormat="1" ht="15" customHeight="1" x14ac:dyDescent="0.35">
      <c r="A10" s="252" t="s">
        <v>236</v>
      </c>
      <c r="B10" s="180">
        <v>2014</v>
      </c>
      <c r="C10" s="127" t="s">
        <v>5</v>
      </c>
      <c r="D10" s="180" t="s">
        <v>139</v>
      </c>
      <c r="E10" s="181">
        <v>560</v>
      </c>
      <c r="F10" s="181">
        <v>5408</v>
      </c>
      <c r="G10" s="130">
        <f t="shared" ref="G10" si="26">F10*LHVtoHHV</f>
        <v>5991.4223954991858</v>
      </c>
      <c r="H10" s="130">
        <f t="shared" ref="H10" si="27">G10*CO2Factor/1000</f>
        <v>704.59127371070417</v>
      </c>
      <c r="I10" s="132">
        <f t="shared" ref="I10" si="28">3413/G10</f>
        <v>0.5696477021155909</v>
      </c>
      <c r="J10" s="133">
        <f t="shared" ref="J10" si="29">G10/((1-sysPenaltyGE)*(1-agePenaltyGE))</f>
        <v>6335.4366030445026</v>
      </c>
      <c r="K10" s="129">
        <f t="shared" si="11"/>
        <v>9200</v>
      </c>
      <c r="L10" s="129">
        <f t="shared" ref="L10" si="30">J10+K10*dfIncrement*(dfHours*dfrate/opHours)</f>
        <v>6749.4366030445026</v>
      </c>
      <c r="M10" s="129">
        <f>L10*(1+ref!C$21)</f>
        <v>7221.8971652576183</v>
      </c>
      <c r="N10" s="134">
        <f>M10*(1+ref!C$22)*(1+ref!C$23)</f>
        <v>7367.0572982792964</v>
      </c>
      <c r="O10" s="135">
        <f t="shared" ref="O10" si="31">3413/M10</f>
        <v>0.47259050106929235</v>
      </c>
      <c r="P10" s="302">
        <f>N10*CO2Factor/1000+ref!C$28</f>
        <v>866.3909382776452</v>
      </c>
      <c r="Q10" s="126"/>
      <c r="R10" s="76"/>
      <c r="S10" s="126" t="str">
        <f t="shared" si="6"/>
        <v>Decrease</v>
      </c>
      <c r="T10" s="212" t="s">
        <v>292</v>
      </c>
      <c r="U10" s="3"/>
    </row>
    <row r="11" spans="1:21" s="75" customFormat="1" ht="15" customHeight="1" x14ac:dyDescent="0.35">
      <c r="A11" s="252" t="s">
        <v>209</v>
      </c>
      <c r="B11" s="180">
        <v>2005</v>
      </c>
      <c r="C11" s="127" t="s">
        <v>51</v>
      </c>
      <c r="D11" s="180" t="s">
        <v>173</v>
      </c>
      <c r="E11" s="136">
        <v>101</v>
      </c>
      <c r="F11" s="181">
        <v>6707</v>
      </c>
      <c r="G11" s="130">
        <f t="shared" si="20"/>
        <v>7430.5602822879137</v>
      </c>
      <c r="H11" s="130">
        <f t="shared" ref="H11" si="32">G11*CO2Factor/1000</f>
        <v>873.83388919705862</v>
      </c>
      <c r="I11" s="132">
        <f t="shared" ref="I11" si="33">3413/G11</f>
        <v>0.45931933398555475</v>
      </c>
      <c r="J11" s="133">
        <f t="shared" ref="J11" si="34">G11/((1-sysPenaltyGE)*(1-agePenaltyGE))</f>
        <v>7857.206600706264</v>
      </c>
      <c r="K11" s="129">
        <f>dfHeatRateS</f>
        <v>9550</v>
      </c>
      <c r="L11" s="129">
        <f t="shared" ref="L11" si="35">J11+K11*dfIncrement*(dfHours*dfrate/opHours)</f>
        <v>8286.956600706264</v>
      </c>
      <c r="M11" s="129">
        <f>L11*(1+ref!C$21)</f>
        <v>8867.0435627557035</v>
      </c>
      <c r="N11" s="134">
        <f>M11*(1+ref!C$22)*(1+ref!C$23)</f>
        <v>9045.2711383670921</v>
      </c>
      <c r="O11" s="135">
        <f t="shared" ref="O11" si="36">3413/M11</f>
        <v>0.38490845069664981</v>
      </c>
      <c r="P11" s="302">
        <f>N11*CO2Factor/1000+ref!C$28</f>
        <v>1063.7488858719703</v>
      </c>
      <c r="Q11" s="126"/>
      <c r="R11" s="76"/>
      <c r="S11" s="126" t="str">
        <f t="shared" si="6"/>
        <v>Increase</v>
      </c>
      <c r="T11" s="212" t="s">
        <v>213</v>
      </c>
      <c r="U11" s="3"/>
    </row>
    <row r="12" spans="1:21" x14ac:dyDescent="0.35">
      <c r="A12" s="251" t="s">
        <v>3</v>
      </c>
      <c r="B12" s="162"/>
      <c r="C12" s="84"/>
      <c r="D12" s="85"/>
      <c r="E12" s="84"/>
      <c r="F12" s="88"/>
      <c r="G12" s="89"/>
      <c r="H12" s="89"/>
      <c r="I12" s="90"/>
      <c r="J12" s="88"/>
      <c r="K12" s="84"/>
      <c r="L12" s="89"/>
      <c r="M12" s="89"/>
      <c r="N12" s="90"/>
      <c r="O12" s="88"/>
      <c r="P12" s="301"/>
      <c r="Q12" s="54"/>
      <c r="R12" s="260" t="str">
        <f>A12</f>
        <v>Mitsubishi</v>
      </c>
      <c r="S12" s="56"/>
      <c r="T12" s="214"/>
      <c r="U12" s="55"/>
    </row>
    <row r="13" spans="1:21" ht="15" customHeight="1" x14ac:dyDescent="0.35">
      <c r="A13" s="252" t="s">
        <v>174</v>
      </c>
      <c r="B13" s="286">
        <v>2011</v>
      </c>
      <c r="C13" s="5" t="s">
        <v>6</v>
      </c>
      <c r="D13" s="180" t="s">
        <v>139</v>
      </c>
      <c r="E13" s="136">
        <v>412.4</v>
      </c>
      <c r="F13" s="181">
        <v>5735</v>
      </c>
      <c r="G13" s="10">
        <f t="shared" ref="G13:G16" si="37">F13*LHVtoHHV</f>
        <v>6353.6996002566248</v>
      </c>
      <c r="H13" s="10">
        <f>G13*CO2Factor/1000</f>
        <v>747.19507299017903</v>
      </c>
      <c r="I13" s="91">
        <f t="shared" ref="I13:I16" si="38">3413/G13</f>
        <v>0.53716735362530355</v>
      </c>
      <c r="J13" s="92">
        <f t="shared" ref="J13:J16" si="39">G13/((1-sysPenaltyOther)*(1-agePenaltyother))</f>
        <v>6718.5149627330284</v>
      </c>
      <c r="K13" s="9">
        <f t="shared" ref="K13:K16" si="40">dfHeatRate</f>
        <v>9200</v>
      </c>
      <c r="L13" s="9">
        <f t="shared" ref="L13:L16" si="41">J13+K13*dfIncrement*(dfHours*dfrate/opHours)</f>
        <v>7132.5149627330284</v>
      </c>
      <c r="M13" s="9">
        <f>L13*(1+ref!C$21)</f>
        <v>7631.7910101243406</v>
      </c>
      <c r="N13" s="93">
        <f>M13*(1+ref!C$22)*(1+ref!C$23)</f>
        <v>7785.1900094278399</v>
      </c>
      <c r="O13" s="94">
        <f t="shared" si="25"/>
        <v>0.44720826284057191</v>
      </c>
      <c r="P13" s="302">
        <f>N13*CO2Factor/1000+ref!C$28</f>
        <v>915.56334510871397</v>
      </c>
      <c r="R13" s="227"/>
      <c r="S13" s="126" t="str">
        <f>IF(P13&gt;P$27+30, "Increase", IF(P13&lt;P$27-30, "Decrease", "Hold"))</f>
        <v>Hold</v>
      </c>
      <c r="T13" s="212" t="s">
        <v>270</v>
      </c>
      <c r="U13" s="3"/>
    </row>
    <row r="14" spans="1:21" s="75" customFormat="1" ht="15" customHeight="1" x14ac:dyDescent="0.35">
      <c r="A14" s="252" t="s">
        <v>174</v>
      </c>
      <c r="B14" s="286">
        <v>2011</v>
      </c>
      <c r="C14" s="127" t="s">
        <v>6</v>
      </c>
      <c r="D14" s="180" t="s">
        <v>139</v>
      </c>
      <c r="E14" s="136">
        <v>412.4</v>
      </c>
      <c r="F14" s="181">
        <v>5735</v>
      </c>
      <c r="G14" s="130">
        <f t="shared" ref="G14" si="42">F14*LHVtoHHV</f>
        <v>6353.6996002566248</v>
      </c>
      <c r="H14" s="130">
        <f>G14*CO2Factor/1000</f>
        <v>747.19507299017903</v>
      </c>
      <c r="I14" s="132">
        <f t="shared" ref="I14" si="43">3413/G14</f>
        <v>0.53716735362530355</v>
      </c>
      <c r="J14" s="133">
        <f t="shared" ref="J14" si="44">G14/((1-sysPenaltyOther)*(1-agePenaltyother))</f>
        <v>6718.5149627330284</v>
      </c>
      <c r="K14" s="129">
        <f t="shared" si="40"/>
        <v>9200</v>
      </c>
      <c r="L14" s="129">
        <f t="shared" ref="L14" si="45">J14+K14*dfIncrement*(dfHours*dfrate/opHours)</f>
        <v>7132.5149627330284</v>
      </c>
      <c r="M14" s="129">
        <f>L14*(1+ref!C$21)</f>
        <v>7631.7910101243406</v>
      </c>
      <c r="N14" s="134">
        <f>M14*(1+ref!C$22)*(1+ref!C$23)</f>
        <v>7785.1900094278399</v>
      </c>
      <c r="O14" s="135">
        <f t="shared" ref="O14" si="46">3413/M14</f>
        <v>0.44720826284057191</v>
      </c>
      <c r="P14" s="302">
        <f>N14*CO2Factor/1000+ref!C$28</f>
        <v>915.56334510871397</v>
      </c>
      <c r="Q14" s="126"/>
      <c r="R14" s="76">
        <f>COUNT(P13:P16)</f>
        <v>4</v>
      </c>
      <c r="S14" s="126" t="str">
        <f>IF(P14&gt;P$27+30, "Increase", IF(P14&lt;P$27-30, "Decrease", "Hold"))</f>
        <v>Hold</v>
      </c>
      <c r="T14" s="125" t="s">
        <v>293</v>
      </c>
      <c r="U14" s="3"/>
    </row>
    <row r="15" spans="1:21" s="75" customFormat="1" ht="15" customHeight="1" x14ac:dyDescent="0.35">
      <c r="A15" s="252" t="s">
        <v>174</v>
      </c>
      <c r="B15" s="180">
        <v>2011</v>
      </c>
      <c r="C15" s="127" t="s">
        <v>6</v>
      </c>
      <c r="D15" s="180" t="s">
        <v>139</v>
      </c>
      <c r="E15" s="136">
        <v>412.4</v>
      </c>
      <c r="F15" s="181">
        <v>5735</v>
      </c>
      <c r="G15" s="130">
        <f t="shared" ref="G15" si="47">F15*LHVtoHHV</f>
        <v>6353.6996002566248</v>
      </c>
      <c r="H15" s="130">
        <f>G15*CO2Factor/1000</f>
        <v>747.19507299017903</v>
      </c>
      <c r="I15" s="132">
        <f t="shared" ref="I15" si="48">3413/G15</f>
        <v>0.53716735362530355</v>
      </c>
      <c r="J15" s="133">
        <f t="shared" ref="J15" si="49">G15/((1-sysPenaltyOther)*(1-agePenaltyother))</f>
        <v>6718.5149627330284</v>
      </c>
      <c r="K15" s="129">
        <f t="shared" si="40"/>
        <v>9200</v>
      </c>
      <c r="L15" s="129">
        <f t="shared" ref="L15" si="50">J15+K15*dfIncrement*(dfHours*dfrate/opHours)</f>
        <v>7132.5149627330284</v>
      </c>
      <c r="M15" s="129">
        <f>L15*(1+ref!C$21)</f>
        <v>7631.7910101243406</v>
      </c>
      <c r="N15" s="134">
        <f>M15*(1+ref!C$22)*(1+ref!C$23)</f>
        <v>7785.1900094278399</v>
      </c>
      <c r="O15" s="135">
        <f t="shared" ref="O15" si="51">3413/M15</f>
        <v>0.44720826284057191</v>
      </c>
      <c r="P15" s="302">
        <f>N15*CO2Factor/1000+ref!C$28</f>
        <v>915.56334510871397</v>
      </c>
      <c r="Q15" s="126"/>
      <c r="R15" s="258">
        <f>R14/S$31</f>
        <v>0.2</v>
      </c>
      <c r="S15" s="126" t="str">
        <f>IF(P15&gt;P$27+30, "Increase", IF(P15&lt;P$27-30, "Decrease", "Hold"))</f>
        <v>Hold</v>
      </c>
      <c r="T15" s="125" t="s">
        <v>212</v>
      </c>
      <c r="U15" s="3"/>
    </row>
    <row r="16" spans="1:21" ht="15" customHeight="1" x14ac:dyDescent="0.35">
      <c r="A16" s="252" t="s">
        <v>175</v>
      </c>
      <c r="B16" s="180">
        <v>2011</v>
      </c>
      <c r="C16" s="5" t="s">
        <v>175</v>
      </c>
      <c r="D16" s="180" t="s">
        <v>139</v>
      </c>
      <c r="E16" s="181">
        <v>470</v>
      </c>
      <c r="F16" s="181">
        <v>5594</v>
      </c>
      <c r="G16" s="10">
        <f t="shared" si="37"/>
        <v>6197.488328480481</v>
      </c>
      <c r="H16" s="10">
        <f>G16*CO2Factor/1000</f>
        <v>728.82462742930454</v>
      </c>
      <c r="I16" s="91">
        <f t="shared" si="38"/>
        <v>0.55070696693620236</v>
      </c>
      <c r="J16" s="92">
        <f t="shared" si="39"/>
        <v>6553.334385619627</v>
      </c>
      <c r="K16" s="9">
        <f t="shared" si="40"/>
        <v>9200</v>
      </c>
      <c r="L16" s="9">
        <f t="shared" si="41"/>
        <v>6967.334385619627</v>
      </c>
      <c r="M16" s="9">
        <f>L16*(1+ref!C$21)</f>
        <v>7455.0477926130015</v>
      </c>
      <c r="N16" s="93">
        <f>M16*(1+ref!C$22)*(1+ref!C$23)</f>
        <v>7604.8942532445226</v>
      </c>
      <c r="O16" s="94">
        <f t="shared" si="25"/>
        <v>0.45781061301603543</v>
      </c>
      <c r="P16" s="302">
        <f>N16*CO2Factor/1000+ref!C$28</f>
        <v>894.36056418155579</v>
      </c>
      <c r="R16" s="76"/>
      <c r="S16" s="126" t="str">
        <f>IF(P16&gt;P$27+30, "Increase", IF(P16&lt;P$27-30, "Decrease", "Hold"))</f>
        <v>Decrease</v>
      </c>
      <c r="T16" s="125" t="s">
        <v>264</v>
      </c>
      <c r="U16" s="3"/>
    </row>
    <row r="17" spans="1:24" x14ac:dyDescent="0.35">
      <c r="A17" s="251" t="s">
        <v>2</v>
      </c>
      <c r="B17" s="162"/>
      <c r="C17" s="84"/>
      <c r="D17" s="85"/>
      <c r="E17" s="84"/>
      <c r="F17" s="88"/>
      <c r="G17" s="89"/>
      <c r="H17" s="89"/>
      <c r="I17" s="90"/>
      <c r="J17" s="88"/>
      <c r="K17" s="84"/>
      <c r="L17" s="89"/>
      <c r="M17" s="89"/>
      <c r="N17" s="90"/>
      <c r="O17" s="88"/>
      <c r="P17" s="301"/>
      <c r="Q17" s="54"/>
      <c r="R17" s="260" t="str">
        <f>A17</f>
        <v>Siemens</v>
      </c>
      <c r="S17" s="56"/>
      <c r="T17" s="214"/>
      <c r="U17" s="55"/>
    </row>
    <row r="18" spans="1:24" ht="15" customHeight="1" x14ac:dyDescent="0.35">
      <c r="A18" s="252" t="s">
        <v>4</v>
      </c>
      <c r="B18" s="180">
        <v>1989</v>
      </c>
      <c r="C18" s="5" t="s">
        <v>4</v>
      </c>
      <c r="D18" s="6" t="s">
        <v>1</v>
      </c>
      <c r="E18" s="182">
        <v>370</v>
      </c>
      <c r="F18" s="181">
        <v>5863</v>
      </c>
      <c r="G18" s="10">
        <f t="shared" ref="G18:G24" si="52">F18*LHVtoHHV</f>
        <v>6495.5084143512804</v>
      </c>
      <c r="H18" s="10">
        <f t="shared" ref="H18:H24" si="53">G18*CO2Factor/1000</f>
        <v>763.87178952771058</v>
      </c>
      <c r="I18" s="91">
        <f>3413/G18</f>
        <v>0.52544000904675348</v>
      </c>
      <c r="J18" s="92">
        <f t="shared" ref="J18:J24" si="54">G18/((1-sysPenaltyOther)*(1-agePenaltySiemens))</f>
        <v>6868.4661249352657</v>
      </c>
      <c r="K18" s="9">
        <f t="shared" ref="K18:K24" si="55">dfHeatRate</f>
        <v>9200</v>
      </c>
      <c r="L18" s="9">
        <f t="shared" ref="L18:L24" si="56">J18+K18*dfIncrement*(dfHours*dfrate/opHours)</f>
        <v>7282.4661249352657</v>
      </c>
      <c r="M18" s="9">
        <f>L18*(1+ref!C$21)</f>
        <v>7792.2387536807346</v>
      </c>
      <c r="N18" s="93">
        <f>M18*(1+ref!C$22)*(1+ref!C$23)</f>
        <v>7948.8627526297169</v>
      </c>
      <c r="O18" s="94">
        <f t="shared" si="25"/>
        <v>0.43799992632256535</v>
      </c>
      <c r="P18" s="302">
        <f>N18*CO2Factor/1000+ref!C$28</f>
        <v>934.81125970925461</v>
      </c>
      <c r="R18" s="259"/>
      <c r="S18" s="259" t="str">
        <f t="shared" ref="S18:S23" si="57">IF(P18&gt;P$27+30, "Increase", IF(P18&lt;P$27-30, "Decrease", "Hold"))</f>
        <v>Hold</v>
      </c>
      <c r="U18" s="3"/>
    </row>
    <row r="19" spans="1:24" s="75" customFormat="1" ht="15" customHeight="1" x14ac:dyDescent="0.35">
      <c r="A19" s="252" t="s">
        <v>4</v>
      </c>
      <c r="B19" s="180">
        <v>1989</v>
      </c>
      <c r="C19" s="127" t="s">
        <v>4</v>
      </c>
      <c r="D19" s="128" t="s">
        <v>1</v>
      </c>
      <c r="E19" s="182">
        <v>370</v>
      </c>
      <c r="F19" s="181">
        <v>5863</v>
      </c>
      <c r="G19" s="130">
        <f t="shared" ref="G19" si="58">F19*LHVtoHHV</f>
        <v>6495.5084143512804</v>
      </c>
      <c r="H19" s="130">
        <f t="shared" ref="H19" si="59">G19*CO2Factor/1000</f>
        <v>763.87178952771058</v>
      </c>
      <c r="I19" s="132">
        <f>3413/G19</f>
        <v>0.52544000904675348</v>
      </c>
      <c r="J19" s="133">
        <f t="shared" ref="J19" si="60">G19/((1-sysPenaltyOther)*(1-agePenaltySiemens))</f>
        <v>6868.4661249352657</v>
      </c>
      <c r="K19" s="129">
        <f t="shared" si="55"/>
        <v>9200</v>
      </c>
      <c r="L19" s="129">
        <f t="shared" ref="L19" si="61">J19+K19*dfIncrement*(dfHours*dfrate/opHours)</f>
        <v>7282.4661249352657</v>
      </c>
      <c r="M19" s="129">
        <f>L19*(1+ref!C$21)</f>
        <v>7792.2387536807346</v>
      </c>
      <c r="N19" s="134">
        <f>M19*(1+ref!C$22)*(1+ref!C$23)</f>
        <v>7948.8627526297169</v>
      </c>
      <c r="O19" s="135">
        <f t="shared" ref="O19" si="62">3413/M19</f>
        <v>0.43799992632256535</v>
      </c>
      <c r="P19" s="302">
        <f>N19*CO2Factor/1000+ref!C$28</f>
        <v>934.81125970925461</v>
      </c>
      <c r="Q19" s="126"/>
      <c r="R19" s="76">
        <f>COUNT(P18:P25)</f>
        <v>8</v>
      </c>
      <c r="S19" s="126" t="str">
        <f t="shared" si="57"/>
        <v>Hold</v>
      </c>
      <c r="T19" s="212"/>
      <c r="U19" s="3"/>
    </row>
    <row r="20" spans="1:24" ht="15" customHeight="1" x14ac:dyDescent="0.35">
      <c r="A20" s="252" t="s">
        <v>4</v>
      </c>
      <c r="B20" s="180">
        <v>1989</v>
      </c>
      <c r="C20" s="5" t="s">
        <v>4</v>
      </c>
      <c r="D20" s="128" t="s">
        <v>1</v>
      </c>
      <c r="E20" s="182">
        <v>370</v>
      </c>
      <c r="F20" s="181">
        <v>5863</v>
      </c>
      <c r="G20" s="10">
        <f t="shared" si="52"/>
        <v>6495.5084143512804</v>
      </c>
      <c r="H20" s="10">
        <f t="shared" si="53"/>
        <v>763.87178952771058</v>
      </c>
      <c r="I20" s="91">
        <f t="shared" ref="I20:I24" si="63">3413/G20</f>
        <v>0.52544000904675348</v>
      </c>
      <c r="J20" s="92">
        <f t="shared" si="54"/>
        <v>6868.4661249352657</v>
      </c>
      <c r="K20" s="9">
        <f t="shared" si="55"/>
        <v>9200</v>
      </c>
      <c r="L20" s="9">
        <f t="shared" si="56"/>
        <v>7282.4661249352657</v>
      </c>
      <c r="M20" s="9">
        <f>L20*(1+ref!C$21)</f>
        <v>7792.2387536807346</v>
      </c>
      <c r="N20" s="93">
        <f>M20*(1+ref!C$22)*(1+ref!C$23)</f>
        <v>7948.8627526297169</v>
      </c>
      <c r="O20" s="94">
        <f t="shared" si="25"/>
        <v>0.43799992632256535</v>
      </c>
      <c r="P20" s="302">
        <f>N20*CO2Factor/1000+ref!C$28</f>
        <v>934.81125970925461</v>
      </c>
      <c r="R20" s="258">
        <f>R19/S$31</f>
        <v>0.4</v>
      </c>
      <c r="S20" s="126" t="str">
        <f t="shared" si="57"/>
        <v>Hold</v>
      </c>
      <c r="T20" s="125"/>
      <c r="U20" s="3"/>
    </row>
    <row r="21" spans="1:24" s="75" customFormat="1" ht="15" customHeight="1" x14ac:dyDescent="0.35">
      <c r="A21" s="252" t="s">
        <v>4</v>
      </c>
      <c r="B21" s="180">
        <v>1989</v>
      </c>
      <c r="C21" s="127" t="s">
        <v>4</v>
      </c>
      <c r="D21" s="128" t="s">
        <v>1</v>
      </c>
      <c r="E21" s="182">
        <v>370</v>
      </c>
      <c r="F21" s="181">
        <v>5863</v>
      </c>
      <c r="G21" s="130">
        <f t="shared" ref="G21" si="64">F21*LHVtoHHV</f>
        <v>6495.5084143512804</v>
      </c>
      <c r="H21" s="130">
        <f t="shared" ref="H21" si="65">G21*CO2Factor/1000</f>
        <v>763.87178952771058</v>
      </c>
      <c r="I21" s="132">
        <f t="shared" ref="I21" si="66">3413/G21</f>
        <v>0.52544000904675348</v>
      </c>
      <c r="J21" s="133">
        <f t="shared" ref="J21" si="67">G21/((1-sysPenaltyOther)*(1-agePenaltySiemens))</f>
        <v>6868.4661249352657</v>
      </c>
      <c r="K21" s="129">
        <f t="shared" si="55"/>
        <v>9200</v>
      </c>
      <c r="L21" s="129">
        <f t="shared" ref="L21" si="68">J21+K21*dfIncrement*(dfHours*dfrate/opHours)</f>
        <v>7282.4661249352657</v>
      </c>
      <c r="M21" s="129">
        <f>L21*(1+ref!C$21)</f>
        <v>7792.2387536807346</v>
      </c>
      <c r="N21" s="134">
        <f>M21*(1+ref!C$22)*(1+ref!C$23)</f>
        <v>7948.8627526297169</v>
      </c>
      <c r="O21" s="135">
        <f t="shared" ref="O21" si="69">3413/M21</f>
        <v>0.43799992632256535</v>
      </c>
      <c r="P21" s="302">
        <f>N21*CO2Factor/1000+ref!C$28</f>
        <v>934.81125970925461</v>
      </c>
      <c r="Q21" s="126"/>
      <c r="R21" s="76"/>
      <c r="S21" s="246" t="str">
        <f t="shared" si="57"/>
        <v>Hold</v>
      </c>
      <c r="T21" s="125"/>
      <c r="U21" s="3"/>
    </row>
    <row r="22" spans="1:24" s="75" customFormat="1" ht="15" customHeight="1" x14ac:dyDescent="0.35">
      <c r="A22" s="252" t="s">
        <v>4</v>
      </c>
      <c r="B22" s="180">
        <v>1989</v>
      </c>
      <c r="C22" s="127" t="s">
        <v>4</v>
      </c>
      <c r="D22" s="128" t="s">
        <v>1</v>
      </c>
      <c r="E22" s="182">
        <v>370</v>
      </c>
      <c r="F22" s="181">
        <v>5863</v>
      </c>
      <c r="G22" s="130">
        <f t="shared" si="52"/>
        <v>6495.5084143512804</v>
      </c>
      <c r="H22" s="130">
        <f t="shared" si="53"/>
        <v>763.87178952771058</v>
      </c>
      <c r="I22" s="132">
        <f t="shared" si="63"/>
        <v>0.52544000904675348</v>
      </c>
      <c r="J22" s="133">
        <f t="shared" si="54"/>
        <v>6868.4661249352657</v>
      </c>
      <c r="K22" s="129">
        <f t="shared" si="55"/>
        <v>9200</v>
      </c>
      <c r="L22" s="129">
        <f t="shared" si="56"/>
        <v>7282.4661249352657</v>
      </c>
      <c r="M22" s="129">
        <f>L22*(1+ref!C$21)</f>
        <v>7792.2387536807346</v>
      </c>
      <c r="N22" s="134">
        <f>M22*(1+ref!C$22)*(1+ref!C$23)</f>
        <v>7948.8627526297169</v>
      </c>
      <c r="O22" s="135">
        <f t="shared" si="25"/>
        <v>0.43799992632256535</v>
      </c>
      <c r="P22" s="302">
        <f>N22*CO2Factor/1000+ref!C$28</f>
        <v>934.81125970925461</v>
      </c>
      <c r="Q22" s="126"/>
      <c r="R22" s="76"/>
      <c r="S22" s="126" t="str">
        <f t="shared" si="57"/>
        <v>Hold</v>
      </c>
      <c r="T22" s="125"/>
      <c r="U22" s="3"/>
    </row>
    <row r="23" spans="1:24" s="75" customFormat="1" ht="15" customHeight="1" x14ac:dyDescent="0.35">
      <c r="A23" s="252" t="s">
        <v>4</v>
      </c>
      <c r="B23" s="180">
        <v>1989</v>
      </c>
      <c r="C23" s="127" t="s">
        <v>4</v>
      </c>
      <c r="D23" s="128" t="s">
        <v>1</v>
      </c>
      <c r="E23" s="182">
        <v>370</v>
      </c>
      <c r="F23" s="181">
        <v>5863</v>
      </c>
      <c r="G23" s="130">
        <f t="shared" ref="G23" si="70">F23*LHVtoHHV</f>
        <v>6495.5084143512804</v>
      </c>
      <c r="H23" s="130">
        <f t="shared" ref="H23" si="71">G23*CO2Factor/1000</f>
        <v>763.87178952771058</v>
      </c>
      <c r="I23" s="132">
        <f t="shared" ref="I23" si="72">3413/G23</f>
        <v>0.52544000904675348</v>
      </c>
      <c r="J23" s="133">
        <f t="shared" ref="J23" si="73">G23/((1-sysPenaltyOther)*(1-agePenaltySiemens))</f>
        <v>6868.4661249352657</v>
      </c>
      <c r="K23" s="129">
        <f t="shared" si="55"/>
        <v>9200</v>
      </c>
      <c r="L23" s="129">
        <f t="shared" ref="L23" si="74">J23+K23*dfIncrement*(dfHours*dfrate/opHours)</f>
        <v>7282.4661249352657</v>
      </c>
      <c r="M23" s="129">
        <f>L23*(1+ref!C$21)</f>
        <v>7792.2387536807346</v>
      </c>
      <c r="N23" s="134">
        <f>M23*(1+ref!C$22)*(1+ref!C$23)</f>
        <v>7948.8627526297169</v>
      </c>
      <c r="O23" s="135">
        <f t="shared" ref="O23" si="75">3413/M23</f>
        <v>0.43799992632256535</v>
      </c>
      <c r="P23" s="302">
        <f>N23*CO2Factor/1000+ref!C$28</f>
        <v>934.81125970925461</v>
      </c>
      <c r="Q23" s="126"/>
      <c r="R23" s="76"/>
      <c r="S23" s="126" t="str">
        <f t="shared" si="57"/>
        <v>Hold</v>
      </c>
      <c r="T23" s="125"/>
      <c r="U23" s="3"/>
    </row>
    <row r="24" spans="1:24" ht="15" customHeight="1" x14ac:dyDescent="0.35">
      <c r="A24" s="252" t="s">
        <v>5</v>
      </c>
      <c r="B24" s="286">
        <v>2010</v>
      </c>
      <c r="C24" s="127" t="s">
        <v>5</v>
      </c>
      <c r="D24" s="128" t="s">
        <v>1</v>
      </c>
      <c r="E24" s="182">
        <v>460</v>
      </c>
      <c r="F24" s="181">
        <v>5611</v>
      </c>
      <c r="G24" s="10">
        <f t="shared" si="52"/>
        <v>6216.3223116024274</v>
      </c>
      <c r="H24" s="10">
        <f t="shared" si="53"/>
        <v>731.03950384444545</v>
      </c>
      <c r="I24" s="91">
        <f t="shared" si="63"/>
        <v>0.54903845536287932</v>
      </c>
      <c r="J24" s="92">
        <f t="shared" si="54"/>
        <v>6573.2497743496115</v>
      </c>
      <c r="K24" s="9">
        <f t="shared" si="55"/>
        <v>9200</v>
      </c>
      <c r="L24" s="9">
        <f t="shared" si="56"/>
        <v>6987.2497743496115</v>
      </c>
      <c r="M24" s="9">
        <f>L24*(1+ref!C$21)</f>
        <v>7476.3572585540851</v>
      </c>
      <c r="N24" s="93">
        <f>M24*(1+ref!C$22)*(1+ref!C$23)</f>
        <v>7626.6320394510221</v>
      </c>
      <c r="O24" s="94">
        <f t="shared" si="25"/>
        <v>0.45650573962273017</v>
      </c>
      <c r="P24" s="302">
        <f>N24*CO2Factor/1000+ref!C$28</f>
        <v>896.91692783944018</v>
      </c>
      <c r="R24" s="76"/>
      <c r="S24" s="126" t="str">
        <f t="shared" ref="S24" si="76">IF(P24&gt;P$27+30, "Increase", IF(P24&lt;P$27-30, "Decrease", "Hold"))</f>
        <v>Decrease</v>
      </c>
      <c r="T24" s="212" t="s">
        <v>294</v>
      </c>
      <c r="U24" s="3"/>
    </row>
    <row r="25" spans="1:24" ht="15" customHeight="1" x14ac:dyDescent="0.35">
      <c r="A25" s="252" t="s">
        <v>176</v>
      </c>
      <c r="B25" s="180">
        <v>2010</v>
      </c>
      <c r="C25" s="127" t="s">
        <v>51</v>
      </c>
      <c r="D25" s="128" t="s">
        <v>251</v>
      </c>
      <c r="E25" s="142">
        <v>143.6</v>
      </c>
      <c r="F25" s="181">
        <v>6155</v>
      </c>
      <c r="G25" s="130">
        <f t="shared" ref="G25" si="77">F25*LHVtoHHV</f>
        <v>6819.0097715047123</v>
      </c>
      <c r="H25" s="130">
        <f t="shared" ref="H25" si="78">G25*CO2Factor/1000</f>
        <v>801.91554912895401</v>
      </c>
      <c r="I25" s="132">
        <f t="shared" ref="I25" si="79">3413/G25</f>
        <v>0.50051255451520971</v>
      </c>
      <c r="J25" s="133">
        <f t="shared" ref="J25" si="80">G25/((1-sysPenaltyOther)*(1-agePenaltySiemens))</f>
        <v>7210.5422137091173</v>
      </c>
      <c r="K25" s="129">
        <f>dfHeatRateS</f>
        <v>9550</v>
      </c>
      <c r="L25" s="129">
        <f t="shared" ref="L25" si="81">J25+K25*dfIncrement*(dfHours*dfrate/opHours)</f>
        <v>7640.2922137091173</v>
      </c>
      <c r="M25" s="129">
        <f>L25*(1+ref!C$21)</f>
        <v>8175.1126686687558</v>
      </c>
      <c r="N25" s="134">
        <f>M25*(1+ref!C$22)*(1+ref!C$23)</f>
        <v>8339.4324333089971</v>
      </c>
      <c r="O25" s="135">
        <f t="shared" ref="O25" si="82">3413/M25</f>
        <v>0.41748660089791478</v>
      </c>
      <c r="P25" s="302">
        <f>N25*CO2Factor/1000+ref!C$28</f>
        <v>980.74225415713806</v>
      </c>
      <c r="Q25" s="126"/>
      <c r="R25" s="131"/>
      <c r="S25" s="126" t="str">
        <f>IF(P25&gt;P$27+30, "Increase", IF(P25&lt;P$27-30, "Decrease", "Hold"))</f>
        <v>Increase</v>
      </c>
      <c r="T25" s="125" t="s">
        <v>252</v>
      </c>
      <c r="U25" s="3"/>
    </row>
    <row r="26" spans="1:24" x14ac:dyDescent="0.35">
      <c r="A26" s="251" t="s">
        <v>145</v>
      </c>
      <c r="B26" s="248"/>
      <c r="C26" s="86"/>
      <c r="D26" s="87"/>
      <c r="E26" s="86"/>
      <c r="F26" s="88"/>
      <c r="G26" s="89"/>
      <c r="H26" s="89"/>
      <c r="I26" s="90"/>
      <c r="J26" s="88"/>
      <c r="K26" s="84"/>
      <c r="L26" s="89"/>
      <c r="M26" s="89"/>
      <c r="N26" s="90"/>
      <c r="O26" s="88"/>
      <c r="P26" s="301"/>
      <c r="Q26" s="54"/>
      <c r="R26" s="54"/>
      <c r="S26" s="54"/>
      <c r="T26" s="215"/>
      <c r="U26" s="55"/>
    </row>
    <row r="27" spans="1:24" ht="32" customHeight="1" x14ac:dyDescent="0.3">
      <c r="A27" s="253" t="s">
        <v>138</v>
      </c>
      <c r="B27" s="95"/>
      <c r="C27" s="96"/>
      <c r="D27" s="96"/>
      <c r="E27" s="96"/>
      <c r="F27" s="185">
        <f>AVERAGE(F3:F25)</f>
        <v>5827.2</v>
      </c>
      <c r="G27" s="98">
        <f>AVERAGE(G3:G25)</f>
        <v>6455.8462616591814</v>
      </c>
      <c r="H27" s="98">
        <f>AVERAGE(H3:H25)</f>
        <v>759.20752037112004</v>
      </c>
      <c r="I27" s="99">
        <f>AVERAGE(I3:I25)</f>
        <v>0.52994468488553426</v>
      </c>
      <c r="J27" s="97">
        <f>AVERAGE(J3:J25)</f>
        <v>6826.526659256825</v>
      </c>
      <c r="K27" s="98"/>
      <c r="L27" s="98">
        <f>AVERAGE(L3:L25)</f>
        <v>7242.889159256827</v>
      </c>
      <c r="M27" s="98">
        <f>AVERAGE(M3:M25)</f>
        <v>7749.8914004048056</v>
      </c>
      <c r="N27" s="100">
        <f>AVERAGE(N3:N25)</f>
        <v>7905.6642175529414</v>
      </c>
      <c r="O27" s="122">
        <f>AVERAGE(O3:O25)</f>
        <v>0.44136644478873271</v>
      </c>
      <c r="P27" s="299">
        <f>AVERAGE(P3:P25)</f>
        <v>929.73111198422612</v>
      </c>
      <c r="R27" s="226" t="s">
        <v>261</v>
      </c>
      <c r="S27" s="263" t="s">
        <v>271</v>
      </c>
      <c r="T27" s="264" t="s">
        <v>55</v>
      </c>
      <c r="U27" s="8"/>
      <c r="W27" s="289" t="s">
        <v>231</v>
      </c>
      <c r="X27" s="288" t="s">
        <v>272</v>
      </c>
    </row>
    <row r="28" spans="1:24" x14ac:dyDescent="0.3">
      <c r="A28" s="108" t="s">
        <v>142</v>
      </c>
      <c r="B28" s="102"/>
      <c r="C28" s="102"/>
      <c r="D28" s="102"/>
      <c r="E28" s="102"/>
      <c r="F28" s="103"/>
      <c r="G28" s="104">
        <f>(G27-F27)/F27</f>
        <v>0.10788136011449438</v>
      </c>
      <c r="H28" s="104"/>
      <c r="I28" s="105"/>
      <c r="J28" s="106">
        <f>(J27-G27)/G27</f>
        <v>5.7417785767156275E-2</v>
      </c>
      <c r="K28" s="102"/>
      <c r="L28" s="104">
        <f>(L27-J27)/J27</f>
        <v>6.0991851461593735E-2</v>
      </c>
      <c r="M28" s="104">
        <f>(M27-L27)/L27</f>
        <v>7.000000000000009E-2</v>
      </c>
      <c r="N28" s="107">
        <f>(N27-M27)/M27</f>
        <v>2.0099999999999899E-2</v>
      </c>
      <c r="O28" s="121">
        <f>(N27-G27)/G27</f>
        <v>0.22457442403858457</v>
      </c>
      <c r="P28" s="303">
        <f>(P27-H27)/H27</f>
        <v>0.22460735311176816</v>
      </c>
      <c r="R28" s="227" t="s">
        <v>226</v>
      </c>
      <c r="S28" s="79">
        <f>COUNTIF(C4:C25, "Aero")</f>
        <v>2</v>
      </c>
      <c r="T28" s="287">
        <f>S28/S$31</f>
        <v>0.1</v>
      </c>
      <c r="W28" s="290" t="str">
        <f>R35</f>
        <v>General Electric</v>
      </c>
      <c r="X28" s="292">
        <f>Z35</f>
        <v>8</v>
      </c>
    </row>
    <row r="29" spans="1:24" x14ac:dyDescent="0.3">
      <c r="A29" s="108" t="s">
        <v>148</v>
      </c>
      <c r="B29" s="102"/>
      <c r="C29" s="102"/>
      <c r="D29" s="102"/>
      <c r="E29" s="102"/>
      <c r="F29" s="103"/>
      <c r="G29" s="109">
        <f>G27*CO2Factor/1000</f>
        <v>759.2075203711197</v>
      </c>
      <c r="H29" s="109"/>
      <c r="I29" s="105"/>
      <c r="J29" s="110">
        <f>J27*CO2Factor/1000</f>
        <v>802.79953512860266</v>
      </c>
      <c r="K29" s="111"/>
      <c r="L29" s="109">
        <f>L27*CO2Factor/1000</f>
        <v>851.76376512860281</v>
      </c>
      <c r="M29" s="109">
        <f>M27*CO2Factor/1000</f>
        <v>911.3872286876051</v>
      </c>
      <c r="N29" s="112">
        <f>N27*CO2Factor/1000</f>
        <v>929.70611198422591</v>
      </c>
      <c r="O29" s="103"/>
      <c r="P29" s="304" t="s">
        <v>54</v>
      </c>
      <c r="R29" s="227" t="s">
        <v>227</v>
      </c>
      <c r="S29" s="79">
        <f>COUNTIF(C4:C25, "F") +COUNTIF(C4:C25, "G")</f>
        <v>14</v>
      </c>
      <c r="T29" s="287">
        <f t="shared" ref="T29:T30" si="83">S29/S$31</f>
        <v>0.7</v>
      </c>
      <c r="U29" s="63"/>
      <c r="W29" s="238" t="str">
        <f>R37</f>
        <v>Siemens</v>
      </c>
      <c r="X29" s="293">
        <f>Z37</f>
        <v>8</v>
      </c>
    </row>
    <row r="30" spans="1:24" x14ac:dyDescent="0.3">
      <c r="A30" s="256" t="s">
        <v>147</v>
      </c>
      <c r="B30" s="113"/>
      <c r="C30" s="113"/>
      <c r="D30" s="113"/>
      <c r="E30" s="113"/>
      <c r="F30" s="114"/>
      <c r="G30" s="115">
        <f>STDEV(G4:G11,G13:G16,G18:G25)*CO2Factor/1000</f>
        <v>39.607914558380585</v>
      </c>
      <c r="H30" s="115"/>
      <c r="I30" s="116"/>
      <c r="J30" s="117">
        <f>STDEV(J4:J11,J13:J16,J18:J25)*CO2Factor/1000</f>
        <v>41.88211331117752</v>
      </c>
      <c r="K30" s="113"/>
      <c r="L30" s="115">
        <f>STDEV(L4:L11,L13:L16,L18:L25)*CO2Factor/1000</f>
        <v>42.466946462256999</v>
      </c>
      <c r="M30" s="115">
        <f>STDEV(M4:M11,M13:M16,M18:M25)*CO2Factor/1000</f>
        <v>45.439632714615001</v>
      </c>
      <c r="N30" s="118">
        <f>STDEV(N4:N11,N13:N16,N18:N25)*CO2Factor/1000</f>
        <v>46.352969332178745</v>
      </c>
      <c r="O30" s="114"/>
      <c r="P30" s="305">
        <f>COUNT(P3:P25)</f>
        <v>20</v>
      </c>
      <c r="R30" s="227" t="s">
        <v>228</v>
      </c>
      <c r="S30" s="79">
        <f>COUNTIF(C4:C25, "H") +COUNTIF(C4:C25, "J")</f>
        <v>4</v>
      </c>
      <c r="T30" s="287">
        <f t="shared" si="83"/>
        <v>0.2</v>
      </c>
      <c r="W30" s="291" t="str">
        <f>R39</f>
        <v>Mitsubishi</v>
      </c>
      <c r="X30" s="294">
        <f>Z39</f>
        <v>4</v>
      </c>
    </row>
    <row r="31" spans="1:24" x14ac:dyDescent="0.3">
      <c r="G31" s="58"/>
      <c r="H31" s="58"/>
      <c r="R31" s="296" t="s">
        <v>229</v>
      </c>
      <c r="S31" s="297">
        <f>SUM(S28:S30)</f>
        <v>20</v>
      </c>
      <c r="T31" s="298">
        <f>SUM(T28:T30)</f>
        <v>1</v>
      </c>
      <c r="U31" s="273"/>
      <c r="V31" s="295"/>
      <c r="W31" s="316" t="s">
        <v>229</v>
      </c>
      <c r="X31" s="317">
        <f>SUM(X28:X30)</f>
        <v>20</v>
      </c>
    </row>
    <row r="32" spans="1:24" ht="38.6" customHeight="1" x14ac:dyDescent="0.3">
      <c r="A32" s="257" t="s">
        <v>177</v>
      </c>
      <c r="G32" s="75"/>
      <c r="N32" s="78"/>
      <c r="R32" s="337" t="s">
        <v>299</v>
      </c>
      <c r="S32" s="338"/>
      <c r="T32" s="338"/>
      <c r="U32" s="339"/>
    </row>
    <row r="33" spans="5:26" x14ac:dyDescent="0.25">
      <c r="E33" s="75"/>
      <c r="G33" s="123"/>
      <c r="O33" s="75"/>
      <c r="Q33" s="1"/>
      <c r="R33" s="272" t="s">
        <v>231</v>
      </c>
      <c r="S33" s="334" t="s">
        <v>263</v>
      </c>
      <c r="T33" s="335"/>
      <c r="U33" s="336"/>
      <c r="V33" s="270" t="s">
        <v>229</v>
      </c>
      <c r="W33" s="270" t="s">
        <v>267</v>
      </c>
      <c r="X33" s="270" t="s">
        <v>268</v>
      </c>
      <c r="Y33" s="282" t="s">
        <v>238</v>
      </c>
      <c r="Z33" s="283" t="s">
        <v>230</v>
      </c>
    </row>
    <row r="34" spans="5:26" x14ac:dyDescent="0.35">
      <c r="E34" s="75"/>
      <c r="G34" s="123"/>
      <c r="N34" s="235"/>
      <c r="O34" s="119"/>
      <c r="P34" s="307"/>
      <c r="Q34" s="120"/>
      <c r="R34" s="228"/>
      <c r="S34" s="229" t="s">
        <v>273</v>
      </c>
      <c r="T34" s="229" t="s">
        <v>275</v>
      </c>
      <c r="U34" s="230" t="s">
        <v>276</v>
      </c>
      <c r="V34" s="238"/>
      <c r="W34" s="238"/>
      <c r="X34" s="273"/>
      <c r="Y34" s="284" t="s">
        <v>237</v>
      </c>
      <c r="Z34" s="285" t="s">
        <v>237</v>
      </c>
    </row>
    <row r="35" spans="5:26" x14ac:dyDescent="0.35">
      <c r="N35" s="235"/>
      <c r="O35" s="119"/>
      <c r="P35" s="307"/>
      <c r="Q35" s="120"/>
      <c r="R35" s="228" t="s">
        <v>0</v>
      </c>
      <c r="S35" s="229">
        <v>5</v>
      </c>
      <c r="T35" s="229">
        <v>23</v>
      </c>
      <c r="U35" s="230">
        <v>3</v>
      </c>
      <c r="V35" s="266">
        <f>S35+T35+U35</f>
        <v>31</v>
      </c>
      <c r="W35" s="239">
        <f>V35/V41</f>
        <v>0.40259740259740262</v>
      </c>
      <c r="X35" s="274">
        <f>R6</f>
        <v>0.4</v>
      </c>
      <c r="Y35" s="254">
        <f>W35*S$31</f>
        <v>8.0519480519480524</v>
      </c>
      <c r="Z35" s="277">
        <f>COUNT(P4:P11)</f>
        <v>8</v>
      </c>
    </row>
    <row r="36" spans="5:26" x14ac:dyDescent="0.35">
      <c r="N36" s="235"/>
      <c r="O36" s="119"/>
      <c r="P36" s="307"/>
      <c r="Q36" s="120"/>
      <c r="R36" s="228"/>
      <c r="S36" s="229"/>
      <c r="T36" s="229"/>
      <c r="U36" s="230"/>
      <c r="V36" s="266"/>
      <c r="W36" s="238"/>
      <c r="X36" s="273"/>
      <c r="Y36" s="255"/>
      <c r="Z36" s="278"/>
    </row>
    <row r="37" spans="5:26" x14ac:dyDescent="0.25">
      <c r="N37" s="101"/>
      <c r="O37"/>
      <c r="Q37" s="1"/>
      <c r="R37" s="228" t="s">
        <v>2</v>
      </c>
      <c r="S37" s="229">
        <v>2</v>
      </c>
      <c r="T37" s="229">
        <v>19</v>
      </c>
      <c r="U37" s="230">
        <v>8</v>
      </c>
      <c r="V37" s="266">
        <f>S37+T37+U37</f>
        <v>29</v>
      </c>
      <c r="W37" s="239">
        <f>V37/V41</f>
        <v>0.37662337662337664</v>
      </c>
      <c r="X37" s="274">
        <f>R20</f>
        <v>0.4</v>
      </c>
      <c r="Y37" s="255">
        <f>W37*S$31</f>
        <v>7.5324675324675328</v>
      </c>
      <c r="Z37" s="278">
        <f>COUNT(P18:P25)</f>
        <v>8</v>
      </c>
    </row>
    <row r="38" spans="5:26" x14ac:dyDescent="0.25">
      <c r="J38"/>
      <c r="M38"/>
      <c r="N38"/>
      <c r="O38"/>
      <c r="P38" s="308"/>
      <c r="R38" s="228"/>
      <c r="S38" s="229"/>
      <c r="T38" s="229"/>
      <c r="U38" s="230"/>
      <c r="V38" s="266"/>
      <c r="W38" s="238"/>
      <c r="X38" s="273"/>
      <c r="Y38" s="255"/>
      <c r="Z38" s="278"/>
    </row>
    <row r="39" spans="5:26" x14ac:dyDescent="0.25">
      <c r="J39"/>
      <c r="M39"/>
      <c r="N39"/>
      <c r="O39"/>
      <c r="P39" s="308"/>
      <c r="R39" s="231" t="s">
        <v>3</v>
      </c>
      <c r="S39" s="232">
        <v>1</v>
      </c>
      <c r="T39" s="268">
        <v>12</v>
      </c>
      <c r="U39" s="233">
        <v>4</v>
      </c>
      <c r="V39" s="267">
        <f>S39+T39+U39</f>
        <v>17</v>
      </c>
      <c r="W39" s="240">
        <f>V39/V41</f>
        <v>0.22077922077922077</v>
      </c>
      <c r="X39" s="275">
        <f>R15</f>
        <v>0.2</v>
      </c>
      <c r="Y39" s="241">
        <f>W39*S$31</f>
        <v>4.4155844155844157</v>
      </c>
      <c r="Z39" s="279">
        <f>COUNT(P13:P16)</f>
        <v>4</v>
      </c>
    </row>
    <row r="40" spans="5:26" s="75" customFormat="1" x14ac:dyDescent="0.25">
      <c r="J40" s="126"/>
      <c r="M40" s="126"/>
      <c r="N40" s="126"/>
      <c r="O40" s="126"/>
      <c r="P40" s="308"/>
      <c r="Q40" s="126"/>
      <c r="R40" s="231"/>
      <c r="S40" s="229" t="s">
        <v>232</v>
      </c>
      <c r="T40" s="229" t="s">
        <v>233</v>
      </c>
      <c r="U40" s="230" t="s">
        <v>234</v>
      </c>
      <c r="V40" s="267"/>
      <c r="W40" s="240"/>
      <c r="X40" s="275"/>
      <c r="Y40" s="241"/>
      <c r="Z40" s="279"/>
    </row>
    <row r="41" spans="5:26" x14ac:dyDescent="0.25">
      <c r="J41"/>
      <c r="M41"/>
      <c r="N41"/>
      <c r="O41"/>
      <c r="P41" s="308"/>
      <c r="R41" s="318" t="s">
        <v>277</v>
      </c>
      <c r="S41" s="265">
        <f>S35+S37+S39</f>
        <v>8</v>
      </c>
      <c r="T41" s="269">
        <f>(T35+T37+T39)</f>
        <v>54</v>
      </c>
      <c r="U41" s="265">
        <f t="shared" ref="U41" si="84">U35+U37+U39</f>
        <v>15</v>
      </c>
      <c r="V41" s="270">
        <f>S41+T41+U41</f>
        <v>77</v>
      </c>
      <c r="W41" s="271">
        <f>SUM(W35:W39)</f>
        <v>1</v>
      </c>
      <c r="X41" s="276">
        <f>SUM(X35:X39)</f>
        <v>1</v>
      </c>
      <c r="Y41" s="280" t="s">
        <v>229</v>
      </c>
      <c r="Z41" s="281">
        <f>SUM(Z35:Z39)</f>
        <v>20</v>
      </c>
    </row>
    <row r="42" spans="5:26" x14ac:dyDescent="0.25">
      <c r="J42"/>
      <c r="M42"/>
      <c r="N42"/>
      <c r="O42"/>
      <c r="P42" s="308"/>
      <c r="R42" s="318" t="s">
        <v>235</v>
      </c>
      <c r="S42" s="326">
        <f>S41/$V41</f>
        <v>0.1038961038961039</v>
      </c>
      <c r="T42" s="327">
        <f t="shared" ref="T42" si="85">T41/$V41</f>
        <v>0.70129870129870131</v>
      </c>
      <c r="U42" s="328">
        <f>U41/$V41</f>
        <v>0.19480519480519481</v>
      </c>
    </row>
    <row r="43" spans="5:26" x14ac:dyDescent="0.25">
      <c r="J43"/>
      <c r="R43" s="318" t="s">
        <v>268</v>
      </c>
      <c r="S43" s="329">
        <f>T28</f>
        <v>0.1</v>
      </c>
      <c r="T43" s="330">
        <f>T29</f>
        <v>0.7</v>
      </c>
      <c r="U43" s="331">
        <f>T30</f>
        <v>0.2</v>
      </c>
    </row>
    <row r="44" spans="5:26" ht="28.8" x14ac:dyDescent="0.3">
      <c r="R44" t="s">
        <v>266</v>
      </c>
      <c r="S44" s="234">
        <v>0.1</v>
      </c>
      <c r="T44" s="58">
        <v>0.7</v>
      </c>
      <c r="U44" s="58">
        <v>0.2</v>
      </c>
    </row>
  </sheetData>
  <mergeCells count="2">
    <mergeCell ref="S33:U33"/>
    <mergeCell ref="R32:U32"/>
  </mergeCells>
  <conditionalFormatting sqref="P34:P36">
    <cfRule type="expression" dxfId="2" priority="3">
      <formula>#REF!</formula>
    </cfRule>
  </conditionalFormatting>
  <pageMargins left="0.25" right="0.25" top="0.75" bottom="0.75" header="0.3" footer="0.3"/>
  <pageSetup scale="88" orientation="landscape" r:id="rId1"/>
  <headerFooter>
    <oddHeader xml:space="preserve">&amp;C&amp;20Proposed EPS Mar 2018 </oddHeader>
    <oddFooter>&amp;C&amp;20DRAFT DOCUMENT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topLeftCell="E40" zoomScaleNormal="100" workbookViewId="0">
      <selection activeCell="W83" sqref="W83"/>
    </sheetView>
  </sheetViews>
  <sheetFormatPr defaultRowHeight="14.4" x14ac:dyDescent="0.3"/>
  <cols>
    <col min="1" max="1" width="11" customWidth="1"/>
    <col min="2" max="2" width="11.19921875" customWidth="1"/>
    <col min="3" max="3" width="11.8984375" customWidth="1"/>
    <col min="4" max="4" width="11.19921875" customWidth="1"/>
    <col min="5" max="6" width="10" customWidth="1"/>
    <col min="26" max="26" width="13.8984375" customWidth="1"/>
  </cols>
  <sheetData>
    <row r="1" spans="1:4" x14ac:dyDescent="0.3">
      <c r="A1" s="138" t="s">
        <v>130</v>
      </c>
      <c r="B1" s="139" t="s">
        <v>11</v>
      </c>
    </row>
    <row r="2" spans="1:4" ht="26.25" customHeight="1" x14ac:dyDescent="0.3">
      <c r="A2" s="137" t="s">
        <v>99</v>
      </c>
      <c r="B2" s="141" t="s">
        <v>129</v>
      </c>
    </row>
    <row r="3" spans="1:4" ht="24.8" customHeight="1" x14ac:dyDescent="0.3">
      <c r="A3" s="140" t="s">
        <v>128</v>
      </c>
      <c r="B3" s="322" t="s">
        <v>128</v>
      </c>
    </row>
    <row r="4" spans="1:4" x14ac:dyDescent="0.3">
      <c r="A4" s="309">
        <v>552</v>
      </c>
      <c r="B4" s="319">
        <v>972.27042151595833</v>
      </c>
    </row>
    <row r="5" spans="1:4" x14ac:dyDescent="0.3">
      <c r="A5" s="310">
        <v>568</v>
      </c>
      <c r="B5" s="320">
        <v>942.75052121031808</v>
      </c>
    </row>
    <row r="6" spans="1:4" x14ac:dyDescent="0.3">
      <c r="A6" s="310">
        <v>499</v>
      </c>
      <c r="B6" s="320">
        <v>933.96135226232013</v>
      </c>
    </row>
    <row r="7" spans="1:4" x14ac:dyDescent="0.3">
      <c r="A7" s="310">
        <v>644</v>
      </c>
      <c r="B7" s="320">
        <v>1056.1399489349913</v>
      </c>
    </row>
    <row r="8" spans="1:4" x14ac:dyDescent="0.3">
      <c r="A8" s="310">
        <v>806</v>
      </c>
      <c r="B8" s="320">
        <v>1013.3858559167629</v>
      </c>
    </row>
    <row r="9" spans="1:4" x14ac:dyDescent="0.3">
      <c r="A9" s="310">
        <v>546</v>
      </c>
      <c r="B9" s="320">
        <v>927.10877986218588</v>
      </c>
    </row>
    <row r="10" spans="1:4" x14ac:dyDescent="0.3">
      <c r="A10" s="310">
        <v>510</v>
      </c>
      <c r="B10" s="320">
        <v>924.12940055777983</v>
      </c>
    </row>
    <row r="11" spans="1:4" x14ac:dyDescent="0.3">
      <c r="A11" s="310">
        <v>495</v>
      </c>
      <c r="B11" s="320">
        <v>943.79330396686009</v>
      </c>
    </row>
    <row r="12" spans="1:4" x14ac:dyDescent="0.3">
      <c r="A12" s="310">
        <v>461</v>
      </c>
      <c r="B12" s="320">
        <v>903.86962128781829</v>
      </c>
    </row>
    <row r="13" spans="1:4" x14ac:dyDescent="0.3">
      <c r="A13" s="310">
        <v>569</v>
      </c>
      <c r="B13" s="320">
        <v>949.00721774957094</v>
      </c>
    </row>
    <row r="14" spans="1:4" x14ac:dyDescent="0.3">
      <c r="A14" s="310">
        <v>489</v>
      </c>
      <c r="B14" s="320">
        <v>944.53814879296181</v>
      </c>
    </row>
    <row r="15" spans="1:4" x14ac:dyDescent="0.3">
      <c r="A15" s="310"/>
      <c r="B15" s="320"/>
    </row>
    <row r="16" spans="1:4" x14ac:dyDescent="0.3">
      <c r="A16" s="311">
        <v>853</v>
      </c>
      <c r="B16" s="321">
        <v>1052.7136627349239</v>
      </c>
      <c r="C16" s="36"/>
      <c r="D16" s="36"/>
    </row>
    <row r="17" spans="1:25" x14ac:dyDescent="0.3">
      <c r="A17" s="312">
        <f>AVERAGE(A4:A16)</f>
        <v>582.66666666666663</v>
      </c>
      <c r="B17" s="313">
        <f>AVERAGE(B4:B16)</f>
        <v>963.63901956603786</v>
      </c>
      <c r="C17" s="50"/>
      <c r="D17" s="50" t="s">
        <v>101</v>
      </c>
    </row>
    <row r="18" spans="1:25" x14ac:dyDescent="0.3">
      <c r="A18" s="314" t="s">
        <v>88</v>
      </c>
      <c r="B18" s="315" t="s">
        <v>88</v>
      </c>
      <c r="C18" s="50"/>
      <c r="D18" s="50" t="s">
        <v>101</v>
      </c>
    </row>
    <row r="19" spans="1:25" x14ac:dyDescent="0.3">
      <c r="A19" s="50"/>
      <c r="B19" s="52" t="s">
        <v>101</v>
      </c>
      <c r="C19" s="52"/>
      <c r="D19" s="52" t="s">
        <v>101</v>
      </c>
    </row>
    <row r="20" spans="1:25" x14ac:dyDescent="0.3">
      <c r="A20" s="50"/>
      <c r="B20" s="52"/>
      <c r="C20" s="52"/>
      <c r="D20" s="52" t="s">
        <v>101</v>
      </c>
    </row>
    <row r="21" spans="1:25" x14ac:dyDescent="0.3">
      <c r="A21" s="50"/>
      <c r="B21" s="52"/>
      <c r="C21" s="52"/>
      <c r="D21" s="52" t="s">
        <v>101</v>
      </c>
    </row>
    <row r="22" spans="1:25" x14ac:dyDescent="0.3">
      <c r="A22" s="50"/>
      <c r="B22" s="52"/>
      <c r="C22" s="52"/>
      <c r="D22" s="52" t="s">
        <v>101</v>
      </c>
    </row>
    <row r="23" spans="1:25" x14ac:dyDescent="0.3">
      <c r="A23" s="50"/>
      <c r="B23" s="52"/>
      <c r="C23" s="52"/>
      <c r="D23" s="52" t="s">
        <v>101</v>
      </c>
    </row>
    <row r="24" spans="1:25" x14ac:dyDescent="0.3">
      <c r="A24" s="50"/>
      <c r="B24" s="52"/>
      <c r="C24" s="52"/>
      <c r="D24" s="52" t="s">
        <v>101</v>
      </c>
    </row>
    <row r="25" spans="1:25" x14ac:dyDescent="0.3">
      <c r="A25" s="50"/>
      <c r="B25" s="52"/>
      <c r="C25" s="52"/>
      <c r="D25" s="52" t="s">
        <v>101</v>
      </c>
      <c r="E25" s="50"/>
      <c r="F25" s="50"/>
    </row>
    <row r="26" spans="1:25" ht="42.05" customHeight="1" x14ac:dyDescent="0.3">
      <c r="E26" s="50"/>
      <c r="F26" s="50"/>
    </row>
    <row r="27" spans="1:25" x14ac:dyDescent="0.3">
      <c r="E27" s="50"/>
      <c r="F27" s="50"/>
    </row>
    <row r="28" spans="1:25" x14ac:dyDescent="0.3">
      <c r="E28" s="50"/>
      <c r="F28" s="50"/>
    </row>
    <row r="29" spans="1:25" x14ac:dyDescent="0.3">
      <c r="E29" s="50"/>
      <c r="F29" s="50"/>
    </row>
    <row r="30" spans="1:25" x14ac:dyDescent="0.3">
      <c r="E30" s="50"/>
      <c r="F30" s="50"/>
      <c r="Y30" s="57"/>
    </row>
    <row r="31" spans="1:25" x14ac:dyDescent="0.3">
      <c r="E31" s="52"/>
      <c r="F31" s="52"/>
      <c r="Y31" s="57"/>
    </row>
    <row r="32" spans="1:25" x14ac:dyDescent="0.3">
      <c r="E32" s="52"/>
      <c r="F32" s="52"/>
      <c r="Y32" s="57"/>
    </row>
    <row r="33" spans="1:6" x14ac:dyDescent="0.3">
      <c r="E33" s="52"/>
      <c r="F33" s="52"/>
    </row>
    <row r="34" spans="1:6" x14ac:dyDescent="0.3">
      <c r="E34" s="52"/>
      <c r="F34" s="52"/>
    </row>
    <row r="35" spans="1:6" x14ac:dyDescent="0.3">
      <c r="E35" s="60"/>
    </row>
    <row r="36" spans="1:6" x14ac:dyDescent="0.3">
      <c r="E36" s="60"/>
    </row>
    <row r="37" spans="1:6" x14ac:dyDescent="0.3">
      <c r="A37" s="52"/>
      <c r="B37" s="52"/>
      <c r="D37" s="64"/>
      <c r="E37" s="60"/>
    </row>
    <row r="38" spans="1:6" x14ac:dyDescent="0.3">
      <c r="A38" s="52"/>
      <c r="B38" s="52"/>
      <c r="D38" s="64"/>
      <c r="E38" s="61"/>
    </row>
    <row r="39" spans="1:6" x14ac:dyDescent="0.3">
      <c r="D39" s="64"/>
      <c r="E39" s="60"/>
    </row>
    <row r="40" spans="1:6" x14ac:dyDescent="0.3">
      <c r="D40" s="64"/>
      <c r="E40" s="60"/>
    </row>
    <row r="41" spans="1:6" x14ac:dyDescent="0.3">
      <c r="D41" s="64"/>
      <c r="E41" s="61"/>
    </row>
    <row r="42" spans="1:6" x14ac:dyDescent="0.3">
      <c r="D42" s="64"/>
      <c r="E42" s="61"/>
    </row>
    <row r="43" spans="1:6" x14ac:dyDescent="0.3">
      <c r="D43" s="64"/>
      <c r="E43" s="60"/>
    </row>
    <row r="44" spans="1:6" x14ac:dyDescent="0.3">
      <c r="D44" s="64"/>
    </row>
  </sheetData>
  <sortState ref="Y2:Y21">
    <sortCondition ref="Y2:Y21"/>
  </sortState>
  <conditionalFormatting sqref="D37:D44">
    <cfRule type="expression" dxfId="1" priority="4">
      <formula>$E37</formula>
    </cfRule>
  </conditionalFormatting>
  <conditionalFormatting sqref="B4:B16">
    <cfRule type="expression" dxfId="0" priority="5">
      <formula>$A4</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cover</vt:lpstr>
      <vt:lpstr>ref</vt:lpstr>
      <vt:lpstr>survey</vt:lpstr>
      <vt:lpstr>charts</vt:lpstr>
      <vt:lpstr>ref!_SW1</vt:lpstr>
      <vt:lpstr>agePenalty</vt:lpstr>
      <vt:lpstr>agePenaltyGE</vt:lpstr>
      <vt:lpstr>agePenaltyother</vt:lpstr>
      <vt:lpstr>agePenaltySiemens</vt:lpstr>
      <vt:lpstr>CO2Factor</vt:lpstr>
      <vt:lpstr>dfHeatRate</vt:lpstr>
      <vt:lpstr>dfHeatRateS</vt:lpstr>
      <vt:lpstr>dfHours</vt:lpstr>
      <vt:lpstr>dfIncrement</vt:lpstr>
      <vt:lpstr>dfrate</vt:lpstr>
      <vt:lpstr>LHVtoHHV</vt:lpstr>
      <vt:lpstr>opHours</vt:lpstr>
      <vt:lpstr>ref!Print_Area</vt:lpstr>
      <vt:lpstr>survey!Print_Area</vt:lpstr>
      <vt:lpstr>ref!SWLHV</vt:lpstr>
      <vt:lpstr>ref!SWRAT</vt:lpstr>
      <vt:lpstr>sysPenalty</vt:lpstr>
      <vt:lpstr>sysPenaltyGE</vt:lpstr>
      <vt:lpstr>sysPenaltyOther</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gregn</dc:creator>
  <cp:lastModifiedBy>Nothstein, Greg (COM)</cp:lastModifiedBy>
  <cp:lastPrinted>2018-03-01T17:40:14Z</cp:lastPrinted>
  <dcterms:created xsi:type="dcterms:W3CDTF">2012-03-09T21:49:22Z</dcterms:created>
  <dcterms:modified xsi:type="dcterms:W3CDTF">2018-03-06T18:35:38Z</dcterms:modified>
</cp:coreProperties>
</file>