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MHParks_Licensees_Public_053120" sheetId="1" r:id="rId1"/>
  </sheets>
  <calcPr calcId="145621"/>
</workbook>
</file>

<file path=xl/calcChain.xml><?xml version="1.0" encoding="utf-8"?>
<calcChain xmlns="http://schemas.openxmlformats.org/spreadsheetml/2006/main">
  <c r="N1379" i="1" l="1"/>
  <c r="M1379" i="1"/>
  <c r="L1379" i="1"/>
  <c r="E981" i="1" l="1"/>
  <c r="K981" i="1"/>
  <c r="E90" i="1"/>
  <c r="K90" i="1"/>
  <c r="E119" i="1"/>
  <c r="K119" i="1"/>
  <c r="E185" i="1"/>
  <c r="K185" i="1"/>
  <c r="E143" i="1"/>
  <c r="K143" i="1"/>
  <c r="E460" i="1"/>
  <c r="K460" i="1"/>
  <c r="E958" i="1"/>
  <c r="K958" i="1"/>
  <c r="E432" i="1"/>
  <c r="K432" i="1"/>
  <c r="E593" i="1"/>
  <c r="K593" i="1"/>
  <c r="E595" i="1"/>
  <c r="K595" i="1"/>
  <c r="E637" i="1"/>
  <c r="K637" i="1"/>
  <c r="E680" i="1"/>
  <c r="K680" i="1"/>
  <c r="E700" i="1"/>
  <c r="K700" i="1"/>
  <c r="E731" i="1"/>
  <c r="K731" i="1"/>
  <c r="E918" i="1"/>
  <c r="K918" i="1"/>
  <c r="E942" i="1"/>
  <c r="K942" i="1"/>
  <c r="E1003" i="1"/>
  <c r="K1003" i="1"/>
  <c r="E1167" i="1"/>
  <c r="K1167" i="1"/>
  <c r="E1172" i="1"/>
  <c r="K1172" i="1"/>
  <c r="E1248" i="1"/>
  <c r="K1248" i="1"/>
  <c r="E1369" i="1"/>
  <c r="K1369" i="1"/>
  <c r="E529" i="1"/>
  <c r="K529" i="1"/>
  <c r="E420" i="1"/>
  <c r="K420" i="1"/>
  <c r="E1122" i="1"/>
  <c r="K1122" i="1"/>
  <c r="E192" i="1"/>
  <c r="K192" i="1"/>
  <c r="E96" i="1"/>
  <c r="K96" i="1"/>
  <c r="E367" i="1"/>
  <c r="K367" i="1"/>
  <c r="E135" i="1"/>
  <c r="K135" i="1"/>
  <c r="E585" i="1"/>
  <c r="K585" i="1"/>
  <c r="E1050" i="1"/>
  <c r="K1050" i="1"/>
  <c r="E733" i="1"/>
  <c r="K733" i="1"/>
  <c r="E100" i="1"/>
  <c r="K100" i="1"/>
  <c r="E12" i="1"/>
  <c r="K12" i="1"/>
  <c r="E833" i="1"/>
  <c r="K833" i="1"/>
  <c r="E1278" i="1"/>
  <c r="K1278" i="1"/>
  <c r="E380" i="1"/>
  <c r="K380" i="1"/>
  <c r="E383" i="1"/>
  <c r="K383" i="1"/>
  <c r="E1116" i="1"/>
  <c r="K1116" i="1"/>
  <c r="E1056" i="1"/>
  <c r="K1056" i="1"/>
  <c r="E121" i="1"/>
  <c r="K121" i="1"/>
  <c r="E122" i="1"/>
  <c r="K122" i="1"/>
  <c r="E26" i="1"/>
  <c r="K26" i="1"/>
  <c r="E803" i="1"/>
  <c r="K803" i="1"/>
  <c r="E636" i="1"/>
  <c r="K636" i="1"/>
  <c r="E452" i="1"/>
  <c r="K452" i="1"/>
  <c r="E1154" i="1"/>
  <c r="K1154" i="1"/>
  <c r="E99" i="1"/>
  <c r="K99" i="1"/>
  <c r="E950" i="1"/>
  <c r="K950" i="1"/>
  <c r="E188" i="1"/>
  <c r="K188" i="1"/>
  <c r="E248" i="1"/>
  <c r="K248" i="1"/>
  <c r="E220" i="1"/>
  <c r="K220" i="1"/>
  <c r="E221" i="1"/>
  <c r="K221" i="1"/>
  <c r="E723" i="1"/>
  <c r="K723" i="1"/>
  <c r="E120" i="1"/>
  <c r="K120" i="1"/>
  <c r="E828" i="1"/>
  <c r="K828" i="1"/>
  <c r="E8" i="1"/>
  <c r="K8" i="1"/>
  <c r="E628" i="1"/>
  <c r="K628" i="1"/>
  <c r="E1271" i="1"/>
  <c r="K1271" i="1"/>
  <c r="E615" i="1"/>
  <c r="K615" i="1"/>
  <c r="E671" i="1"/>
  <c r="K671" i="1"/>
  <c r="E945" i="1"/>
  <c r="K945" i="1"/>
  <c r="E1143" i="1"/>
  <c r="K1143" i="1"/>
  <c r="E262" i="1"/>
  <c r="K262" i="1"/>
  <c r="E707" i="1"/>
  <c r="K707" i="1"/>
  <c r="E35" i="1"/>
  <c r="K35" i="1"/>
  <c r="E1227" i="1"/>
  <c r="K1227" i="1"/>
  <c r="E1244" i="1"/>
  <c r="K1244" i="1"/>
  <c r="E1263" i="1"/>
  <c r="K1263" i="1"/>
  <c r="E515" i="1"/>
  <c r="K515" i="1"/>
  <c r="E498" i="1"/>
  <c r="K498" i="1"/>
  <c r="E522" i="1"/>
  <c r="K522" i="1"/>
  <c r="E988" i="1"/>
  <c r="K988" i="1"/>
  <c r="E727" i="1"/>
  <c r="K727" i="1"/>
  <c r="E518" i="1"/>
  <c r="K518" i="1"/>
  <c r="E453" i="1"/>
  <c r="K453" i="1"/>
  <c r="E1245" i="1"/>
  <c r="K1245" i="1"/>
  <c r="E551" i="1"/>
  <c r="K551" i="1"/>
  <c r="E27" i="1"/>
  <c r="K27" i="1"/>
  <c r="E1315" i="1"/>
  <c r="K1315" i="1"/>
  <c r="E108" i="1"/>
  <c r="K108" i="1"/>
  <c r="E246" i="1"/>
  <c r="K246" i="1"/>
  <c r="E1085" i="1"/>
  <c r="K1085" i="1"/>
  <c r="E326" i="1"/>
  <c r="K326" i="1"/>
  <c r="E563" i="1"/>
  <c r="K563" i="1"/>
  <c r="E51" i="1"/>
  <c r="K51" i="1"/>
  <c r="E461" i="1"/>
  <c r="K461" i="1"/>
  <c r="E821" i="1"/>
  <c r="K821" i="1"/>
  <c r="E550" i="1"/>
  <c r="K550" i="1"/>
  <c r="E659" i="1"/>
  <c r="K659" i="1"/>
  <c r="E634" i="1"/>
  <c r="K634" i="1"/>
  <c r="E1038" i="1"/>
  <c r="K1038" i="1"/>
  <c r="E820" i="1"/>
  <c r="K820" i="1"/>
  <c r="E622" i="1"/>
  <c r="K622" i="1"/>
  <c r="E813" i="1"/>
  <c r="K813" i="1"/>
  <c r="E600" i="1"/>
  <c r="K600" i="1"/>
  <c r="E1256" i="1"/>
  <c r="K1256" i="1"/>
  <c r="E228" i="1"/>
  <c r="K228" i="1"/>
  <c r="E1164" i="1"/>
  <c r="K1164" i="1"/>
  <c r="E1053" i="1"/>
  <c r="K1053" i="1"/>
  <c r="E887" i="1"/>
  <c r="K887" i="1"/>
  <c r="E1188" i="1"/>
  <c r="K1188" i="1"/>
  <c r="E337" i="1"/>
  <c r="K337" i="1"/>
  <c r="E1234" i="1"/>
  <c r="K1234" i="1"/>
  <c r="E717" i="1"/>
  <c r="K717" i="1"/>
  <c r="E1037" i="1"/>
  <c r="K1037" i="1"/>
  <c r="E414" i="1"/>
  <c r="K414" i="1"/>
  <c r="E992" i="1"/>
  <c r="K992" i="1"/>
  <c r="E1008" i="1"/>
  <c r="K1008" i="1"/>
  <c r="E527" i="1"/>
  <c r="K527" i="1"/>
  <c r="E884" i="1"/>
  <c r="K884" i="1"/>
  <c r="E251" i="1"/>
  <c r="K251" i="1"/>
  <c r="E1028" i="1"/>
  <c r="K1028" i="1"/>
  <c r="E939" i="1"/>
  <c r="K939" i="1"/>
  <c r="E940" i="1"/>
  <c r="K940" i="1"/>
  <c r="E93" i="1"/>
  <c r="K93" i="1"/>
  <c r="E240" i="1"/>
  <c r="K240" i="1"/>
  <c r="E225" i="1"/>
  <c r="K225" i="1"/>
  <c r="E347" i="1"/>
  <c r="K347" i="1"/>
  <c r="E351" i="1"/>
  <c r="K351" i="1"/>
  <c r="E345" i="1"/>
  <c r="K345" i="1"/>
  <c r="E336" i="1"/>
  <c r="K336" i="1"/>
  <c r="E594" i="1"/>
  <c r="K594" i="1"/>
  <c r="E1135" i="1"/>
  <c r="K1135" i="1"/>
  <c r="E254" i="1"/>
  <c r="K254" i="1"/>
  <c r="E685" i="1"/>
  <c r="K685" i="1"/>
  <c r="E1200" i="1"/>
  <c r="K1200" i="1"/>
  <c r="E449" i="1"/>
  <c r="K449" i="1"/>
  <c r="E226" i="1"/>
  <c r="K226" i="1"/>
  <c r="E726" i="1"/>
  <c r="K726" i="1"/>
  <c r="E263" i="1"/>
  <c r="K263" i="1"/>
  <c r="E395" i="1"/>
  <c r="K395" i="1"/>
  <c r="E396" i="1"/>
  <c r="K396" i="1"/>
  <c r="E83" i="1"/>
  <c r="K83" i="1"/>
  <c r="E570" i="1"/>
  <c r="K570" i="1"/>
  <c r="E1324" i="1"/>
  <c r="K1324" i="1"/>
  <c r="E463" i="1"/>
  <c r="K463" i="1"/>
  <c r="E979" i="1"/>
  <c r="K979" i="1"/>
  <c r="E338" i="1"/>
  <c r="K338" i="1"/>
  <c r="E686" i="1"/>
  <c r="K686" i="1"/>
  <c r="E1183" i="1"/>
  <c r="K1183" i="1"/>
  <c r="E976" i="1"/>
  <c r="K976" i="1"/>
  <c r="E589" i="1"/>
  <c r="K589" i="1"/>
  <c r="E413" i="1"/>
  <c r="K413" i="1"/>
  <c r="E1157" i="1"/>
  <c r="K1157" i="1"/>
  <c r="E903" i="1"/>
  <c r="K903" i="1"/>
  <c r="E1213" i="1"/>
  <c r="K1213" i="1"/>
  <c r="E547" i="1"/>
  <c r="K547" i="1"/>
  <c r="E1103" i="1"/>
  <c r="K1103" i="1"/>
  <c r="E1129" i="1"/>
  <c r="K1129" i="1"/>
  <c r="E348" i="1"/>
  <c r="K348" i="1"/>
  <c r="E706" i="1"/>
  <c r="K706" i="1"/>
  <c r="E131" i="1"/>
  <c r="K131" i="1"/>
  <c r="E4" i="1"/>
  <c r="K4" i="1"/>
  <c r="E565" i="1"/>
  <c r="K565" i="1"/>
  <c r="E964" i="1"/>
  <c r="K964" i="1"/>
  <c r="E1218" i="1"/>
  <c r="K1218" i="1"/>
  <c r="E1310" i="1"/>
  <c r="K1310" i="1"/>
  <c r="E1314" i="1"/>
  <c r="K1314" i="1"/>
  <c r="E58" i="1"/>
  <c r="K58" i="1"/>
  <c r="E89" i="1"/>
  <c r="K89" i="1"/>
  <c r="E829" i="1"/>
  <c r="K829" i="1"/>
  <c r="E1220" i="1"/>
  <c r="K1220" i="1"/>
  <c r="E1211" i="1"/>
  <c r="K1211" i="1"/>
  <c r="E153" i="1"/>
  <c r="K153" i="1"/>
  <c r="E440" i="1"/>
  <c r="K440" i="1"/>
  <c r="E95" i="1"/>
  <c r="K95" i="1"/>
  <c r="E431" i="1"/>
  <c r="K431" i="1"/>
  <c r="E202" i="1"/>
  <c r="K202" i="1"/>
  <c r="E848" i="1"/>
  <c r="K848" i="1"/>
  <c r="E1360" i="1"/>
  <c r="K1360" i="1"/>
  <c r="E966" i="1"/>
  <c r="K966" i="1"/>
  <c r="E1075" i="1"/>
  <c r="K1075" i="1"/>
  <c r="E387" i="1"/>
  <c r="K387" i="1"/>
  <c r="E618" i="1"/>
  <c r="K618" i="1"/>
  <c r="E676" i="1"/>
  <c r="K676" i="1"/>
  <c r="E947" i="1"/>
  <c r="K947" i="1"/>
  <c r="E447" i="1"/>
  <c r="K447" i="1"/>
  <c r="E430" i="1"/>
  <c r="K430" i="1"/>
  <c r="E612" i="1"/>
  <c r="K612" i="1"/>
  <c r="E13" i="1"/>
  <c r="K13" i="1"/>
  <c r="E271" i="1"/>
  <c r="K271" i="1"/>
  <c r="E702" i="1"/>
  <c r="K702" i="1"/>
  <c r="E1247" i="1"/>
  <c r="K1247" i="1"/>
  <c r="E1019" i="1"/>
  <c r="K1019" i="1"/>
  <c r="E969" i="1"/>
  <c r="K969" i="1"/>
  <c r="E775" i="1"/>
  <c r="K775" i="1"/>
  <c r="E754" i="1"/>
  <c r="K754" i="1"/>
  <c r="E532" i="1"/>
  <c r="K532" i="1"/>
  <c r="E962" i="1"/>
  <c r="K962" i="1"/>
  <c r="E762" i="1"/>
  <c r="K762" i="1"/>
  <c r="E474" i="1"/>
  <c r="K474" i="1"/>
  <c r="E162" i="1"/>
  <c r="K162" i="1"/>
  <c r="E1352" i="1"/>
  <c r="K1352" i="1"/>
  <c r="E415" i="1"/>
  <c r="K415" i="1"/>
  <c r="E33" i="1"/>
  <c r="K33" i="1"/>
  <c r="E80" i="1"/>
  <c r="K80" i="1"/>
  <c r="E984" i="1"/>
  <c r="K984" i="1"/>
  <c r="E591" i="1"/>
  <c r="K591" i="1"/>
  <c r="E1055" i="1"/>
  <c r="K1055" i="1"/>
  <c r="E1029" i="1"/>
  <c r="K1029" i="1"/>
  <c r="E241" i="1"/>
  <c r="K241" i="1"/>
  <c r="E601" i="1"/>
  <c r="K601" i="1"/>
  <c r="E1020" i="1"/>
  <c r="K1020" i="1"/>
  <c r="E789" i="1"/>
  <c r="K789" i="1"/>
  <c r="E1260" i="1"/>
  <c r="K1260" i="1"/>
  <c r="E425" i="1"/>
  <c r="K425" i="1"/>
  <c r="E598" i="1"/>
  <c r="K598" i="1"/>
  <c r="E616" i="1"/>
  <c r="K616" i="1"/>
  <c r="E394" i="1"/>
  <c r="K394" i="1"/>
  <c r="E1296" i="1"/>
  <c r="K1296" i="1"/>
  <c r="E994" i="1"/>
  <c r="K994" i="1"/>
  <c r="E377" i="1"/>
  <c r="K377" i="1"/>
  <c r="E658" i="1"/>
  <c r="K658" i="1"/>
  <c r="E422" i="1"/>
  <c r="K422" i="1"/>
  <c r="E1068" i="1"/>
  <c r="K1068" i="1"/>
  <c r="E1066" i="1"/>
  <c r="K1066" i="1"/>
  <c r="E678" i="1"/>
  <c r="K678" i="1"/>
  <c r="E1266" i="1"/>
  <c r="K1266" i="1"/>
  <c r="E224" i="1"/>
  <c r="K224" i="1"/>
  <c r="E974" i="1"/>
  <c r="K974" i="1"/>
  <c r="E1113" i="1"/>
  <c r="K1113" i="1"/>
  <c r="E1083" i="1"/>
  <c r="K1083" i="1"/>
  <c r="E360" i="1"/>
  <c r="K360" i="1"/>
  <c r="E831" i="1"/>
  <c r="K831" i="1"/>
  <c r="E436" i="1"/>
  <c r="K436" i="1"/>
  <c r="E679" i="1"/>
  <c r="K679" i="1"/>
  <c r="E934" i="1"/>
  <c r="K934" i="1"/>
  <c r="E882" i="1"/>
  <c r="K882" i="1"/>
  <c r="E816" i="1"/>
  <c r="K816" i="1"/>
  <c r="E695" i="1"/>
  <c r="K695" i="1"/>
  <c r="E243" i="1"/>
  <c r="K243" i="1"/>
  <c r="E94" i="1"/>
  <c r="K94" i="1"/>
  <c r="E72" i="1"/>
  <c r="K72" i="1"/>
  <c r="E73" i="1"/>
  <c r="K73" i="1"/>
  <c r="E746" i="1"/>
  <c r="K746" i="1"/>
  <c r="E283" i="1"/>
  <c r="K283" i="1"/>
  <c r="E1140" i="1"/>
  <c r="K1140" i="1"/>
  <c r="E693" i="1"/>
  <c r="K693" i="1"/>
  <c r="E28" i="1"/>
  <c r="K28" i="1"/>
  <c r="E165" i="1"/>
  <c r="K165" i="1"/>
  <c r="E163" i="1"/>
  <c r="K163" i="1"/>
  <c r="E568" i="1"/>
  <c r="K568" i="1"/>
  <c r="E579" i="1"/>
  <c r="K579" i="1"/>
  <c r="E424" i="1"/>
  <c r="K424" i="1"/>
  <c r="E1286" i="1"/>
  <c r="K1286" i="1"/>
  <c r="E735" i="1"/>
  <c r="K735" i="1"/>
  <c r="E800" i="1"/>
  <c r="K800" i="1"/>
  <c r="E809" i="1"/>
  <c r="K809" i="1"/>
  <c r="E999" i="1"/>
  <c r="K999" i="1"/>
  <c r="E782" i="1"/>
  <c r="K782" i="1"/>
  <c r="E321" i="1"/>
  <c r="K321" i="1"/>
  <c r="E559" i="1"/>
  <c r="K559" i="1"/>
  <c r="E738" i="1"/>
  <c r="K738" i="1"/>
  <c r="E846" i="1"/>
  <c r="K846" i="1"/>
  <c r="E870" i="1"/>
  <c r="K870" i="1"/>
  <c r="E751" i="1"/>
  <c r="K751" i="1"/>
  <c r="E899" i="1"/>
  <c r="K899" i="1"/>
  <c r="E644" i="1"/>
  <c r="K644" i="1"/>
  <c r="E646" i="1"/>
  <c r="K646" i="1"/>
  <c r="E647" i="1"/>
  <c r="K647" i="1"/>
  <c r="E724" i="1"/>
  <c r="K724" i="1"/>
  <c r="E980" i="1"/>
  <c r="K980" i="1"/>
  <c r="E986" i="1"/>
  <c r="K986" i="1"/>
  <c r="E445" i="1"/>
  <c r="K445" i="1"/>
  <c r="E1377" i="1"/>
  <c r="K1377" i="1"/>
  <c r="E1151" i="1"/>
  <c r="K1151" i="1"/>
  <c r="E1004" i="1"/>
  <c r="K1004" i="1"/>
  <c r="E1274" i="1"/>
  <c r="K1274" i="1"/>
  <c r="E62" i="1"/>
  <c r="K62" i="1"/>
  <c r="E270" i="1"/>
  <c r="K270" i="1"/>
  <c r="E61" i="1"/>
  <c r="K61" i="1"/>
  <c r="E109" i="1"/>
  <c r="K109" i="1"/>
  <c r="E835" i="1"/>
  <c r="K835" i="1"/>
  <c r="E640" i="1"/>
  <c r="K640" i="1"/>
  <c r="E633" i="1"/>
  <c r="K633" i="1"/>
  <c r="E837" i="1"/>
  <c r="K837" i="1"/>
  <c r="E132" i="1"/>
  <c r="K132" i="1"/>
  <c r="E335" i="1"/>
  <c r="K335" i="1"/>
  <c r="E779" i="1"/>
  <c r="K779" i="1"/>
  <c r="E1207" i="1"/>
  <c r="K1207" i="1"/>
  <c r="E421" i="1"/>
  <c r="K421" i="1"/>
  <c r="E448" i="1"/>
  <c r="K448" i="1"/>
  <c r="E519" i="1"/>
  <c r="K519" i="1"/>
  <c r="E376" i="1"/>
  <c r="K376" i="1"/>
  <c r="E1285" i="1"/>
  <c r="K1285" i="1"/>
  <c r="E967" i="1"/>
  <c r="K967" i="1"/>
  <c r="E374" i="1"/>
  <c r="K374" i="1"/>
  <c r="E960" i="1"/>
  <c r="K960" i="1"/>
  <c r="E961" i="1"/>
  <c r="K961" i="1"/>
  <c r="E977" i="1"/>
  <c r="K977" i="1"/>
  <c r="E310" i="1"/>
  <c r="K310" i="1"/>
  <c r="E1005" i="1"/>
  <c r="K1005" i="1"/>
  <c r="E508" i="1"/>
  <c r="K508" i="1"/>
  <c r="E501" i="1"/>
  <c r="K501" i="1"/>
  <c r="E956" i="1"/>
  <c r="K956" i="1"/>
  <c r="E662" i="1"/>
  <c r="K662" i="1"/>
  <c r="E168" i="1"/>
  <c r="K168" i="1"/>
  <c r="E722" i="1"/>
  <c r="K722" i="1"/>
  <c r="E1108" i="1"/>
  <c r="K1108" i="1"/>
  <c r="E1057" i="1"/>
  <c r="K1057" i="1"/>
  <c r="E67" i="1"/>
  <c r="K67" i="1"/>
  <c r="E299" i="1"/>
  <c r="K299" i="1"/>
  <c r="E609" i="1"/>
  <c r="K609" i="1"/>
  <c r="E597" i="1"/>
  <c r="K597" i="1"/>
  <c r="E639" i="1"/>
  <c r="K639" i="1"/>
  <c r="E476" i="1"/>
  <c r="K476" i="1"/>
  <c r="E1365" i="1"/>
  <c r="K1365" i="1"/>
  <c r="E932" i="1"/>
  <c r="K932" i="1"/>
  <c r="E1342" i="1"/>
  <c r="K1342" i="1"/>
  <c r="E871" i="1"/>
  <c r="K871" i="1"/>
  <c r="E937" i="1"/>
  <c r="K937" i="1"/>
  <c r="E23" i="1"/>
  <c r="K23" i="1"/>
  <c r="E892" i="1"/>
  <c r="K892" i="1"/>
  <c r="E1097" i="1"/>
  <c r="K1097" i="1"/>
  <c r="E412" i="1"/>
  <c r="K412" i="1"/>
  <c r="E443" i="1"/>
  <c r="K443" i="1"/>
  <c r="E490" i="1"/>
  <c r="K490" i="1"/>
  <c r="E523" i="1"/>
  <c r="K523" i="1"/>
  <c r="E419" i="1"/>
  <c r="K419" i="1"/>
  <c r="E1319" i="1"/>
  <c r="K1319" i="1"/>
  <c r="E1325" i="1"/>
  <c r="K1325" i="1"/>
  <c r="E690" i="1"/>
  <c r="K690" i="1"/>
  <c r="E401" i="1"/>
  <c r="K401" i="1"/>
  <c r="E1058" i="1"/>
  <c r="K1058" i="1"/>
  <c r="E1202" i="1"/>
  <c r="K1202" i="1"/>
  <c r="E737" i="1"/>
  <c r="K737" i="1"/>
  <c r="E268" i="1"/>
  <c r="K268" i="1"/>
  <c r="E1182" i="1"/>
  <c r="K1182" i="1"/>
  <c r="E890" i="1"/>
  <c r="K890" i="1"/>
  <c r="E602" i="1"/>
  <c r="K602" i="1"/>
  <c r="E748" i="1"/>
  <c r="K748" i="1"/>
  <c r="E586" i="1"/>
  <c r="K586" i="1"/>
  <c r="E392" i="1"/>
  <c r="K392" i="1"/>
  <c r="E1273" i="1"/>
  <c r="K1273" i="1"/>
  <c r="E1261" i="1"/>
  <c r="K1261" i="1"/>
  <c r="E1112" i="1"/>
  <c r="K1112" i="1"/>
  <c r="E129" i="1"/>
  <c r="K129" i="1"/>
  <c r="E1221" i="1"/>
  <c r="K1221" i="1"/>
  <c r="E173" i="1"/>
  <c r="K173" i="1"/>
  <c r="E857" i="1"/>
  <c r="K857" i="1"/>
  <c r="E1044" i="1"/>
  <c r="K1044" i="1"/>
  <c r="E1127" i="1"/>
  <c r="K1127" i="1"/>
  <c r="E1138" i="1"/>
  <c r="K1138" i="1"/>
  <c r="E1043" i="1"/>
  <c r="K1043" i="1"/>
  <c r="E677" i="1"/>
  <c r="K677" i="1"/>
  <c r="E624" i="1"/>
  <c r="K624" i="1"/>
  <c r="E627" i="1"/>
  <c r="K627" i="1"/>
  <c r="E648" i="1"/>
  <c r="K648" i="1"/>
  <c r="E650" i="1"/>
  <c r="K650" i="1"/>
  <c r="E653" i="1"/>
  <c r="K653" i="1"/>
  <c r="E604" i="1"/>
  <c r="K604" i="1"/>
  <c r="E63" i="1"/>
  <c r="K63" i="1"/>
  <c r="E553" i="1"/>
  <c r="K553" i="1"/>
  <c r="E125" i="1"/>
  <c r="K125" i="1"/>
  <c r="E1253" i="1"/>
  <c r="K1253" i="1"/>
  <c r="E57" i="1"/>
  <c r="K57" i="1"/>
  <c r="E291" i="1"/>
  <c r="K291" i="1"/>
  <c r="E1243" i="1"/>
  <c r="K1243" i="1"/>
  <c r="E209" i="1"/>
  <c r="K209" i="1"/>
  <c r="E866" i="1"/>
  <c r="K866" i="1"/>
  <c r="E311" i="1"/>
  <c r="K311" i="1"/>
  <c r="E227" i="1"/>
  <c r="K227" i="1"/>
  <c r="E815" i="1"/>
  <c r="K815" i="1"/>
  <c r="E1265" i="1"/>
  <c r="K1265" i="1"/>
  <c r="E1363" i="1"/>
  <c r="K1363" i="1"/>
  <c r="E1165" i="1"/>
  <c r="K1165" i="1"/>
  <c r="E1357" i="1"/>
  <c r="K1357" i="1"/>
  <c r="E1120" i="1"/>
  <c r="K1120" i="1"/>
  <c r="E975" i="1"/>
  <c r="K975" i="1"/>
  <c r="E11" i="1"/>
  <c r="K11" i="1"/>
  <c r="E464" i="1"/>
  <c r="K464" i="1"/>
  <c r="E290" i="1"/>
  <c r="K290" i="1"/>
  <c r="E222" i="1"/>
  <c r="K222" i="1"/>
  <c r="E1222" i="1"/>
  <c r="K1222" i="1"/>
  <c r="E853" i="1"/>
  <c r="K853" i="1"/>
  <c r="E989" i="1"/>
  <c r="K989" i="1"/>
  <c r="E352" i="1"/>
  <c r="K352" i="1"/>
  <c r="E792" i="1"/>
  <c r="K792" i="1"/>
  <c r="E705" i="1"/>
  <c r="K705" i="1"/>
  <c r="E107" i="1"/>
  <c r="K107" i="1"/>
  <c r="E670" i="1"/>
  <c r="K670" i="1"/>
  <c r="E752" i="1"/>
  <c r="K752" i="1"/>
  <c r="E261" i="1"/>
  <c r="K261" i="1"/>
  <c r="E1209" i="1"/>
  <c r="K1209" i="1"/>
  <c r="E70" i="1"/>
  <c r="K70" i="1"/>
  <c r="E343" i="1"/>
  <c r="K343" i="1"/>
  <c r="E897" i="1"/>
  <c r="K897" i="1"/>
  <c r="E1229" i="1"/>
  <c r="K1229" i="1"/>
  <c r="E788" i="1"/>
  <c r="K788" i="1"/>
  <c r="E1148" i="1"/>
  <c r="K1148" i="1"/>
  <c r="E410" i="1"/>
  <c r="K410" i="1"/>
  <c r="E784" i="1"/>
  <c r="K784" i="1"/>
  <c r="E479" i="1"/>
  <c r="K479" i="1"/>
  <c r="E166" i="1"/>
  <c r="K166" i="1"/>
  <c r="E1081" i="1"/>
  <c r="K1081" i="1"/>
  <c r="E1035" i="1"/>
  <c r="K1035" i="1"/>
  <c r="E1015" i="1"/>
  <c r="K1015" i="1"/>
  <c r="E868" i="1"/>
  <c r="K868" i="1"/>
  <c r="E98" i="1"/>
  <c r="K98" i="1"/>
  <c r="E1238" i="1"/>
  <c r="K1238" i="1"/>
  <c r="E17" i="1"/>
  <c r="K17" i="1"/>
  <c r="E830" i="1"/>
  <c r="K830" i="1"/>
  <c r="E1192" i="1"/>
  <c r="K1192" i="1"/>
  <c r="E1198" i="1"/>
  <c r="K1198" i="1"/>
  <c r="E1254" i="1"/>
  <c r="K1254" i="1"/>
  <c r="E1291" i="1"/>
  <c r="K1291" i="1"/>
  <c r="E167" i="1"/>
  <c r="K167" i="1"/>
  <c r="E229" i="1"/>
  <c r="K229" i="1"/>
  <c r="E239" i="1"/>
  <c r="K239" i="1"/>
  <c r="E371" i="1"/>
  <c r="K371" i="1"/>
  <c r="E274" i="1"/>
  <c r="K274" i="1"/>
  <c r="E796" i="1"/>
  <c r="K796" i="1"/>
  <c r="E913" i="1"/>
  <c r="K913" i="1"/>
  <c r="E388" i="1"/>
  <c r="K388" i="1"/>
  <c r="E1031" i="1"/>
  <c r="K1031" i="1"/>
  <c r="E874" i="1"/>
  <c r="K874" i="1"/>
  <c r="E920" i="1"/>
  <c r="K920" i="1"/>
  <c r="E822" i="1"/>
  <c r="K822" i="1"/>
  <c r="E663" i="1"/>
  <c r="K663" i="1"/>
  <c r="E901" i="1"/>
  <c r="K901" i="1"/>
  <c r="E1215" i="1"/>
  <c r="K1215" i="1"/>
  <c r="E342" i="1"/>
  <c r="K342" i="1"/>
  <c r="E879" i="1"/>
  <c r="K879" i="1"/>
  <c r="E948" i="1"/>
  <c r="K948" i="1"/>
  <c r="E40" i="1"/>
  <c r="K40" i="1"/>
  <c r="E630" i="1"/>
  <c r="K630" i="1"/>
  <c r="E1082" i="1"/>
  <c r="K1082" i="1"/>
  <c r="E1343" i="1"/>
  <c r="K1343" i="1"/>
  <c r="E1321" i="1"/>
  <c r="K1321" i="1"/>
  <c r="E56" i="1"/>
  <c r="K56" i="1"/>
  <c r="E1329" i="1"/>
  <c r="K1329" i="1"/>
  <c r="E560" i="1"/>
  <c r="K560" i="1"/>
  <c r="E1332" i="1"/>
  <c r="K1332" i="1"/>
  <c r="E295" i="1"/>
  <c r="K295" i="1"/>
  <c r="E825" i="1"/>
  <c r="K825" i="1"/>
  <c r="E1030" i="1"/>
  <c r="K1030" i="1"/>
  <c r="E303" i="1"/>
  <c r="K303" i="1"/>
  <c r="E1333" i="1"/>
  <c r="K1333" i="1"/>
  <c r="E582" i="1"/>
  <c r="K582" i="1"/>
  <c r="E1096" i="1"/>
  <c r="K1096" i="1"/>
  <c r="E145" i="1"/>
  <c r="K145" i="1"/>
  <c r="E406" i="1"/>
  <c r="K406" i="1"/>
  <c r="E908" i="1"/>
  <c r="K908" i="1"/>
  <c r="E1045" i="1"/>
  <c r="K1045" i="1"/>
  <c r="E791" i="1"/>
  <c r="K791" i="1"/>
  <c r="E566" i="1"/>
  <c r="K566" i="1"/>
  <c r="E488" i="1"/>
  <c r="K488" i="1"/>
  <c r="E983" i="1"/>
  <c r="K983" i="1"/>
  <c r="E487" i="1"/>
  <c r="K487" i="1"/>
  <c r="E561" i="1"/>
  <c r="K561" i="1"/>
  <c r="E774" i="1"/>
  <c r="K774" i="1"/>
  <c r="E477" i="1"/>
  <c r="K477" i="1"/>
  <c r="E269" i="1"/>
  <c r="K269" i="1"/>
  <c r="E528" i="1"/>
  <c r="K528" i="1"/>
  <c r="E729" i="1"/>
  <c r="K729" i="1"/>
  <c r="E249" i="1"/>
  <c r="K249" i="1"/>
  <c r="E71" i="1"/>
  <c r="K71" i="1"/>
  <c r="E288" i="1"/>
  <c r="K288" i="1"/>
  <c r="E146" i="1"/>
  <c r="K146" i="1"/>
  <c r="E1280" i="1"/>
  <c r="K1280" i="1"/>
  <c r="E805" i="1"/>
  <c r="K805" i="1"/>
  <c r="E216" i="1"/>
  <c r="K216" i="1"/>
  <c r="E483" i="1"/>
  <c r="K483" i="1"/>
  <c r="E1316" i="1"/>
  <c r="K1316" i="1"/>
  <c r="E909" i="1"/>
  <c r="K909" i="1"/>
  <c r="E943" i="1"/>
  <c r="K943" i="1"/>
  <c r="E799" i="1"/>
  <c r="K799" i="1"/>
  <c r="E552" i="1"/>
  <c r="K552" i="1"/>
  <c r="E530" i="1"/>
  <c r="K530" i="1"/>
  <c r="E783" i="1"/>
  <c r="K783" i="1"/>
  <c r="E1292" i="1"/>
  <c r="K1292" i="1"/>
  <c r="E730" i="1"/>
  <c r="K730" i="1"/>
  <c r="E317" i="1"/>
  <c r="K317" i="1"/>
  <c r="E1196" i="1"/>
  <c r="K1196" i="1"/>
  <c r="E1364" i="1"/>
  <c r="K1364" i="1"/>
  <c r="E1348" i="1"/>
  <c r="K1348" i="1"/>
  <c r="E562" i="1"/>
  <c r="K562" i="1"/>
  <c r="E142" i="1"/>
  <c r="K142" i="1"/>
  <c r="E750" i="1"/>
  <c r="K750" i="1"/>
  <c r="E931" i="1"/>
  <c r="K931" i="1"/>
  <c r="E847" i="1"/>
  <c r="K847" i="1"/>
  <c r="E159" i="1"/>
  <c r="K159" i="1"/>
  <c r="E156" i="1"/>
  <c r="K156" i="1"/>
  <c r="E186" i="1"/>
  <c r="K186" i="1"/>
  <c r="E178" i="1"/>
  <c r="K178" i="1"/>
  <c r="E1022" i="1"/>
  <c r="K1022" i="1"/>
  <c r="E1290" i="1"/>
  <c r="K1290" i="1"/>
  <c r="E747" i="1"/>
  <c r="K747" i="1"/>
  <c r="E954" i="1"/>
  <c r="K954" i="1"/>
  <c r="E704" i="1"/>
  <c r="K704" i="1"/>
  <c r="E728" i="1"/>
  <c r="K728" i="1"/>
  <c r="E1168" i="1"/>
  <c r="K1168" i="1"/>
  <c r="E929" i="1"/>
  <c r="K929" i="1"/>
  <c r="E512" i="1"/>
  <c r="K512" i="1"/>
  <c r="E503" i="1"/>
  <c r="K503" i="1"/>
  <c r="E674" i="1"/>
  <c r="K674" i="1"/>
  <c r="E437" i="1"/>
  <c r="K437" i="1"/>
  <c r="E1313" i="1"/>
  <c r="K1313" i="1"/>
  <c r="E873" i="1"/>
  <c r="K873" i="1"/>
  <c r="E247" i="1"/>
  <c r="K247" i="1"/>
  <c r="E736" i="1"/>
  <c r="K736" i="1"/>
  <c r="E1161" i="1"/>
  <c r="K1161" i="1"/>
  <c r="E59" i="1"/>
  <c r="K59" i="1"/>
  <c r="E1214" i="1"/>
  <c r="K1214" i="1"/>
  <c r="E492" i="1"/>
  <c r="K492" i="1"/>
  <c r="E172" i="1"/>
  <c r="K172" i="1"/>
  <c r="E546" i="1"/>
  <c r="K546" i="1"/>
  <c r="E398" i="1"/>
  <c r="K398" i="1"/>
  <c r="E614" i="1"/>
  <c r="K614" i="1"/>
  <c r="E841" i="1"/>
  <c r="K841" i="1"/>
  <c r="E669" i="1"/>
  <c r="K669" i="1"/>
  <c r="E1219" i="1"/>
  <c r="K1219" i="1"/>
  <c r="E7" i="1"/>
  <c r="K7" i="1"/>
  <c r="E993" i="1"/>
  <c r="K993" i="1"/>
  <c r="E753" i="1"/>
  <c r="K753" i="1"/>
  <c r="E1033" i="1"/>
  <c r="K1033" i="1"/>
  <c r="E1160" i="1"/>
  <c r="K1160" i="1"/>
  <c r="E493" i="1"/>
  <c r="K493" i="1"/>
  <c r="E65" i="1"/>
  <c r="K65" i="1"/>
  <c r="E69" i="1"/>
  <c r="K69" i="1"/>
  <c r="E66" i="1"/>
  <c r="K66" i="1"/>
  <c r="E811" i="1"/>
  <c r="K811" i="1"/>
  <c r="E470" i="1"/>
  <c r="K470" i="1"/>
  <c r="E502" i="1"/>
  <c r="K502" i="1"/>
  <c r="E333" i="1"/>
  <c r="K333" i="1"/>
  <c r="E1039" i="1"/>
  <c r="K1039" i="1"/>
  <c r="E1078" i="1"/>
  <c r="K1078" i="1"/>
  <c r="E465" i="1"/>
  <c r="K465" i="1"/>
  <c r="E191" i="1"/>
  <c r="K191" i="1"/>
  <c r="E900" i="1"/>
  <c r="K900" i="1"/>
  <c r="E1194" i="1"/>
  <c r="K1194" i="1"/>
  <c r="E840" i="1"/>
  <c r="K840" i="1"/>
  <c r="E1349" i="1"/>
  <c r="K1349" i="1"/>
  <c r="E535" i="1"/>
  <c r="K535" i="1"/>
  <c r="E1100" i="1"/>
  <c r="K1100" i="1"/>
  <c r="E814" i="1"/>
  <c r="K814" i="1"/>
  <c r="E888" i="1"/>
  <c r="K888" i="1"/>
  <c r="E148" i="1"/>
  <c r="K148" i="1"/>
  <c r="E198" i="1"/>
  <c r="K198" i="1"/>
  <c r="E1179" i="1"/>
  <c r="K1179" i="1"/>
  <c r="E1174" i="1"/>
  <c r="K1174" i="1"/>
  <c r="E176" i="1"/>
  <c r="K176" i="1"/>
  <c r="E536" i="1"/>
  <c r="K536" i="1"/>
  <c r="E721" i="1"/>
  <c r="K721" i="1"/>
  <c r="E37" i="1"/>
  <c r="K37" i="1"/>
  <c r="E635" i="1"/>
  <c r="K635" i="1"/>
  <c r="E170" i="1"/>
  <c r="K170" i="1"/>
  <c r="E177" i="1"/>
  <c r="K177" i="1"/>
  <c r="E971" i="1"/>
  <c r="K971" i="1"/>
  <c r="E1354" i="1"/>
  <c r="K1354" i="1"/>
  <c r="E82" i="1"/>
  <c r="K82" i="1"/>
  <c r="E611" i="1"/>
  <c r="K611" i="1"/>
  <c r="E1268" i="1"/>
  <c r="K1268" i="1"/>
  <c r="E199" i="1"/>
  <c r="K199" i="1"/>
  <c r="E331" i="1"/>
  <c r="K331" i="1"/>
  <c r="E312" i="1"/>
  <c r="K312" i="1"/>
  <c r="E1374" i="1"/>
  <c r="K1374" i="1"/>
  <c r="E1346" i="1"/>
  <c r="K1346" i="1"/>
  <c r="E516" i="1"/>
  <c r="K516" i="1"/>
  <c r="E957" i="1"/>
  <c r="K957" i="1"/>
  <c r="E944" i="1"/>
  <c r="K944" i="1"/>
  <c r="E1201" i="1"/>
  <c r="K1201" i="1"/>
  <c r="E234" i="1"/>
  <c r="K234" i="1"/>
  <c r="E78" i="1"/>
  <c r="K78" i="1"/>
  <c r="E533" i="1"/>
  <c r="K533" i="1"/>
  <c r="E641" i="1"/>
  <c r="K641" i="1"/>
  <c r="E681" i="1"/>
  <c r="K681" i="1"/>
  <c r="E1121" i="1"/>
  <c r="K1121" i="1"/>
  <c r="E869" i="1"/>
  <c r="K869" i="1"/>
  <c r="E667" i="1"/>
  <c r="K667" i="1"/>
  <c r="E771" i="1"/>
  <c r="K771" i="1"/>
  <c r="E393" i="1"/>
  <c r="K393" i="1"/>
  <c r="E47" i="1"/>
  <c r="K47" i="1"/>
  <c r="E272" i="1"/>
  <c r="K272" i="1"/>
  <c r="E1132" i="1"/>
  <c r="K1132" i="1"/>
  <c r="E1142" i="1"/>
  <c r="K1142" i="1"/>
  <c r="E1098" i="1"/>
  <c r="K1098" i="1"/>
  <c r="E457" i="1"/>
  <c r="K457" i="1"/>
  <c r="E230" i="1"/>
  <c r="K230" i="1"/>
  <c r="E742" i="1"/>
  <c r="K742" i="1"/>
  <c r="E1340" i="1"/>
  <c r="K1340" i="1"/>
  <c r="E889" i="1"/>
  <c r="K889" i="1"/>
  <c r="E91" i="1"/>
  <c r="K91" i="1"/>
  <c r="E79" i="1"/>
  <c r="K79" i="1"/>
  <c r="E86" i="1"/>
  <c r="K86" i="1"/>
  <c r="E517" i="1"/>
  <c r="K517" i="1"/>
  <c r="E34" i="1"/>
  <c r="K34" i="1"/>
  <c r="E466" i="1"/>
  <c r="K466" i="1"/>
  <c r="E886" i="1"/>
  <c r="K886" i="1"/>
  <c r="E564" i="1"/>
  <c r="K564" i="1"/>
  <c r="E543" i="1"/>
  <c r="K543" i="1"/>
  <c r="E215" i="1"/>
  <c r="K215" i="1"/>
  <c r="E965" i="1"/>
  <c r="K965" i="1"/>
  <c r="E1303" i="1"/>
  <c r="K1303" i="1"/>
  <c r="E361" i="1"/>
  <c r="K361" i="1"/>
  <c r="E362" i="1"/>
  <c r="K362" i="1"/>
  <c r="E349" i="1"/>
  <c r="K349" i="1"/>
  <c r="E1312" i="1"/>
  <c r="K1312" i="1"/>
  <c r="E1311" i="1"/>
  <c r="K1311" i="1"/>
  <c r="E725" i="1"/>
  <c r="K725" i="1"/>
  <c r="E469" i="1"/>
  <c r="K469" i="1"/>
  <c r="E1034" i="1"/>
  <c r="K1034" i="1"/>
  <c r="E486" i="1"/>
  <c r="K486" i="1"/>
  <c r="E334" i="1"/>
  <c r="K334" i="1"/>
  <c r="E1356" i="1"/>
  <c r="K1356" i="1"/>
  <c r="E480" i="1"/>
  <c r="K480" i="1"/>
  <c r="E1102" i="1"/>
  <c r="K1102" i="1"/>
  <c r="E1177" i="1"/>
  <c r="K1177" i="1"/>
  <c r="E1086" i="1"/>
  <c r="K1086" i="1"/>
  <c r="E1336" i="1"/>
  <c r="K1336" i="1"/>
  <c r="E255" i="1"/>
  <c r="K255" i="1"/>
  <c r="E1212" i="1"/>
  <c r="K1212" i="1"/>
  <c r="E1351" i="1"/>
  <c r="K1351" i="1"/>
  <c r="E1009" i="1"/>
  <c r="K1009" i="1"/>
  <c r="E668" i="1"/>
  <c r="K668" i="1"/>
  <c r="E657" i="1"/>
  <c r="K657" i="1"/>
  <c r="E45" i="1"/>
  <c r="K45" i="1"/>
  <c r="E151" i="1"/>
  <c r="K151" i="1"/>
  <c r="E575" i="1"/>
  <c r="K575" i="1"/>
  <c r="E852" i="1"/>
  <c r="K852" i="1"/>
  <c r="E144" i="1"/>
  <c r="K144" i="1"/>
  <c r="E1370" i="1"/>
  <c r="K1370" i="1"/>
  <c r="E428" i="1"/>
  <c r="K428" i="1"/>
  <c r="E584" i="1"/>
  <c r="K584" i="1"/>
  <c r="E1012" i="1"/>
  <c r="K1012" i="1"/>
  <c r="E137" i="1"/>
  <c r="K137" i="1"/>
  <c r="E531" i="1"/>
  <c r="K531" i="1"/>
  <c r="E777" i="1"/>
  <c r="K777" i="1"/>
  <c r="E328" i="1"/>
  <c r="K328" i="1"/>
  <c r="E902" i="1"/>
  <c r="K902" i="1"/>
  <c r="E763" i="1"/>
  <c r="K763" i="1"/>
  <c r="E1230" i="1"/>
  <c r="K1230" i="1"/>
  <c r="E524" i="1"/>
  <c r="K524" i="1"/>
  <c r="E1191" i="1"/>
  <c r="K1191" i="1"/>
  <c r="E1184" i="1"/>
  <c r="K1184" i="1"/>
  <c r="E1331" i="1"/>
  <c r="K1331" i="1"/>
  <c r="E193" i="1"/>
  <c r="K193" i="1"/>
  <c r="E195" i="1"/>
  <c r="K195" i="1"/>
  <c r="E169" i="1"/>
  <c r="K169" i="1"/>
  <c r="E881" i="1"/>
  <c r="K881" i="1"/>
  <c r="E1125" i="1"/>
  <c r="K1125" i="1"/>
  <c r="E1300" i="1"/>
  <c r="K1300" i="1"/>
  <c r="E998" i="1"/>
  <c r="K998" i="1"/>
  <c r="E569" i="1"/>
  <c r="K569" i="1"/>
  <c r="E423" i="1"/>
  <c r="K423" i="1"/>
  <c r="E49" i="1"/>
  <c r="K49" i="1"/>
  <c r="E891" i="1"/>
  <c r="K891" i="1"/>
  <c r="E766" i="1"/>
  <c r="K766" i="1"/>
  <c r="E1269" i="1"/>
  <c r="K1269" i="1"/>
  <c r="E541" i="1"/>
  <c r="K541" i="1"/>
  <c r="E164" i="1"/>
  <c r="K164" i="1"/>
  <c r="E743" i="1"/>
  <c r="K743" i="1"/>
  <c r="E651" i="1"/>
  <c r="K651" i="1"/>
  <c r="E391" i="1"/>
  <c r="K391" i="1"/>
  <c r="E1335" i="1"/>
  <c r="K1335" i="1"/>
  <c r="E951" i="1"/>
  <c r="K951" i="1"/>
  <c r="E1206" i="1"/>
  <c r="K1206" i="1"/>
  <c r="E1299" i="1"/>
  <c r="K1299" i="1"/>
  <c r="E927" i="1"/>
  <c r="K927" i="1"/>
  <c r="E1000" i="1"/>
  <c r="K1000" i="1"/>
  <c r="E429" i="1"/>
  <c r="K429" i="1"/>
  <c r="E36" i="1"/>
  <c r="K36" i="1"/>
  <c r="E366" i="1"/>
  <c r="K366" i="1"/>
  <c r="E1203" i="1"/>
  <c r="K1203" i="1"/>
  <c r="E1144" i="1"/>
  <c r="K1144" i="1"/>
  <c r="E1149" i="1"/>
  <c r="K1149" i="1"/>
  <c r="E1199" i="1"/>
  <c r="K1199" i="1"/>
  <c r="E319" i="1"/>
  <c r="K319" i="1"/>
  <c r="E703" i="1"/>
  <c r="K703" i="1"/>
  <c r="E149" i="1"/>
  <c r="K149" i="1"/>
  <c r="E439" i="1"/>
  <c r="K439" i="1"/>
  <c r="E1024" i="1"/>
  <c r="K1024" i="1"/>
  <c r="E1287" i="1"/>
  <c r="K1287" i="1"/>
  <c r="E859" i="1"/>
  <c r="K859" i="1"/>
  <c r="E482" i="1"/>
  <c r="K482" i="1"/>
  <c r="E273" i="1"/>
  <c r="K273" i="1"/>
  <c r="E514" i="1"/>
  <c r="K514" i="1"/>
  <c r="E118" i="1"/>
  <c r="K118" i="1"/>
  <c r="E217" i="1"/>
  <c r="K217" i="1"/>
  <c r="E238" i="1"/>
  <c r="K238" i="1"/>
  <c r="E205" i="1"/>
  <c r="K205" i="1"/>
  <c r="E1109" i="1"/>
  <c r="K1109" i="1"/>
  <c r="E41" i="1"/>
  <c r="K41" i="1"/>
  <c r="E204" i="1"/>
  <c r="K204" i="1"/>
  <c r="E1355" i="1"/>
  <c r="K1355" i="1"/>
  <c r="E632" i="1"/>
  <c r="K632" i="1"/>
  <c r="E201" i="1"/>
  <c r="K201" i="1"/>
  <c r="E936" i="1"/>
  <c r="K936" i="1"/>
  <c r="E740" i="1"/>
  <c r="K740" i="1"/>
  <c r="E21" i="1"/>
  <c r="K21" i="1"/>
  <c r="E764" i="1"/>
  <c r="K764" i="1"/>
  <c r="E60" i="1"/>
  <c r="K60" i="1"/>
  <c r="E418" i="1"/>
  <c r="K418" i="1"/>
  <c r="E257" i="1"/>
  <c r="K257" i="1"/>
  <c r="E1375" i="1"/>
  <c r="K1375" i="1"/>
  <c r="E1147" i="1"/>
  <c r="K1147" i="1"/>
  <c r="E1373" i="1"/>
  <c r="K1373" i="1"/>
  <c r="E521" i="1"/>
  <c r="K521" i="1"/>
  <c r="E242" i="1"/>
  <c r="K242" i="1"/>
  <c r="E363" i="1"/>
  <c r="K363" i="1"/>
  <c r="E836" i="1"/>
  <c r="K836" i="1"/>
  <c r="E673" i="1"/>
  <c r="K673" i="1"/>
  <c r="E305" i="1"/>
  <c r="K305" i="1"/>
  <c r="E1259" i="1"/>
  <c r="K1259" i="1"/>
  <c r="E875" i="1"/>
  <c r="K875" i="1"/>
  <c r="E1304" i="1"/>
  <c r="K1304" i="1"/>
  <c r="E946" i="1"/>
  <c r="K946" i="1"/>
  <c r="E790" i="1"/>
  <c r="K790" i="1"/>
  <c r="E354" i="1"/>
  <c r="K354" i="1"/>
  <c r="E1016" i="1"/>
  <c r="K1016" i="1"/>
  <c r="E1359" i="1"/>
  <c r="K1359" i="1"/>
  <c r="E554" i="1"/>
  <c r="K554" i="1"/>
  <c r="E214" i="1"/>
  <c r="K214" i="1"/>
  <c r="E827" i="1"/>
  <c r="K827" i="1"/>
  <c r="E997" i="1"/>
  <c r="K997" i="1"/>
  <c r="E389" i="1"/>
  <c r="K389" i="1"/>
  <c r="E187" i="1"/>
  <c r="K187" i="1"/>
  <c r="E194" i="1"/>
  <c r="K194" i="1"/>
  <c r="E136" i="1"/>
  <c r="K136" i="1"/>
  <c r="E260" i="1"/>
  <c r="K260" i="1"/>
  <c r="E264" i="1"/>
  <c r="K264" i="1"/>
  <c r="E1249" i="1"/>
  <c r="K1249" i="1"/>
  <c r="E115" i="1"/>
  <c r="K115" i="1"/>
  <c r="E539" i="1"/>
  <c r="K539" i="1"/>
  <c r="E300" i="1"/>
  <c r="K300" i="1"/>
  <c r="E858" i="1"/>
  <c r="K858" i="1"/>
  <c r="E18" i="1"/>
  <c r="K18" i="1"/>
  <c r="E237" i="1"/>
  <c r="K237" i="1"/>
  <c r="E1277" i="1"/>
  <c r="K1277" i="1"/>
  <c r="E1136" i="1"/>
  <c r="K1136" i="1"/>
  <c r="E134" i="1"/>
  <c r="K134" i="1"/>
  <c r="E341" i="1"/>
  <c r="K341" i="1"/>
  <c r="E592" i="1"/>
  <c r="K592" i="1"/>
  <c r="E573" i="1"/>
  <c r="K573" i="1"/>
  <c r="E87" i="1"/>
  <c r="K87" i="1"/>
  <c r="E1048" i="1"/>
  <c r="K1048" i="1"/>
  <c r="E181" i="1"/>
  <c r="K181" i="1"/>
  <c r="E304" i="1"/>
  <c r="K304" i="1"/>
  <c r="E52" i="1"/>
  <c r="K52" i="1"/>
  <c r="E1226" i="1"/>
  <c r="K1226" i="1"/>
  <c r="E664" i="1"/>
  <c r="K664" i="1"/>
  <c r="E911" i="1"/>
  <c r="K911" i="1"/>
  <c r="E1295" i="1"/>
  <c r="K1295" i="1"/>
  <c r="E895" i="1"/>
  <c r="K895" i="1"/>
  <c r="E1320" i="1"/>
  <c r="K1320" i="1"/>
  <c r="E880" i="1"/>
  <c r="K880" i="1"/>
  <c r="E917" i="1"/>
  <c r="K917" i="1"/>
  <c r="E405" i="1"/>
  <c r="K405" i="1"/>
  <c r="E990" i="1"/>
  <c r="K990" i="1"/>
  <c r="E1371" i="1"/>
  <c r="K1371" i="1"/>
  <c r="E1099" i="1"/>
  <c r="K1099" i="1"/>
  <c r="E760" i="1"/>
  <c r="K760" i="1"/>
  <c r="E491" i="1"/>
  <c r="K491" i="1"/>
  <c r="E1185" i="1"/>
  <c r="K1185" i="1"/>
  <c r="E1353" i="1"/>
  <c r="K1353" i="1"/>
  <c r="E645" i="1"/>
  <c r="K645" i="1"/>
  <c r="E925" i="1"/>
  <c r="K925" i="1"/>
  <c r="E839" i="1"/>
  <c r="K839" i="1"/>
  <c r="E1027" i="1"/>
  <c r="K1027" i="1"/>
  <c r="E258" i="1"/>
  <c r="K258" i="1"/>
  <c r="E832" i="1"/>
  <c r="K832" i="1"/>
  <c r="E511" i="1"/>
  <c r="K511" i="1"/>
  <c r="E1076" i="1"/>
  <c r="K1076" i="1"/>
  <c r="E116" i="1"/>
  <c r="K116" i="1"/>
  <c r="E921" i="1"/>
  <c r="K921" i="1"/>
  <c r="E39" i="1"/>
  <c r="K39" i="1"/>
  <c r="E757" i="1"/>
  <c r="K757" i="1"/>
  <c r="E306" i="1"/>
  <c r="K306" i="1"/>
  <c r="E105" i="1"/>
  <c r="K105" i="1"/>
  <c r="E773" i="1"/>
  <c r="K773" i="1"/>
  <c r="E786" i="1"/>
  <c r="K786" i="1"/>
  <c r="E481" i="1"/>
  <c r="K481" i="1"/>
  <c r="E655" i="1"/>
  <c r="K655" i="1"/>
  <c r="E133" i="1"/>
  <c r="K133" i="1"/>
  <c r="E184" i="1"/>
  <c r="K184" i="1"/>
  <c r="E795" i="1"/>
  <c r="K795" i="1"/>
  <c r="E266" i="1"/>
  <c r="K266" i="1"/>
  <c r="E6" i="1"/>
  <c r="K6" i="1"/>
  <c r="E1069" i="1"/>
  <c r="K1069" i="1"/>
  <c r="E688" i="1"/>
  <c r="K688" i="1"/>
  <c r="E408" i="1"/>
  <c r="K408" i="1"/>
  <c r="E180" i="1"/>
  <c r="K180" i="1"/>
  <c r="E298" i="1"/>
  <c r="K298" i="1"/>
  <c r="E110" i="1"/>
  <c r="K110" i="1"/>
  <c r="E111" i="1"/>
  <c r="K111" i="1"/>
  <c r="E384" i="1"/>
  <c r="K384" i="1"/>
  <c r="E877" i="1"/>
  <c r="K877" i="1"/>
  <c r="E1276" i="1"/>
  <c r="K1276" i="1"/>
  <c r="E808" i="1"/>
  <c r="K808" i="1"/>
  <c r="E741" i="1"/>
  <c r="K741" i="1"/>
  <c r="E838" i="1"/>
  <c r="K838" i="1"/>
  <c r="E711" i="1"/>
  <c r="K711" i="1"/>
  <c r="E1013" i="1"/>
  <c r="K1013" i="1"/>
  <c r="E1119" i="1"/>
  <c r="K1119" i="1"/>
  <c r="E500" i="1"/>
  <c r="K500" i="1"/>
  <c r="E427" i="1"/>
  <c r="K427" i="1"/>
  <c r="E1297" i="1"/>
  <c r="K1297" i="1"/>
  <c r="E446" i="1"/>
  <c r="K446" i="1"/>
  <c r="E660" i="1"/>
  <c r="K660" i="1"/>
  <c r="E441" i="1"/>
  <c r="K441" i="1"/>
  <c r="E617" i="1"/>
  <c r="K617" i="1"/>
  <c r="E358" i="1"/>
  <c r="K358" i="1"/>
  <c r="E218" i="1"/>
  <c r="K218" i="1"/>
  <c r="E910" i="1"/>
  <c r="K910" i="1"/>
  <c r="E1002" i="1"/>
  <c r="K1002" i="1"/>
  <c r="E973" i="1"/>
  <c r="K973" i="1"/>
  <c r="E1032" i="1"/>
  <c r="K1032" i="1"/>
  <c r="E1126" i="1"/>
  <c r="K1126" i="1"/>
  <c r="E1281" i="1"/>
  <c r="K1281" i="1"/>
  <c r="E689" i="1"/>
  <c r="K689" i="1"/>
  <c r="E968" i="1"/>
  <c r="K968" i="1"/>
  <c r="E1128" i="1"/>
  <c r="K1128" i="1"/>
  <c r="E10" i="1"/>
  <c r="K10" i="1"/>
  <c r="E922" i="1"/>
  <c r="K922" i="1"/>
  <c r="E930" i="1"/>
  <c r="K930" i="1"/>
  <c r="E1232" i="1"/>
  <c r="K1232" i="1"/>
  <c r="E155" i="1"/>
  <c r="K155" i="1"/>
  <c r="E919" i="1"/>
  <c r="K919" i="1"/>
  <c r="E1305" i="1"/>
  <c r="K1305" i="1"/>
  <c r="E683" i="1"/>
  <c r="K683" i="1"/>
  <c r="E1114" i="1"/>
  <c r="K1114" i="1"/>
  <c r="E1014" i="1"/>
  <c r="K1014" i="1"/>
  <c r="E926" i="1"/>
  <c r="K926" i="1"/>
  <c r="E894" i="1"/>
  <c r="K894" i="1"/>
  <c r="E1040" i="1"/>
  <c r="K1040" i="1"/>
  <c r="E152" i="1"/>
  <c r="K152" i="1"/>
  <c r="E1275" i="1"/>
  <c r="K1275" i="1"/>
  <c r="E123" i="1"/>
  <c r="K123" i="1"/>
  <c r="E756" i="1"/>
  <c r="K756" i="1"/>
  <c r="E1101" i="1"/>
  <c r="K1101" i="1"/>
  <c r="E1255" i="1"/>
  <c r="K1255" i="1"/>
  <c r="E1279" i="1"/>
  <c r="K1279" i="1"/>
  <c r="E236" i="1"/>
  <c r="K236" i="1"/>
  <c r="E806" i="1"/>
  <c r="K806" i="1"/>
  <c r="E50" i="1"/>
  <c r="K50" i="1"/>
  <c r="E912" i="1"/>
  <c r="K912" i="1"/>
  <c r="E995" i="1"/>
  <c r="K995" i="1"/>
  <c r="E496" i="1"/>
  <c r="K496" i="1"/>
  <c r="E520" i="1"/>
  <c r="K520" i="1"/>
  <c r="E732" i="1"/>
  <c r="K732" i="1"/>
  <c r="E404" i="1"/>
  <c r="K404" i="1"/>
  <c r="E542" i="1"/>
  <c r="K542" i="1"/>
  <c r="E369" i="1"/>
  <c r="K369" i="1"/>
  <c r="E571" i="1"/>
  <c r="K571" i="1"/>
  <c r="E781" i="1"/>
  <c r="K781" i="1"/>
  <c r="E719" i="1"/>
  <c r="K719" i="1"/>
  <c r="E157" i="1"/>
  <c r="K157" i="1"/>
  <c r="E183" i="1"/>
  <c r="K183" i="1"/>
  <c r="E385" i="1"/>
  <c r="K385" i="1"/>
  <c r="E1131" i="1"/>
  <c r="K1131" i="1"/>
  <c r="E862" i="1"/>
  <c r="K862" i="1"/>
  <c r="E301" i="1"/>
  <c r="K301" i="1"/>
  <c r="E296" i="1"/>
  <c r="K296" i="1"/>
  <c r="E141" i="1"/>
  <c r="K141" i="1"/>
  <c r="E850" i="1"/>
  <c r="K850" i="1"/>
  <c r="E878" i="1"/>
  <c r="K878" i="1"/>
  <c r="E139" i="1"/>
  <c r="K139" i="1"/>
  <c r="E785" i="1"/>
  <c r="K785" i="1"/>
  <c r="E1327" i="1"/>
  <c r="K1327" i="1"/>
  <c r="E499" i="1"/>
  <c r="K499" i="1"/>
  <c r="E845" i="1"/>
  <c r="K845" i="1"/>
  <c r="E75" i="1"/>
  <c r="K75" i="1"/>
  <c r="E854" i="1"/>
  <c r="K854" i="1"/>
  <c r="E793" i="1"/>
  <c r="K793" i="1"/>
  <c r="E849" i="1"/>
  <c r="K849" i="1"/>
  <c r="E1210" i="1"/>
  <c r="K1210" i="1"/>
  <c r="E1169" i="1"/>
  <c r="K1169" i="1"/>
  <c r="E643" i="1"/>
  <c r="K643" i="1"/>
  <c r="E776" i="1"/>
  <c r="K776" i="1"/>
  <c r="E906" i="1"/>
  <c r="K906" i="1"/>
  <c r="E1176" i="1"/>
  <c r="K1176" i="1"/>
  <c r="E471" i="1"/>
  <c r="K471" i="1"/>
  <c r="E982" i="1"/>
  <c r="K982" i="1"/>
  <c r="E1367" i="1"/>
  <c r="K1367" i="1"/>
  <c r="E127" i="1"/>
  <c r="K127" i="1"/>
  <c r="E626" i="1"/>
  <c r="K626" i="1"/>
  <c r="E147" i="1"/>
  <c r="K147" i="1"/>
  <c r="E682" i="1"/>
  <c r="K682" i="1"/>
  <c r="E1288" i="1"/>
  <c r="K1288" i="1"/>
  <c r="E232" i="1"/>
  <c r="K232" i="1"/>
  <c r="E368" i="1"/>
  <c r="K368" i="1"/>
  <c r="E329" i="1"/>
  <c r="K329" i="1"/>
  <c r="E885" i="1"/>
  <c r="K885" i="1"/>
  <c r="E117" i="1"/>
  <c r="K117" i="1"/>
  <c r="E772" i="1"/>
  <c r="K772" i="1"/>
  <c r="E510" i="1"/>
  <c r="K510" i="1"/>
  <c r="E106" i="1"/>
  <c r="K106" i="1"/>
  <c r="E434" i="1"/>
  <c r="K434" i="1"/>
  <c r="E1358" i="1"/>
  <c r="K1358" i="1"/>
  <c r="E558" i="1"/>
  <c r="K558" i="1"/>
  <c r="E473" i="1"/>
  <c r="K473" i="1"/>
  <c r="E267" i="1"/>
  <c r="K267" i="1"/>
  <c r="E359" i="1"/>
  <c r="K359" i="1"/>
  <c r="E768" i="1"/>
  <c r="K768" i="1"/>
  <c r="E314" i="1"/>
  <c r="K314" i="1"/>
  <c r="E1339" i="1"/>
  <c r="K1339" i="1"/>
  <c r="E92" i="1"/>
  <c r="K92" i="1"/>
  <c r="E5" i="1"/>
  <c r="K5" i="1"/>
  <c r="E590" i="1"/>
  <c r="K590" i="1"/>
  <c r="E699" i="1"/>
  <c r="K699" i="1"/>
  <c r="E417" i="1"/>
  <c r="K417" i="1"/>
  <c r="E390" i="1"/>
  <c r="K390" i="1"/>
  <c r="E734" i="1"/>
  <c r="K734" i="1"/>
  <c r="E103" i="1"/>
  <c r="K103" i="1"/>
  <c r="E1270" i="1"/>
  <c r="K1270" i="1"/>
  <c r="E1350" i="1"/>
  <c r="K1350" i="1"/>
  <c r="E208" i="1"/>
  <c r="K208" i="1"/>
  <c r="E1208" i="1"/>
  <c r="K1208" i="1"/>
  <c r="E1091" i="1"/>
  <c r="K1091" i="1"/>
  <c r="E1361" i="1"/>
  <c r="K1361" i="1"/>
  <c r="E684" i="1"/>
  <c r="K684" i="1"/>
  <c r="E485" i="1"/>
  <c r="K485" i="1"/>
  <c r="E509" i="1"/>
  <c r="K509" i="1"/>
  <c r="E458" i="1"/>
  <c r="K458" i="1"/>
  <c r="E860" i="1"/>
  <c r="K860" i="1"/>
  <c r="E935" i="1"/>
  <c r="K935" i="1"/>
  <c r="E744" i="1"/>
  <c r="K744" i="1"/>
  <c r="E32" i="1"/>
  <c r="K32" i="1"/>
  <c r="E357" i="1"/>
  <c r="K357" i="1"/>
  <c r="E1163" i="1"/>
  <c r="K1163" i="1"/>
  <c r="E621" i="1"/>
  <c r="K621" i="1"/>
  <c r="E104" i="1"/>
  <c r="K104" i="1"/>
  <c r="E1262" i="1"/>
  <c r="K1262" i="1"/>
  <c r="E356" i="1"/>
  <c r="K356" i="1"/>
  <c r="E537" i="1"/>
  <c r="K537" i="1"/>
  <c r="E715" i="1"/>
  <c r="K715" i="1"/>
  <c r="E1306" i="1"/>
  <c r="K1306" i="1"/>
  <c r="E1302" i="1"/>
  <c r="K1302" i="1"/>
  <c r="E379" i="1"/>
  <c r="K379" i="1"/>
  <c r="E77" i="1"/>
  <c r="K77" i="1"/>
  <c r="E1180" i="1"/>
  <c r="K1180" i="1"/>
  <c r="E1052" i="1"/>
  <c r="K1052" i="1"/>
  <c r="E955" i="1"/>
  <c r="K955" i="1"/>
  <c r="E409" i="1"/>
  <c r="K409" i="1"/>
  <c r="E411" i="1"/>
  <c r="K411" i="1"/>
  <c r="E1197" i="1"/>
  <c r="K1197" i="1"/>
  <c r="E1011" i="1"/>
  <c r="K1011" i="1"/>
  <c r="E904" i="1"/>
  <c r="K904" i="1"/>
  <c r="E797" i="1"/>
  <c r="K797" i="1"/>
  <c r="E697" i="1"/>
  <c r="K697" i="1"/>
  <c r="E953" i="1"/>
  <c r="K953" i="1"/>
  <c r="E324" i="1"/>
  <c r="K324" i="1"/>
  <c r="E819" i="1"/>
  <c r="K819" i="1"/>
  <c r="E987" i="1"/>
  <c r="K987" i="1"/>
  <c r="E1095" i="1"/>
  <c r="K1095" i="1"/>
  <c r="E540" i="1"/>
  <c r="K540" i="1"/>
  <c r="E739" i="1"/>
  <c r="K739" i="1"/>
  <c r="E861" i="1"/>
  <c r="K861" i="1"/>
  <c r="E665" i="1"/>
  <c r="K665" i="1"/>
  <c r="E284" i="1"/>
  <c r="K284" i="1"/>
  <c r="E15" i="1"/>
  <c r="K15" i="1"/>
  <c r="E339" i="1"/>
  <c r="K339" i="1"/>
  <c r="E812" i="1"/>
  <c r="K812" i="1"/>
  <c r="E1087" i="1"/>
  <c r="K1087" i="1"/>
  <c r="E381" i="1"/>
  <c r="K381" i="1"/>
  <c r="E1190" i="1"/>
  <c r="K1190" i="1"/>
  <c r="E315" i="1"/>
  <c r="K315" i="1"/>
  <c r="E1025" i="1"/>
  <c r="K1025" i="1"/>
  <c r="E607" i="1"/>
  <c r="K607" i="1"/>
  <c r="E189" i="1"/>
  <c r="K189" i="1"/>
  <c r="E280" i="1"/>
  <c r="K280" i="1"/>
  <c r="E1341" i="1"/>
  <c r="K1341" i="1"/>
  <c r="E856" i="1"/>
  <c r="K856" i="1"/>
  <c r="E308" i="1"/>
  <c r="K308" i="1"/>
  <c r="E1077" i="1"/>
  <c r="K1077" i="1"/>
  <c r="E924" i="1"/>
  <c r="K924" i="1"/>
  <c r="E896" i="1"/>
  <c r="K896" i="1"/>
  <c r="E883" i="1"/>
  <c r="K883" i="1"/>
  <c r="E769" i="1"/>
  <c r="K769" i="1"/>
  <c r="E842" i="1"/>
  <c r="K842" i="1"/>
  <c r="E985" i="1"/>
  <c r="K985" i="1"/>
  <c r="E1362" i="1"/>
  <c r="K1362" i="1"/>
  <c r="E576" i="1"/>
  <c r="K576" i="1"/>
  <c r="E175" i="1"/>
  <c r="K175" i="1"/>
  <c r="E292" i="1"/>
  <c r="K292" i="1"/>
  <c r="E599" i="1"/>
  <c r="K599" i="1"/>
  <c r="E1187" i="1"/>
  <c r="K1187" i="1"/>
  <c r="E332" i="1"/>
  <c r="K332" i="1"/>
  <c r="E282" i="1"/>
  <c r="K282" i="1"/>
  <c r="E613" i="1"/>
  <c r="K613" i="1"/>
  <c r="E1307" i="1"/>
  <c r="K1307" i="1"/>
  <c r="E712" i="1"/>
  <c r="K712" i="1"/>
  <c r="E1258" i="1"/>
  <c r="K1258" i="1"/>
  <c r="E206" i="1"/>
  <c r="K206" i="1"/>
  <c r="E207" i="1"/>
  <c r="K207" i="1"/>
  <c r="E587" i="1"/>
  <c r="K587" i="1"/>
  <c r="E603" i="1"/>
  <c r="K603" i="1"/>
  <c r="E557" i="1"/>
  <c r="K557" i="1"/>
  <c r="E933" i="1"/>
  <c r="K933" i="1"/>
  <c r="E196" i="1"/>
  <c r="K196" i="1"/>
  <c r="E451" i="1"/>
  <c r="K451" i="1"/>
  <c r="E1347" i="1"/>
  <c r="K1347" i="1"/>
  <c r="E1235" i="1"/>
  <c r="K1235" i="1"/>
  <c r="E1241" i="1"/>
  <c r="K1241" i="1"/>
  <c r="E963" i="1"/>
  <c r="K963" i="1"/>
  <c r="E1001" i="1"/>
  <c r="K1001" i="1"/>
  <c r="E444" i="1"/>
  <c r="K444" i="1"/>
  <c r="E1146" i="1"/>
  <c r="K1146" i="1"/>
  <c r="E113" i="1"/>
  <c r="K113" i="1"/>
  <c r="E844" i="1"/>
  <c r="K844" i="1"/>
  <c r="E302" i="1"/>
  <c r="K302" i="1"/>
  <c r="E970" i="1"/>
  <c r="K970" i="1"/>
  <c r="E710" i="1"/>
  <c r="K710" i="1"/>
  <c r="E235" i="1"/>
  <c r="K235" i="1"/>
  <c r="E1298" i="1"/>
  <c r="K1298" i="1"/>
  <c r="E350" i="1"/>
  <c r="K350" i="1"/>
  <c r="E619" i="1"/>
  <c r="K619" i="1"/>
  <c r="E1246" i="1"/>
  <c r="K1246" i="1"/>
  <c r="E1141" i="1"/>
  <c r="K1141" i="1"/>
  <c r="E138" i="1"/>
  <c r="K138" i="1"/>
  <c r="E365" i="1"/>
  <c r="K365" i="1"/>
  <c r="E714" i="1"/>
  <c r="K714" i="1"/>
  <c r="E16" i="1"/>
  <c r="K16" i="1"/>
  <c r="E14" i="1"/>
  <c r="K14" i="1"/>
  <c r="E1240" i="1"/>
  <c r="K1240" i="1"/>
  <c r="E233" i="1"/>
  <c r="K233" i="1"/>
  <c r="E1326" i="1"/>
  <c r="K1326" i="1"/>
  <c r="E810" i="1"/>
  <c r="K810" i="1"/>
  <c r="E307" i="1"/>
  <c r="K307" i="1"/>
  <c r="E638" i="1"/>
  <c r="K638" i="1"/>
  <c r="E55" i="1"/>
  <c r="K55" i="1"/>
  <c r="E1308" i="1"/>
  <c r="K1308" i="1"/>
  <c r="E455" i="1"/>
  <c r="K455" i="1"/>
  <c r="E1223" i="1"/>
  <c r="K1223" i="1"/>
  <c r="E1224" i="1"/>
  <c r="K1224" i="1"/>
  <c r="E1159" i="1"/>
  <c r="K1159" i="1"/>
  <c r="E824" i="1"/>
  <c r="K824" i="1"/>
  <c r="E864" i="1"/>
  <c r="K864" i="1"/>
  <c r="E1123" i="1"/>
  <c r="K1123" i="1"/>
  <c r="E1088" i="1"/>
  <c r="K1088" i="1"/>
  <c r="E687" i="1"/>
  <c r="K687" i="1"/>
  <c r="E652" i="1"/>
  <c r="K652" i="1"/>
  <c r="E256" i="1"/>
  <c r="K256" i="1"/>
  <c r="E43" i="1"/>
  <c r="K43" i="1"/>
  <c r="E608" i="1"/>
  <c r="K608" i="1"/>
  <c r="E745" i="1"/>
  <c r="K745" i="1"/>
  <c r="E1272" i="1"/>
  <c r="K1272" i="1"/>
  <c r="E38" i="1"/>
  <c r="K38" i="1"/>
  <c r="E353" i="1"/>
  <c r="K353" i="1"/>
  <c r="E1139" i="1"/>
  <c r="K1139" i="1"/>
  <c r="E211" i="1"/>
  <c r="K211" i="1"/>
  <c r="E675" i="1"/>
  <c r="K675" i="1"/>
  <c r="E219" i="1"/>
  <c r="K219" i="1"/>
  <c r="E289" i="1"/>
  <c r="K289" i="1"/>
  <c r="E48" i="1"/>
  <c r="K48" i="1"/>
  <c r="E140" i="1"/>
  <c r="K140" i="1"/>
  <c r="E1338" i="1"/>
  <c r="K1338" i="1"/>
  <c r="E25" i="1"/>
  <c r="K25" i="1"/>
  <c r="E1145" i="1"/>
  <c r="K1145" i="1"/>
  <c r="E375" i="1"/>
  <c r="K375" i="1"/>
  <c r="E588" i="1"/>
  <c r="K588" i="1"/>
  <c r="E606" i="1"/>
  <c r="K606" i="1"/>
  <c r="E1366" i="1"/>
  <c r="K1366" i="1"/>
  <c r="E330" i="1"/>
  <c r="K330" i="1"/>
  <c r="E1071" i="1"/>
  <c r="K1071" i="1"/>
  <c r="E596" i="1"/>
  <c r="K596" i="1"/>
  <c r="E1130" i="1"/>
  <c r="K1130" i="1"/>
  <c r="E344" i="1"/>
  <c r="K344" i="1"/>
  <c r="E556" i="1"/>
  <c r="K556" i="1"/>
  <c r="E876" i="1"/>
  <c r="K876" i="1"/>
  <c r="E555" i="1"/>
  <c r="K555" i="1"/>
  <c r="E694" i="1"/>
  <c r="K694" i="1"/>
  <c r="E865" i="1"/>
  <c r="K865" i="1"/>
  <c r="E1337" i="1"/>
  <c r="K1337" i="1"/>
  <c r="E370" i="1"/>
  <c r="K370" i="1"/>
  <c r="E1189" i="1"/>
  <c r="K1189" i="1"/>
  <c r="E2" i="1"/>
  <c r="K2" i="1"/>
  <c r="E583" i="1"/>
  <c r="K583" i="1"/>
  <c r="E1090" i="1"/>
  <c r="K1090" i="1"/>
  <c r="E84" i="1"/>
  <c r="K84" i="1"/>
  <c r="E1107" i="1"/>
  <c r="K1107" i="1"/>
  <c r="E1231" i="1"/>
  <c r="K1231" i="1"/>
  <c r="E1175" i="1"/>
  <c r="K1175" i="1"/>
  <c r="E548" i="1"/>
  <c r="K548" i="1"/>
  <c r="E1330" i="1"/>
  <c r="K1330" i="1"/>
  <c r="E29" i="1"/>
  <c r="K29" i="1"/>
  <c r="E102" i="1"/>
  <c r="K102" i="1"/>
  <c r="E231" i="1"/>
  <c r="K231" i="1"/>
  <c r="E642" i="1"/>
  <c r="K642" i="1"/>
  <c r="E1323" i="1"/>
  <c r="K1323" i="1"/>
  <c r="E81" i="1"/>
  <c r="K81" i="1"/>
  <c r="E158" i="1"/>
  <c r="K158" i="1"/>
  <c r="E495" i="1"/>
  <c r="K495" i="1"/>
  <c r="E1301" i="1"/>
  <c r="K1301" i="1"/>
  <c r="E1289" i="1"/>
  <c r="K1289" i="1"/>
  <c r="E578" i="1"/>
  <c r="K578" i="1"/>
  <c r="E20" i="1"/>
  <c r="K20" i="1"/>
  <c r="E625" i="1"/>
  <c r="K625" i="1"/>
  <c r="E534" i="1"/>
  <c r="K534" i="1"/>
  <c r="E1283" i="1"/>
  <c r="K1283" i="1"/>
  <c r="E1264" i="1"/>
  <c r="K1264" i="1"/>
  <c r="E1070" i="1"/>
  <c r="K1070" i="1"/>
  <c r="E1152" i="1"/>
  <c r="K1152" i="1"/>
  <c r="E285" i="1"/>
  <c r="K285" i="1"/>
  <c r="E281" i="1"/>
  <c r="K281" i="1"/>
  <c r="E938" i="1"/>
  <c r="K938" i="1"/>
  <c r="E834" i="1"/>
  <c r="K834" i="1"/>
  <c r="E1117" i="1"/>
  <c r="K1117" i="1"/>
  <c r="E1118" i="1"/>
  <c r="K1118" i="1"/>
  <c r="E128" i="1"/>
  <c r="K128" i="1"/>
  <c r="E767" i="1"/>
  <c r="K767" i="1"/>
  <c r="E1378" i="1"/>
  <c r="K1378" i="1"/>
  <c r="E691" i="1"/>
  <c r="K691" i="1"/>
  <c r="E252" i="1"/>
  <c r="K252" i="1"/>
  <c r="E872" i="1"/>
  <c r="K872" i="1"/>
  <c r="E855" i="1"/>
  <c r="K855" i="1"/>
  <c r="E197" i="1"/>
  <c r="K197" i="1"/>
  <c r="E1309" i="1"/>
  <c r="K1309" i="1"/>
  <c r="E279" i="1"/>
  <c r="K279" i="1"/>
  <c r="E545" i="1"/>
  <c r="K545" i="1"/>
  <c r="E1236" i="1"/>
  <c r="K1236" i="1"/>
  <c r="E265" i="1"/>
  <c r="K265" i="1"/>
  <c r="E549" i="1"/>
  <c r="K549" i="1"/>
  <c r="E802" i="1"/>
  <c r="K802" i="1"/>
  <c r="E770" i="1"/>
  <c r="K770" i="1"/>
  <c r="E210" i="1"/>
  <c r="K210" i="1"/>
  <c r="E126" i="1"/>
  <c r="K126" i="1"/>
  <c r="E914" i="1"/>
  <c r="K914" i="1"/>
  <c r="E24" i="1"/>
  <c r="K24" i="1"/>
  <c r="E160" i="1"/>
  <c r="K160" i="1"/>
  <c r="E313" i="1"/>
  <c r="K313" i="1"/>
  <c r="E863" i="1"/>
  <c r="K863" i="1"/>
  <c r="E46" i="1"/>
  <c r="K46" i="1"/>
  <c r="E1251" i="1"/>
  <c r="K1251" i="1"/>
  <c r="E826" i="1"/>
  <c r="K826" i="1"/>
  <c r="E1007" i="1"/>
  <c r="K1007" i="1"/>
  <c r="E513" i="1"/>
  <c r="K513" i="1"/>
  <c r="E1294" i="1"/>
  <c r="K1294" i="1"/>
  <c r="E1239" i="1"/>
  <c r="K1239" i="1"/>
  <c r="E1242" i="1"/>
  <c r="K1242" i="1"/>
  <c r="E275" i="1"/>
  <c r="K275" i="1"/>
  <c r="E1064" i="1"/>
  <c r="K1064" i="1"/>
  <c r="E843" i="1"/>
  <c r="K843" i="1"/>
  <c r="E101" i="1"/>
  <c r="K101" i="1"/>
  <c r="E478" i="1"/>
  <c r="K478" i="1"/>
  <c r="E778" i="1"/>
  <c r="K778" i="1"/>
  <c r="E174" i="1"/>
  <c r="K174" i="1"/>
  <c r="E804" i="1"/>
  <c r="K804" i="1"/>
  <c r="E68" i="1"/>
  <c r="K68" i="1"/>
  <c r="E276" i="1"/>
  <c r="K276" i="1"/>
  <c r="E1162" i="1"/>
  <c r="K1162" i="1"/>
  <c r="E297" i="1"/>
  <c r="K297" i="1"/>
  <c r="E346" i="1"/>
  <c r="K346" i="1"/>
  <c r="E978" i="1"/>
  <c r="K978" i="1"/>
  <c r="E916" i="1"/>
  <c r="K916" i="1"/>
  <c r="E309" i="1"/>
  <c r="K309" i="1"/>
  <c r="E323" i="1"/>
  <c r="K323" i="1"/>
  <c r="E504" i="1"/>
  <c r="K504" i="1"/>
  <c r="E161" i="1"/>
  <c r="K161" i="1"/>
  <c r="E179" i="1"/>
  <c r="K179" i="1"/>
  <c r="E88" i="1"/>
  <c r="K88" i="1"/>
  <c r="E22" i="1"/>
  <c r="K22" i="1"/>
  <c r="E1267" i="1"/>
  <c r="K1267" i="1"/>
  <c r="E941" i="1"/>
  <c r="K941" i="1"/>
  <c r="E1158" i="1"/>
  <c r="K1158" i="1"/>
  <c r="E1061" i="1"/>
  <c r="K1061" i="1"/>
  <c r="E605" i="1"/>
  <c r="K605" i="1"/>
  <c r="E355" i="1"/>
  <c r="K355" i="1"/>
  <c r="E1225" i="1"/>
  <c r="K1225" i="1"/>
  <c r="E1284" i="1"/>
  <c r="K1284" i="1"/>
  <c r="E506" i="1"/>
  <c r="K506" i="1"/>
  <c r="E507" i="1"/>
  <c r="K507" i="1"/>
  <c r="E277" i="1"/>
  <c r="K277" i="1"/>
  <c r="E426" i="1"/>
  <c r="K426" i="1"/>
  <c r="E30" i="1"/>
  <c r="K30" i="1"/>
  <c r="E1059" i="1"/>
  <c r="K1059" i="1"/>
  <c r="E1204" i="1"/>
  <c r="K1204" i="1"/>
  <c r="E649" i="1"/>
  <c r="K649" i="1"/>
  <c r="E154" i="1"/>
  <c r="K154" i="1"/>
  <c r="E1094" i="1"/>
  <c r="K1094" i="1"/>
  <c r="E915" i="1"/>
  <c r="K915" i="1"/>
  <c r="E538" i="1"/>
  <c r="K538" i="1"/>
  <c r="E475" i="1"/>
  <c r="K475" i="1"/>
  <c r="E1021" i="1"/>
  <c r="K1021" i="1"/>
  <c r="E580" i="1"/>
  <c r="K580" i="1"/>
  <c r="E1065" i="1"/>
  <c r="K1065" i="1"/>
  <c r="E400" i="1"/>
  <c r="K400" i="1"/>
  <c r="E112" i="1"/>
  <c r="K112" i="1"/>
  <c r="E1049" i="1"/>
  <c r="K1049" i="1"/>
  <c r="E1205" i="1"/>
  <c r="K1205" i="1"/>
  <c r="E1166" i="1"/>
  <c r="K1166" i="1"/>
  <c r="E1216" i="1"/>
  <c r="K1216" i="1"/>
  <c r="E435" i="1"/>
  <c r="K435" i="1"/>
  <c r="E1181" i="1"/>
  <c r="K1181" i="1"/>
  <c r="E212" i="1"/>
  <c r="K212" i="1"/>
  <c r="E1293" i="1"/>
  <c r="K1293" i="1"/>
  <c r="E1042" i="1"/>
  <c r="K1042" i="1"/>
  <c r="E286" i="1"/>
  <c r="K286" i="1"/>
  <c r="E898" i="1"/>
  <c r="K898" i="1"/>
  <c r="E893" i="1"/>
  <c r="K893" i="1"/>
  <c r="E996" i="1"/>
  <c r="K996" i="1"/>
  <c r="E801" i="1"/>
  <c r="K801" i="1"/>
  <c r="E952" i="1"/>
  <c r="K952" i="1"/>
  <c r="E991" i="1"/>
  <c r="K991" i="1"/>
  <c r="E1026" i="1"/>
  <c r="K1026" i="1"/>
  <c r="E54" i="1"/>
  <c r="K54" i="1"/>
  <c r="E1041" i="1"/>
  <c r="K1041" i="1"/>
  <c r="E1036" i="1"/>
  <c r="K1036" i="1"/>
  <c r="E1051" i="1"/>
  <c r="K1051" i="1"/>
  <c r="E244" i="1"/>
  <c r="K244" i="1"/>
  <c r="E1317" i="1"/>
  <c r="K1317" i="1"/>
  <c r="E1318" i="1"/>
  <c r="K1318" i="1"/>
  <c r="E53" i="1"/>
  <c r="K53" i="1"/>
  <c r="E3" i="1"/>
  <c r="K3" i="1"/>
  <c r="E327" i="1"/>
  <c r="K327" i="1"/>
  <c r="E574" i="1"/>
  <c r="K574" i="1"/>
  <c r="E581" i="1"/>
  <c r="K581" i="1"/>
  <c r="E325" i="1"/>
  <c r="K325" i="1"/>
  <c r="E1228" i="1"/>
  <c r="K1228" i="1"/>
  <c r="E44" i="1"/>
  <c r="K44" i="1"/>
  <c r="E1372" i="1"/>
  <c r="K1372" i="1"/>
  <c r="E1345" i="1"/>
  <c r="K1345" i="1"/>
  <c r="E1376" i="1"/>
  <c r="K1376" i="1"/>
  <c r="E761" i="1"/>
  <c r="K761" i="1"/>
  <c r="E1018" i="1"/>
  <c r="K1018" i="1"/>
  <c r="E1072" i="1"/>
  <c r="K1072" i="1"/>
  <c r="E1115" i="1"/>
  <c r="K1115" i="1"/>
  <c r="E1150" i="1"/>
  <c r="K1150" i="1"/>
  <c r="E1193" i="1"/>
  <c r="K1193" i="1"/>
  <c r="E97" i="1"/>
  <c r="K97" i="1"/>
  <c r="E1084" i="1"/>
  <c r="K1084" i="1"/>
  <c r="E459" i="1"/>
  <c r="K459" i="1"/>
  <c r="E928" i="1"/>
  <c r="K928" i="1"/>
  <c r="E1047" i="1"/>
  <c r="K1047" i="1"/>
  <c r="E787" i="1"/>
  <c r="K787" i="1"/>
  <c r="E1105" i="1"/>
  <c r="K1105" i="1"/>
  <c r="E867" i="1"/>
  <c r="K867" i="1"/>
  <c r="E76" i="1"/>
  <c r="K76" i="1"/>
  <c r="E1111" i="1"/>
  <c r="K1111" i="1"/>
  <c r="E1368" i="1"/>
  <c r="K1368" i="1"/>
  <c r="E64" i="1"/>
  <c r="K64" i="1"/>
  <c r="E213" i="1"/>
  <c r="K213" i="1"/>
  <c r="E708" i="1"/>
  <c r="K708" i="1"/>
  <c r="E1334" i="1"/>
  <c r="K1334" i="1"/>
  <c r="E1093" i="1"/>
  <c r="K1093" i="1"/>
  <c r="E182" i="1"/>
  <c r="K182" i="1"/>
  <c r="E749" i="1"/>
  <c r="K749" i="1"/>
  <c r="E74" i="1"/>
  <c r="K74" i="1"/>
  <c r="E454" i="1"/>
  <c r="K454" i="1"/>
  <c r="E672" i="1"/>
  <c r="K672" i="1"/>
  <c r="E253" i="1"/>
  <c r="K253" i="1"/>
  <c r="E759" i="1"/>
  <c r="K759" i="1"/>
  <c r="E758" i="1"/>
  <c r="K758" i="1"/>
  <c r="E318" i="1"/>
  <c r="K318" i="1"/>
  <c r="E1173" i="1"/>
  <c r="K1173" i="1"/>
  <c r="E1023" i="1"/>
  <c r="K1023" i="1"/>
  <c r="E190" i="1"/>
  <c r="K190" i="1"/>
  <c r="E403" i="1"/>
  <c r="K403" i="1"/>
  <c r="E462" i="1"/>
  <c r="K462" i="1"/>
  <c r="E629" i="1"/>
  <c r="K629" i="1"/>
  <c r="E373" i="1"/>
  <c r="K373" i="1"/>
  <c r="E472" i="1"/>
  <c r="K472" i="1"/>
  <c r="E526" i="1"/>
  <c r="K526" i="1"/>
  <c r="E1250" i="1"/>
  <c r="K1250" i="1"/>
  <c r="E1017" i="1"/>
  <c r="K1017" i="1"/>
  <c r="E1282" i="1"/>
  <c r="K1282" i="1"/>
  <c r="E114" i="1"/>
  <c r="K114" i="1"/>
  <c r="E1155" i="1"/>
  <c r="K1155" i="1"/>
  <c r="E259" i="1"/>
  <c r="K259" i="1"/>
  <c r="E949" i="1"/>
  <c r="K949" i="1"/>
  <c r="E322" i="1"/>
  <c r="K322" i="1"/>
  <c r="E1062" i="1"/>
  <c r="K1062" i="1"/>
  <c r="E1171" i="1"/>
  <c r="K1171" i="1"/>
  <c r="E85" i="1"/>
  <c r="K85" i="1"/>
  <c r="E610" i="1"/>
  <c r="K610" i="1"/>
  <c r="E1252" i="1"/>
  <c r="K1252" i="1"/>
  <c r="E484" i="1"/>
  <c r="K484" i="1"/>
  <c r="E692" i="1"/>
  <c r="K692" i="1"/>
  <c r="E316" i="1"/>
  <c r="K316" i="1"/>
  <c r="E397" i="1"/>
  <c r="K397" i="1"/>
  <c r="E130" i="1"/>
  <c r="K130" i="1"/>
  <c r="E1106" i="1"/>
  <c r="K1106" i="1"/>
  <c r="E489" i="1"/>
  <c r="K489" i="1"/>
  <c r="E1067" i="1"/>
  <c r="K1067" i="1"/>
  <c r="E433" i="1"/>
  <c r="K433" i="1"/>
  <c r="E1133" i="1"/>
  <c r="K1133" i="1"/>
  <c r="E1233" i="1"/>
  <c r="K1233" i="1"/>
  <c r="E959" i="1"/>
  <c r="K959" i="1"/>
  <c r="E1010" i="1"/>
  <c r="K1010" i="1"/>
  <c r="E1137" i="1"/>
  <c r="K1137" i="1"/>
  <c r="E1217" i="1"/>
  <c r="K1217" i="1"/>
  <c r="E19" i="1"/>
  <c r="K19" i="1"/>
  <c r="E505" i="1"/>
  <c r="K505" i="1"/>
  <c r="E340" i="1"/>
  <c r="K340" i="1"/>
  <c r="E709" i="1"/>
  <c r="K709" i="1"/>
  <c r="E577" i="1"/>
  <c r="K577" i="1"/>
  <c r="E467" i="1"/>
  <c r="K467" i="1"/>
  <c r="E1156" i="1"/>
  <c r="K1156" i="1"/>
  <c r="E386" i="1"/>
  <c r="K386" i="1"/>
  <c r="E294" i="1"/>
  <c r="K294" i="1"/>
  <c r="E823" i="1"/>
  <c r="K823" i="1"/>
  <c r="E1170" i="1"/>
  <c r="K1170" i="1"/>
  <c r="E1322" i="1"/>
  <c r="K1322" i="1"/>
  <c r="E780" i="1"/>
  <c r="K780" i="1"/>
  <c r="E1124" i="1"/>
  <c r="K1124" i="1"/>
  <c r="E1134" i="1"/>
  <c r="K1134" i="1"/>
  <c r="E656" i="1"/>
  <c r="K656" i="1"/>
  <c r="E798" i="1"/>
  <c r="K798" i="1"/>
  <c r="E497" i="1"/>
  <c r="K497" i="1"/>
  <c r="E402" i="1"/>
  <c r="K402" i="1"/>
  <c r="E851" i="1"/>
  <c r="K851" i="1"/>
  <c r="E1153" i="1"/>
  <c r="K1153" i="1"/>
  <c r="E544" i="1"/>
  <c r="K544" i="1"/>
  <c r="E623" i="1"/>
  <c r="K623" i="1"/>
  <c r="E905" i="1"/>
  <c r="K905" i="1"/>
  <c r="E972" i="1"/>
  <c r="K972" i="1"/>
  <c r="E320" i="1"/>
  <c r="K320" i="1"/>
  <c r="E567" i="1"/>
  <c r="K567" i="1"/>
  <c r="E442" i="1"/>
  <c r="K442" i="1"/>
  <c r="E1073" i="1"/>
  <c r="K1073" i="1"/>
  <c r="E382" i="1"/>
  <c r="K382" i="1"/>
  <c r="E364" i="1"/>
  <c r="K364" i="1"/>
  <c r="E407" i="1"/>
  <c r="K407" i="1"/>
  <c r="E1060" i="1"/>
  <c r="K1060" i="1"/>
  <c r="E661" i="1"/>
  <c r="K661" i="1"/>
  <c r="E203" i="1"/>
  <c r="K203" i="1"/>
  <c r="E31" i="1"/>
  <c r="K31" i="1"/>
  <c r="E1104" i="1"/>
  <c r="K1104" i="1"/>
  <c r="E372" i="1"/>
  <c r="K372" i="1"/>
  <c r="E1257" i="1"/>
  <c r="K1257" i="1"/>
  <c r="E200" i="1"/>
  <c r="K200" i="1"/>
  <c r="E468" i="1"/>
  <c r="K468" i="1"/>
  <c r="E1089" i="1"/>
  <c r="K1089" i="1"/>
  <c r="E525" i="1"/>
  <c r="K525" i="1"/>
  <c r="E718" i="1"/>
  <c r="K718" i="1"/>
  <c r="E620" i="1"/>
  <c r="K620" i="1"/>
  <c r="E1110" i="1"/>
  <c r="K1110" i="1"/>
  <c r="E907" i="1"/>
  <c r="K907" i="1"/>
  <c r="E416" i="1"/>
  <c r="K416" i="1"/>
  <c r="E1092" i="1"/>
  <c r="K1092" i="1"/>
  <c r="E631" i="1"/>
  <c r="K631" i="1"/>
  <c r="E654" i="1"/>
  <c r="K654" i="1"/>
  <c r="E716" i="1"/>
  <c r="K716" i="1"/>
  <c r="E1046" i="1"/>
  <c r="K1046" i="1"/>
  <c r="E765" i="1"/>
  <c r="K765" i="1"/>
  <c r="E150" i="1"/>
  <c r="K150" i="1"/>
  <c r="E456" i="1"/>
  <c r="K456" i="1"/>
  <c r="E278" i="1"/>
  <c r="K278" i="1"/>
  <c r="E794" i="1"/>
  <c r="K794" i="1"/>
  <c r="E250" i="1"/>
  <c r="K250" i="1"/>
  <c r="E818" i="1"/>
  <c r="K818" i="1"/>
  <c r="E1079" i="1"/>
  <c r="K1079" i="1"/>
  <c r="E1195" i="1"/>
  <c r="K1195" i="1"/>
  <c r="E1186" i="1"/>
  <c r="K1186" i="1"/>
  <c r="E245" i="1"/>
  <c r="K245" i="1"/>
  <c r="E1328" i="1"/>
  <c r="K1328" i="1"/>
  <c r="E720" i="1"/>
  <c r="K720" i="1"/>
  <c r="E171" i="1"/>
  <c r="K171" i="1"/>
  <c r="E494" i="1"/>
  <c r="K494" i="1"/>
  <c r="E438" i="1"/>
  <c r="K438" i="1"/>
  <c r="E287" i="1"/>
  <c r="K287" i="1"/>
  <c r="E399" i="1"/>
  <c r="K399" i="1"/>
  <c r="E124" i="1"/>
  <c r="K124" i="1"/>
  <c r="E223" i="1"/>
  <c r="K223" i="1"/>
  <c r="E293" i="1"/>
  <c r="K293" i="1"/>
  <c r="E42" i="1"/>
  <c r="K42" i="1"/>
  <c r="E1063" i="1"/>
  <c r="K1063" i="1"/>
  <c r="E817" i="1"/>
  <c r="K817" i="1"/>
  <c r="E755" i="1"/>
  <c r="K755" i="1"/>
  <c r="E713" i="1"/>
  <c r="K713" i="1"/>
  <c r="E1237" i="1"/>
  <c r="K1237" i="1"/>
  <c r="E1178" i="1"/>
  <c r="K1178" i="1"/>
  <c r="E807" i="1"/>
  <c r="K807" i="1"/>
  <c r="E1006" i="1"/>
  <c r="K1006" i="1"/>
  <c r="E450" i="1"/>
  <c r="K450" i="1"/>
  <c r="E666" i="1"/>
  <c r="K666" i="1"/>
  <c r="E1344" i="1"/>
  <c r="K1344" i="1"/>
  <c r="E923" i="1"/>
  <c r="K923" i="1"/>
  <c r="E378" i="1"/>
  <c r="K378" i="1"/>
  <c r="E9" i="1"/>
  <c r="K9" i="1"/>
  <c r="E1080" i="1"/>
  <c r="K1080" i="1"/>
  <c r="E698" i="1"/>
  <c r="K698" i="1"/>
  <c r="E572" i="1"/>
  <c r="K572" i="1"/>
  <c r="E696" i="1"/>
  <c r="K696" i="1"/>
  <c r="E701" i="1"/>
  <c r="K701" i="1"/>
  <c r="E1054" i="1"/>
  <c r="K1054" i="1"/>
  <c r="E1074" i="1"/>
  <c r="K1074" i="1"/>
</calcChain>
</file>

<file path=xl/sharedStrings.xml><?xml version="1.0" encoding="utf-8"?>
<sst xmlns="http://schemas.openxmlformats.org/spreadsheetml/2006/main" count="11102" uniqueCount="4083">
  <si>
    <t>Park Physical Addr City</t>
  </si>
  <si>
    <t>Park Physical Addr State</t>
  </si>
  <si>
    <t>Park Physical Addr Zip</t>
  </si>
  <si>
    <t>County</t>
  </si>
  <si>
    <t>Park Mailing Addr City</t>
  </si>
  <si>
    <t>Park Mailing Addr State</t>
  </si>
  <si>
    <t>Park Mailing Addr Zip</t>
  </si>
  <si>
    <t>Total No. of Spaces in Park</t>
  </si>
  <si>
    <t>No. of Spaces Rented</t>
  </si>
  <si>
    <t>Vacancies</t>
  </si>
  <si>
    <t>KINGSBURY WEST MOBILE HOME PARK</t>
  </si>
  <si>
    <t>5220 176TH ST SW</t>
  </si>
  <si>
    <t>LYNNWOOD</t>
  </si>
  <si>
    <t>WA</t>
  </si>
  <si>
    <t>SNOHOMISH</t>
  </si>
  <si>
    <t>2721 S GARFIELD ST</t>
  </si>
  <si>
    <t>KENNEWICK</t>
  </si>
  <si>
    <t>SHIELD MH TRACTS</t>
  </si>
  <si>
    <t>3405 SATURDAY AVE</t>
  </si>
  <si>
    <t>MALAGA</t>
  </si>
  <si>
    <t>CHELAN</t>
  </si>
  <si>
    <t>PO BOX 1767</t>
  </si>
  <si>
    <t>WENATCHEE</t>
  </si>
  <si>
    <t>LEPELL'S MOBILE MANOR</t>
  </si>
  <si>
    <t>151 NELSON RD</t>
  </si>
  <si>
    <t>FORKS</t>
  </si>
  <si>
    <t>CLALLAM</t>
  </si>
  <si>
    <t>PO BOX 444</t>
  </si>
  <si>
    <t>OAK HAVEN MANUFACTURED HOME COMMUNITY</t>
  </si>
  <si>
    <t>5701 NE ST JOHNS RD</t>
  </si>
  <si>
    <t>VANCOUVER</t>
  </si>
  <si>
    <t>CLARK</t>
  </si>
  <si>
    <t>17308 NE 65TH AVE</t>
  </si>
  <si>
    <t>99 RV PARK</t>
  </si>
  <si>
    <t>1913 NE LEICHNER RD</t>
  </si>
  <si>
    <t>ISSAQUAH VILLAGE RV PARK</t>
  </si>
  <si>
    <t>650 1ST AVE NE</t>
  </si>
  <si>
    <t>ISSAQUAH</t>
  </si>
  <si>
    <t>KING</t>
  </si>
  <si>
    <t>CRYSTAL TREE VILLAGE</t>
  </si>
  <si>
    <t>16600 25TH AVE NE</t>
  </si>
  <si>
    <t>MARYSVILLE</t>
  </si>
  <si>
    <t>6411 77TH AVE SE</t>
  </si>
  <si>
    <t>MERCER ISLAND</t>
  </si>
  <si>
    <t>COUNTRY CARRIAGE ESTATES</t>
  </si>
  <si>
    <t>20406 LITTLE BEAR CREEK RD</t>
  </si>
  <si>
    <t>WOODINVILLE</t>
  </si>
  <si>
    <t>PO BOX 1708</t>
  </si>
  <si>
    <t>BOTHELL</t>
  </si>
  <si>
    <t>BIRLEY MOBILE HOME COURT</t>
  </si>
  <si>
    <t>154 MOSSYROCK RD W</t>
  </si>
  <si>
    <t>MOSSYROCK</t>
  </si>
  <si>
    <t>LEWIS</t>
  </si>
  <si>
    <t>PO BOX 195</t>
  </si>
  <si>
    <t>CEDAR LANE PARK</t>
  </si>
  <si>
    <t>120 CEDAR LN</t>
  </si>
  <si>
    <t>GLENOMA</t>
  </si>
  <si>
    <t>PO BOX 658</t>
  </si>
  <si>
    <t>FOX ISLAND</t>
  </si>
  <si>
    <t>REDMON'S MOBILE HOME PARK</t>
  </si>
  <si>
    <t>8138 US HWY 12</t>
  </si>
  <si>
    <t>HIDDEN CITY MOBILE HOME PARK</t>
  </si>
  <si>
    <t>2664 ELMWAY</t>
  </si>
  <si>
    <t>OKANOGAN</t>
  </si>
  <si>
    <t>PO BOX 163</t>
  </si>
  <si>
    <t>CHINOOK TRAILER PARK</t>
  </si>
  <si>
    <t>2 3RD ST W</t>
  </si>
  <si>
    <t>CHINOOK</t>
  </si>
  <si>
    <t>PACIFIC</t>
  </si>
  <si>
    <t>PO BOX 82</t>
  </si>
  <si>
    <t>BROOKWOOD MOBILE HOME PARK</t>
  </si>
  <si>
    <t>1905 CHESNEY RD E</t>
  </si>
  <si>
    <t>TACOMA</t>
  </si>
  <si>
    <t>PIERCE</t>
  </si>
  <si>
    <t>1911 CHESNEY RD E</t>
  </si>
  <si>
    <t>NELSON MOBILE HOME PARK</t>
  </si>
  <si>
    <t>10949 PETER ANDERSON RD</t>
  </si>
  <si>
    <t>BURLINGTON</t>
  </si>
  <si>
    <t>SKAGIT</t>
  </si>
  <si>
    <t>PO BOX 95</t>
  </si>
  <si>
    <t>BARKLY MANOR 55+</t>
  </si>
  <si>
    <t>3718 116TH ST NE</t>
  </si>
  <si>
    <t>MOBILE MANOR</t>
  </si>
  <si>
    <t>11424 36TH DR NE</t>
  </si>
  <si>
    <t>11424 36TH DR NE - OFFICE</t>
  </si>
  <si>
    <t>COLUMBUS PARK</t>
  </si>
  <si>
    <t>5700 BLACK LAKE BLVD SW</t>
  </si>
  <si>
    <t>OLYMPIA</t>
  </si>
  <si>
    <t>THURSTON</t>
  </si>
  <si>
    <t>5700 BLACK LAKE BLVD SW #62</t>
  </si>
  <si>
    <t>DENNY L BRADLEY MOBILE HOME PARK</t>
  </si>
  <si>
    <t>1322 88TH AVE SE</t>
  </si>
  <si>
    <t>4711 PRESTWICK LN SE</t>
  </si>
  <si>
    <t>LACEY</t>
  </si>
  <si>
    <t>TRAILER HAVEN</t>
  </si>
  <si>
    <t>1804 E ISAACS</t>
  </si>
  <si>
    <t>WALLA WALLA</t>
  </si>
  <si>
    <t>22 PEARMAIN AVE</t>
  </si>
  <si>
    <t>TRAILER VILLAGE MOBILE HOME PARK</t>
  </si>
  <si>
    <t>1603 N 1ST ST</t>
  </si>
  <si>
    <t>YAKIMA</t>
  </si>
  <si>
    <t>408 SANTA ROZA DR</t>
  </si>
  <si>
    <t>WONDERLAND ESTATES</t>
  </si>
  <si>
    <t>14645 SE RENTON-MAPLE VALLEY</t>
  </si>
  <si>
    <t>RENTON</t>
  </si>
  <si>
    <t>KING COUNTY HOUSING AUTHORITY</t>
  </si>
  <si>
    <t>PO BOX 22167</t>
  </si>
  <si>
    <t>SEATTLE</t>
  </si>
  <si>
    <t>BOW LAKE RESIDENTIAL COMMUNITY</t>
  </si>
  <si>
    <t>18050 32ND AVE S</t>
  </si>
  <si>
    <t>SEATAC</t>
  </si>
  <si>
    <t>4616 25TH AVE NE # 701</t>
  </si>
  <si>
    <t>4616 25TH AVE NE #701</t>
  </si>
  <si>
    <t>SCHIECHE TRAILER COURT</t>
  </si>
  <si>
    <t>405 E 1ST</t>
  </si>
  <si>
    <t>SPANGLE</t>
  </si>
  <si>
    <t>SPOKANE</t>
  </si>
  <si>
    <t>PO BOX 10</t>
  </si>
  <si>
    <t>SHADY ACRES</t>
  </si>
  <si>
    <t>20715 NE 109TH ST</t>
  </si>
  <si>
    <t>BRUSH PRAIRIE</t>
  </si>
  <si>
    <t>20715 NE 109TH ST UNIT 20</t>
  </si>
  <si>
    <t>ALDER GROVE</t>
  </si>
  <si>
    <t>1750 CALAWAH WAY</t>
  </si>
  <si>
    <t>1886 CALAWAH WAY</t>
  </si>
  <si>
    <t>SOUTH SHORE VILLAGE</t>
  </si>
  <si>
    <t>29 NEWSKAH RD</t>
  </si>
  <si>
    <t>ABERDEEN</t>
  </si>
  <si>
    <t>GRAYS HARBOR</t>
  </si>
  <si>
    <t>PO BOX 559</t>
  </si>
  <si>
    <t>SPRUCE WEST MOBILE HOME PARK</t>
  </si>
  <si>
    <t>301 N 7TH AVE</t>
  </si>
  <si>
    <t>SEQUIM</t>
  </si>
  <si>
    <t>301 N 7TH AVE SPC 72</t>
  </si>
  <si>
    <t>DALLESPORT MOBILE HOME PARK</t>
  </si>
  <si>
    <t>105 SHEPLER RD</t>
  </si>
  <si>
    <t>DALLESPORT</t>
  </si>
  <si>
    <t>KLICKITAT</t>
  </si>
  <si>
    <t>PO BOX 26</t>
  </si>
  <si>
    <t>GOLDENDALE</t>
  </si>
  <si>
    <t>BADGER LAKE ESTATES</t>
  </si>
  <si>
    <t>33801 S BADGER LAKE RD</t>
  </si>
  <si>
    <t>CHENEY</t>
  </si>
  <si>
    <t>PO BOX 330</t>
  </si>
  <si>
    <t>CANYON COURT MOBILE HOME PARK</t>
  </si>
  <si>
    <t>8817 CANYON RD E</t>
  </si>
  <si>
    <t>PUYALLUP</t>
  </si>
  <si>
    <t>14615 51ST AVE CT NW</t>
  </si>
  <si>
    <t>GIG HARBOR</t>
  </si>
  <si>
    <t>BROADVIEW</t>
  </si>
  <si>
    <t>1040 RUSSELL RD</t>
  </si>
  <si>
    <t>PO BOX 154</t>
  </si>
  <si>
    <t>THE BEACH HOUSE AT MARDON</t>
  </si>
  <si>
    <t>8198 HWY 262 SE</t>
  </si>
  <si>
    <t>OTHELLO</t>
  </si>
  <si>
    <t>ADAMS</t>
  </si>
  <si>
    <t>8198 HIGHWAY 262 SE</t>
  </si>
  <si>
    <t>OAKRIDGE MANOR</t>
  </si>
  <si>
    <t>23401 41ST AVE CT E</t>
  </si>
  <si>
    <t>SPANAWAY</t>
  </si>
  <si>
    <t>21709 SNAG ISLAND DR E</t>
  </si>
  <si>
    <t>LAKE TAPPS</t>
  </si>
  <si>
    <t>LAMPLIGHTER MOBILE HOME PARK</t>
  </si>
  <si>
    <t>2392 DOUGLAS DR</t>
  </si>
  <si>
    <t>FERNDALE</t>
  </si>
  <si>
    <t>WHATCOM</t>
  </si>
  <si>
    <t>3547 LAKEWAY DR</t>
  </si>
  <si>
    <t>BELLINGHAM</t>
  </si>
  <si>
    <t>HARBOR VIEW PARK</t>
  </si>
  <si>
    <t>30901 STATE RT 20</t>
  </si>
  <si>
    <t>OAK HARBOR</t>
  </si>
  <si>
    <t>ISLAND</t>
  </si>
  <si>
    <t>41 NE MIDWAY BLVD  STE #101</t>
  </si>
  <si>
    <t>MAPLE HILL PARK</t>
  </si>
  <si>
    <t>2930 N TAYLOR RD</t>
  </si>
  <si>
    <t>41 NE MIDWAY BLVD STE 101</t>
  </si>
  <si>
    <t>PONDEROSA MOBILE HOME PARK</t>
  </si>
  <si>
    <t>6417 N CINCINNATI ST</t>
  </si>
  <si>
    <t>PO BOX 141211</t>
  </si>
  <si>
    <t>BRETTHAUER MOBILE HOME PARK</t>
  </si>
  <si>
    <t>10201 E TRENT AVE</t>
  </si>
  <si>
    <t>MILLWOOD</t>
  </si>
  <si>
    <t>MARIETTA I MOBILE HOME COURT AND RENTALS</t>
  </si>
  <si>
    <t>171 S ELDERBERRY AVE</t>
  </si>
  <si>
    <t>PO BOX 35</t>
  </si>
  <si>
    <t>MARIETTA II MOBILE HOME COURT AND RENTALS</t>
  </si>
  <si>
    <t>1405 PAGE RD</t>
  </si>
  <si>
    <t>TOWN AND COUNTRY MOBILE HOME PARK</t>
  </si>
  <si>
    <t>1265 ELM ST</t>
  </si>
  <si>
    <t>CLARKSTON</t>
  </si>
  <si>
    <t>ASOTIN</t>
  </si>
  <si>
    <t>1213 16TH AVE</t>
  </si>
  <si>
    <t>KEY PENINSULA SPORTSMEN'S CLUB</t>
  </si>
  <si>
    <t>3503 JACKSON LAKE RD KPN</t>
  </si>
  <si>
    <t>LAKEBAY</t>
  </si>
  <si>
    <t>RAINEY CREEK MOBILE HOME &amp; RV PARK</t>
  </si>
  <si>
    <t>8372 US HWY 12</t>
  </si>
  <si>
    <t>262 SAVIO RD</t>
  </si>
  <si>
    <t>GREEN CENTER</t>
  </si>
  <si>
    <t>11926 AMBAUM BLVD SW</t>
  </si>
  <si>
    <t>BURIEN</t>
  </si>
  <si>
    <t>BOX 271</t>
  </si>
  <si>
    <t>3213 W WHEELER ST</t>
  </si>
  <si>
    <t>SANDY'S MOBILE HOME PARK</t>
  </si>
  <si>
    <t>1041 N HWY 395</t>
  </si>
  <si>
    <t>KETTLE FALLS</t>
  </si>
  <si>
    <t>STEVENS</t>
  </si>
  <si>
    <t>25193 HWY 395 N</t>
  </si>
  <si>
    <t>A-VIEW MOBILE PARK-RV-CABINS</t>
  </si>
  <si>
    <t>122 8TH ST</t>
  </si>
  <si>
    <t>CLALLAM BAY</t>
  </si>
  <si>
    <t>PO BOX 383</t>
  </si>
  <si>
    <t>CEDAR LANE MOBILE HOME PARK</t>
  </si>
  <si>
    <t>6118 67TH AVE NE</t>
  </si>
  <si>
    <t>1728 145TH AVE SE</t>
  </si>
  <si>
    <t>RILEY ESTATES</t>
  </si>
  <si>
    <t>14219 NE 18TH ST</t>
  </si>
  <si>
    <t>203 E RESERVE ST</t>
  </si>
  <si>
    <t>LEISURE MANOR ESTATES</t>
  </si>
  <si>
    <t>2400 TACOMA AVE</t>
  </si>
  <si>
    <t>BRIDGEPORT</t>
  </si>
  <si>
    <t>DOUGLAS</t>
  </si>
  <si>
    <t>116 SPRAGUE DR</t>
  </si>
  <si>
    <t>TWISP</t>
  </si>
  <si>
    <t>DEL RAY</t>
  </si>
  <si>
    <t>1112 TENNANT WAY</t>
  </si>
  <si>
    <t>LONGVIEW</t>
  </si>
  <si>
    <t>COWLITZ</t>
  </si>
  <si>
    <t>1112 TENNANT WAY STE 212</t>
  </si>
  <si>
    <t>DEL RAY II</t>
  </si>
  <si>
    <t>5600 MT SOLO RD</t>
  </si>
  <si>
    <t>15123 21ST DR SE</t>
  </si>
  <si>
    <t>MILL CREEK</t>
  </si>
  <si>
    <t>ANDERSON MOBILE HOME PARK</t>
  </si>
  <si>
    <t>9717 PACIFIC AVE</t>
  </si>
  <si>
    <t>34110 56TH AVE S</t>
  </si>
  <si>
    <t>ROY</t>
  </si>
  <si>
    <t>LYNELL SOLOMAN MOBILE HOME PARK</t>
  </si>
  <si>
    <t>1100 MERCHANT RD</t>
  </si>
  <si>
    <t>1151 MERCHANT RD</t>
  </si>
  <si>
    <t>NORMAN J GREENFIELD MOBILE HOME PARK</t>
  </si>
  <si>
    <t>5808 120TH AVENUE CT E</t>
  </si>
  <si>
    <t>1812 E MAIN</t>
  </si>
  <si>
    <t>OTHELLO TRAILER COURT</t>
  </si>
  <si>
    <t>70 E JUNIPER ST</t>
  </si>
  <si>
    <t>830 MEADOLARK LN</t>
  </si>
  <si>
    <t>NOEL MOBILE HOME PARK</t>
  </si>
  <si>
    <t>865 DAVIS LAKE RD</t>
  </si>
  <si>
    <t>MORTON</t>
  </si>
  <si>
    <t>PO BOX 399</t>
  </si>
  <si>
    <t>HARBORVIEW MOBILE ESTATES</t>
  </si>
  <si>
    <t>8585 HARBORVIEW RD</t>
  </si>
  <si>
    <t>BLAINE</t>
  </si>
  <si>
    <t>23702 111TH PL W</t>
  </si>
  <si>
    <t>WOODWAY</t>
  </si>
  <si>
    <t>JACKSON MOBILE ESTATES</t>
  </si>
  <si>
    <t>4165 JACKSON HWY</t>
  </si>
  <si>
    <t>CHEHALIS</t>
  </si>
  <si>
    <t>PO BOX 951</t>
  </si>
  <si>
    <t>NAPAVINE</t>
  </si>
  <si>
    <t>A MOBILE HOME PARK</t>
  </si>
  <si>
    <t>56 GREENACRES RD</t>
  </si>
  <si>
    <t>RIVERSIDE</t>
  </si>
  <si>
    <t>36 BASS ALY</t>
  </si>
  <si>
    <t>CANDLEWOOD ESTATES</t>
  </si>
  <si>
    <t>3832 164TH ST SW</t>
  </si>
  <si>
    <t>15803 W LINKSVIEW DR</t>
  </si>
  <si>
    <t>SURPRISE</t>
  </si>
  <si>
    <t>AZ</t>
  </si>
  <si>
    <t>GARDNERS MOBILE HOME COURT</t>
  </si>
  <si>
    <t>212 N BAKER ST</t>
  </si>
  <si>
    <t>CHEWELAH</t>
  </si>
  <si>
    <t>212 A N BAKER ST</t>
  </si>
  <si>
    <t>CLIFFORD R MCKILLOP</t>
  </si>
  <si>
    <t>1100 HESSE BLVD</t>
  </si>
  <si>
    <t>REPUBLIC</t>
  </si>
  <si>
    <t>FERRY</t>
  </si>
  <si>
    <t>PO BOX 731</t>
  </si>
  <si>
    <t>OCEAN BAY MOBILE &amp; RV PARK</t>
  </si>
  <si>
    <t>2515 BAY AVE</t>
  </si>
  <si>
    <t>OCEAN PARK</t>
  </si>
  <si>
    <t>FOOTHILLS ESTATE</t>
  </si>
  <si>
    <t>1000 ALEXANDER CT</t>
  </si>
  <si>
    <t>PROSSER</t>
  </si>
  <si>
    <t>BENTON</t>
  </si>
  <si>
    <t>2300 RIVER RD UNIT 20</t>
  </si>
  <si>
    <t>UNION MILLS MOBILE ESTATES</t>
  </si>
  <si>
    <t>915 UNION MILLS RD</t>
  </si>
  <si>
    <t>PO BOX 6914</t>
  </si>
  <si>
    <t>PRESCOTT MOBILE ESTATES</t>
  </si>
  <si>
    <t>205 E 3RD</t>
  </si>
  <si>
    <t>PRESCOTT</t>
  </si>
  <si>
    <t>EVERGREEN MOBILE PARK</t>
  </si>
  <si>
    <t>6800 ENTERPRISE RD</t>
  </si>
  <si>
    <t>PO BOX 3007</t>
  </si>
  <si>
    <t>TALL CEDARS</t>
  </si>
  <si>
    <t>401 37TH ST SE</t>
  </si>
  <si>
    <t>AUBURN</t>
  </si>
  <si>
    <t>RAINIER VIEW</t>
  </si>
  <si>
    <t>32631 1ST AVE</t>
  </si>
  <si>
    <t>BLACK DIAMOND</t>
  </si>
  <si>
    <t>600 ANDOVER PARK W</t>
  </si>
  <si>
    <t>TUKWILA</t>
  </si>
  <si>
    <t>VANTAGE GLEN</t>
  </si>
  <si>
    <t>18100 107TH PL SE</t>
  </si>
  <si>
    <t>LOST LAKE MOBILE HOME PARK</t>
  </si>
  <si>
    <t>11426 200TH AVE NE</t>
  </si>
  <si>
    <t>GRANITE FALLS</t>
  </si>
  <si>
    <t>PO BOX 725</t>
  </si>
  <si>
    <t>BIGFOOT MOBILE HOME PARK</t>
  </si>
  <si>
    <t>3010 232ND ST E</t>
  </si>
  <si>
    <t>3010 232ND ST E # 13</t>
  </si>
  <si>
    <t>TWENTY THREE EIGHT HUNDRED TIGER MOUNTAIN</t>
  </si>
  <si>
    <t>23800 SE TIGER MOUNTAIN RD</t>
  </si>
  <si>
    <t>13927 240TH AVE SE</t>
  </si>
  <si>
    <t>HALCYON MOBILE HOME PARK</t>
  </si>
  <si>
    <t>12233 ASHWORTH AVE N</t>
  </si>
  <si>
    <t>C/O U S BANK NATIONAL ASSOC</t>
  </si>
  <si>
    <t>1420 FIFTH AVE STE 2100</t>
  </si>
  <si>
    <t>RANCHO VILLA</t>
  </si>
  <si>
    <t>1396 DALLES MILITARY RD</t>
  </si>
  <si>
    <t>NORTHLAKE MHC</t>
  </si>
  <si>
    <t>2950 NORTHLAKE WAY NW</t>
  </si>
  <si>
    <t>BREMERTON</t>
  </si>
  <si>
    <t>KITSAP</t>
  </si>
  <si>
    <t>FCPC</t>
  </si>
  <si>
    <t>4616 25TH AVE NE PMB 701</t>
  </si>
  <si>
    <t>ADULT RIVERVIEW MOBILE HOME</t>
  </si>
  <si>
    <t>485 N RIVER RD</t>
  </si>
  <si>
    <t>BEDARDS MOBILE CORRAL</t>
  </si>
  <si>
    <t>204 BUENA WAY</t>
  </si>
  <si>
    <t>TOPPENISH</t>
  </si>
  <si>
    <t>204 BUENA WAY # 10</t>
  </si>
  <si>
    <t>G. EARLEY'S TRAILER &amp; RV PARK</t>
  </si>
  <si>
    <t>193 6TH ST</t>
  </si>
  <si>
    <t>PO BOX 19</t>
  </si>
  <si>
    <t>CITY OF ROCK ISLAND TRAILER PARK</t>
  </si>
  <si>
    <t>5 N GARDEN</t>
  </si>
  <si>
    <t>ROCK ISLAND</t>
  </si>
  <si>
    <t>PO BOX 99</t>
  </si>
  <si>
    <t>INLAND MOBILE HOME PARK</t>
  </si>
  <si>
    <t>13520 E RICH AVE</t>
  </si>
  <si>
    <t>SPOKANE VALLEY</t>
  </si>
  <si>
    <t>3333 W INDIAN TRAIL RD</t>
  </si>
  <si>
    <t>THE KING'S COURT R.V. PARK</t>
  </si>
  <si>
    <t>212 E GRAND COULEE AVE</t>
  </si>
  <si>
    <t>GRAND COULEE</t>
  </si>
  <si>
    <t>GRANT</t>
  </si>
  <si>
    <t>PO BOX 837</t>
  </si>
  <si>
    <t>212 EAST GRAND COULEE AVE</t>
  </si>
  <si>
    <t>STAGECOACH PARK</t>
  </si>
  <si>
    <t>6116 KITSAP WAY</t>
  </si>
  <si>
    <t>ATTEN VISTOR F TAGETT</t>
  </si>
  <si>
    <t>3042 MARINE DR</t>
  </si>
  <si>
    <t>MAXEY'S RV &amp; MOBILE HOME PARK TOWNE SQUARE CENTER</t>
  </si>
  <si>
    <t>3708 W CLEARWATER AVE</t>
  </si>
  <si>
    <t>3708 W CLEARWATER AVE LOT 6</t>
  </si>
  <si>
    <t>JACKSON TRAILER PARK</t>
  </si>
  <si>
    <t>23453 30TH AVE S</t>
  </si>
  <si>
    <t>KENT</t>
  </si>
  <si>
    <t>2114 N 134TH ST</t>
  </si>
  <si>
    <t>MILLAR'S VILLA'S MHP</t>
  </si>
  <si>
    <t>1105 138TH ST S</t>
  </si>
  <si>
    <t>PO BOX 33815</t>
  </si>
  <si>
    <t>MORGAN'S TRAILER PARK</t>
  </si>
  <si>
    <t>2250 S FLOWER AVE</t>
  </si>
  <si>
    <t>PORT ORCHARD</t>
  </si>
  <si>
    <t>2114 N 134TH</t>
  </si>
  <si>
    <t>M &amp; G TRAILER COURT</t>
  </si>
  <si>
    <t>301 E 1ST ST</t>
  </si>
  <si>
    <t>SPRAGUE</t>
  </si>
  <si>
    <t>LINCOLN</t>
  </si>
  <si>
    <t>PO BOX 116</t>
  </si>
  <si>
    <t>PE ELL MOBILE HOME PARK</t>
  </si>
  <si>
    <t>520 N MAIN ST</t>
  </si>
  <si>
    <t>PE ELL</t>
  </si>
  <si>
    <t>183 HOLLOWAY DR</t>
  </si>
  <si>
    <t>WEST MOBILE HOME PARK</t>
  </si>
  <si>
    <t>403 W STEVENS AVE</t>
  </si>
  <si>
    <t>SULTAN</t>
  </si>
  <si>
    <t>PO BOX 236</t>
  </si>
  <si>
    <t>MILL VILLAGE MOBILE HOME PARK</t>
  </si>
  <si>
    <t>300 MILL VILLAGE</t>
  </si>
  <si>
    <t>EATONVILLE</t>
  </si>
  <si>
    <t>PO BOX 334</t>
  </si>
  <si>
    <t>MISTY MANOR MOBILE HOME PARK</t>
  </si>
  <si>
    <t>391 E STATE ST</t>
  </si>
  <si>
    <t>MAJESTIC MOBILE MANOR</t>
  </si>
  <si>
    <t>7022 RIVER RD E</t>
  </si>
  <si>
    <t>6906 52ND ST CT E 100</t>
  </si>
  <si>
    <t>DEGOEDE BULB FARMS</t>
  </si>
  <si>
    <t>3913 US HWY 12</t>
  </si>
  <si>
    <t>PO BOX 228</t>
  </si>
  <si>
    <t>BAYWOOD MOBILE HOME PARK</t>
  </si>
  <si>
    <t>4672 BIRCH BAY LYNDEN RD</t>
  </si>
  <si>
    <t>PO BOX 2176</t>
  </si>
  <si>
    <t>HILLTOP MOBILE HOMES</t>
  </si>
  <si>
    <t>200 BIG SKY RD</t>
  </si>
  <si>
    <t>WOODLAND</t>
  </si>
  <si>
    <t>161 BIG SKY RD</t>
  </si>
  <si>
    <t>BLUE MOON TRAILER COURT</t>
  </si>
  <si>
    <t>7838 MARTIN WAY E</t>
  </si>
  <si>
    <t>4012 AMELIA CT NE</t>
  </si>
  <si>
    <t>BLUE SKY FARMS TRAILER COURT</t>
  </si>
  <si>
    <t>503 W BRIDGES RD</t>
  </si>
  <si>
    <t>DEER PARK</t>
  </si>
  <si>
    <t>503 W BRIDGES RD TRLR 19</t>
  </si>
  <si>
    <t>VINSON'S VILLA MOBILE HOME PARK</t>
  </si>
  <si>
    <t>19306 MOUNTAIN HWY</t>
  </si>
  <si>
    <t>2926 78TH AVE CT NW</t>
  </si>
  <si>
    <t>HORSESHOE TRAILER LODGE MOBILE HOME PARK</t>
  </si>
  <si>
    <t>3455 MARTIN WAY E</t>
  </si>
  <si>
    <t>2120 STATE ST # 201</t>
  </si>
  <si>
    <t>CAMP CREEK PARK</t>
  </si>
  <si>
    <t>91 CAMP CREEK RD</t>
  </si>
  <si>
    <t>MONTESANO</t>
  </si>
  <si>
    <t>9 POPLAR RD #1</t>
  </si>
  <si>
    <t>COUNTRY COURT RENTALS</t>
  </si>
  <si>
    <t>9 COUNTRY COURT LANE</t>
  </si>
  <si>
    <t>CATHLAMET</t>
  </si>
  <si>
    <t>WAHKIAKUM</t>
  </si>
  <si>
    <t>96 HODGSON RD</t>
  </si>
  <si>
    <t>RIVERVIEW TRAILER COURT</t>
  </si>
  <si>
    <t>329 S MAIN AVE</t>
  </si>
  <si>
    <t>METALINE</t>
  </si>
  <si>
    <t>PEND OREILLE</t>
  </si>
  <si>
    <t>WARM BEACH SENIOR COMMUNITY</t>
  </si>
  <si>
    <t>20420 MARINE DR</t>
  </si>
  <si>
    <t>STANWOOD</t>
  </si>
  <si>
    <t>BELLA B MOBILE HOME PARK</t>
  </si>
  <si>
    <t>1333 N 125TH ST</t>
  </si>
  <si>
    <t>716 19TH ST</t>
  </si>
  <si>
    <t>SANTA MONICA</t>
  </si>
  <si>
    <t>CA</t>
  </si>
  <si>
    <t>MARK'S MOBILE PARK</t>
  </si>
  <si>
    <t>6324 212TH ST SW</t>
  </si>
  <si>
    <t>814 14TH WAY SW</t>
  </si>
  <si>
    <t>EDMONDS</t>
  </si>
  <si>
    <t>PILCHUCK MOBILE HOME PARK</t>
  </si>
  <si>
    <t>206 N KENTUCKY AVE</t>
  </si>
  <si>
    <t>PO BOX 926</t>
  </si>
  <si>
    <t>WHITE SWAN MOBILE HOME PARK</t>
  </si>
  <si>
    <t>2411 WESLEY RD</t>
  </si>
  <si>
    <t>CARNATION</t>
  </si>
  <si>
    <t>PO BOX 514</t>
  </si>
  <si>
    <t>CLE ELUM</t>
  </si>
  <si>
    <t>VAUGHN'S MOBILE HOME PARK</t>
  </si>
  <si>
    <t>7721 60TH ST E</t>
  </si>
  <si>
    <t>PO BOX 68284</t>
  </si>
  <si>
    <t>ORCHARD VIEW MOBILE HOME PARK</t>
  </si>
  <si>
    <t>929 MAPLE ST</t>
  </si>
  <si>
    <t>PO BOX 1706</t>
  </si>
  <si>
    <t>THOMAS PLACE</t>
  </si>
  <si>
    <t>12921 39TH AVE SE</t>
  </si>
  <si>
    <t>EVERETT</t>
  </si>
  <si>
    <t>12625 4TH AVE W STE 200</t>
  </si>
  <si>
    <t>ALPINE RIDGE EAST</t>
  </si>
  <si>
    <t>17408 44TH AVE W</t>
  </si>
  <si>
    <t>ALPINE RIDGE SOUTH</t>
  </si>
  <si>
    <t>4515 176TH ST SW</t>
  </si>
  <si>
    <t>TWINPEAKS MANOR</t>
  </si>
  <si>
    <t>1605 CLARK DR</t>
  </si>
  <si>
    <t>VIKING VILLAGE MOBILE PARK</t>
  </si>
  <si>
    <t>8021 OLD PACIFIC HWY N</t>
  </si>
  <si>
    <t>CASTLE ROCK</t>
  </si>
  <si>
    <t>811 NE 112TH AVE STE 104</t>
  </si>
  <si>
    <t>HAWTHORNE COURT</t>
  </si>
  <si>
    <t>303 HAWTHORNE ST</t>
  </si>
  <si>
    <t>KELSO</t>
  </si>
  <si>
    <t>PO BOX 486</t>
  </si>
  <si>
    <t>GREENWOOD MOBILE HOME PARK</t>
  </si>
  <si>
    <t>15 MURRAY PL</t>
  </si>
  <si>
    <t>ELMA</t>
  </si>
  <si>
    <t>1390 W STAR LAKE DR</t>
  </si>
  <si>
    <t>HIDDEN VALLEY MOBILE HOME PARK</t>
  </si>
  <si>
    <t>1194 STATE ROUTE 12</t>
  </si>
  <si>
    <t>FAIRGROUNDS MOBILE HOME PARK</t>
  </si>
  <si>
    <t>66 FAIRGROUNDS RD</t>
  </si>
  <si>
    <t>BOULEVARD MOBILE HOME PARK</t>
  </si>
  <si>
    <t>216 W CURTIS ST</t>
  </si>
  <si>
    <t>BROWN'S MOBILE HOME PARK</t>
  </si>
  <si>
    <t>12881 US HWY 12</t>
  </si>
  <si>
    <t>PACKWOOD</t>
  </si>
  <si>
    <t>2179 CISPUS RD</t>
  </si>
  <si>
    <t>RANDLE</t>
  </si>
  <si>
    <t>VISTA MOBILE HOME PARK</t>
  </si>
  <si>
    <t>8120 E APPLEWAY BLVD</t>
  </si>
  <si>
    <t>8022 E SPRAGUE</t>
  </si>
  <si>
    <t>RAHM'S TRAILER COURT</t>
  </si>
  <si>
    <t>124 W MAPLE ST</t>
  </si>
  <si>
    <t>WATERVILLE</t>
  </si>
  <si>
    <t>2851 E PICKERING RD</t>
  </si>
  <si>
    <t>SHELTON</t>
  </si>
  <si>
    <t>M BAR J RANCH</t>
  </si>
  <si>
    <t>1726 OLD HWY 97</t>
  </si>
  <si>
    <t>LONCAR MOBILE HOME PARK</t>
  </si>
  <si>
    <t>510 DUTTEROW RD SE</t>
  </si>
  <si>
    <t>39 FLORENTINA DR</t>
  </si>
  <si>
    <t>RANCHO MIRAGE</t>
  </si>
  <si>
    <t>FRIENDLY VILLAGE OF REDMOND</t>
  </si>
  <si>
    <t>18425 NE 95TH ST</t>
  </si>
  <si>
    <t>REDMOND</t>
  </si>
  <si>
    <t>1441 WEST BAY DR NW # 102</t>
  </si>
  <si>
    <t>HAZEL DELL MOBILE HOME PARK</t>
  </si>
  <si>
    <t>855 HAZEL DELL RD</t>
  </si>
  <si>
    <t>BEAUVIEW MOBILE HOME PARK</t>
  </si>
  <si>
    <t>505 OFARRELL RD</t>
  </si>
  <si>
    <t>BONNEY LAKE</t>
  </si>
  <si>
    <t>814 18TH ST SW</t>
  </si>
  <si>
    <t>MALO MOBILE HOME PARK</t>
  </si>
  <si>
    <t>17559 N HIGHWAY 21</t>
  </si>
  <si>
    <t>MALO</t>
  </si>
  <si>
    <t>125 ROSE VALLEY RD</t>
  </si>
  <si>
    <t>DOUGLAS LEE JOYCE MOBILE HOME PARK</t>
  </si>
  <si>
    <t>230 OLD HADLOCK RD</t>
  </si>
  <si>
    <t>PORT HADLOCK</t>
  </si>
  <si>
    <t>JEFFERSON</t>
  </si>
  <si>
    <t>990 CHIMACUM RD</t>
  </si>
  <si>
    <t>LEESAN D JOYCE-MARLATT MOBILE HOME PARK</t>
  </si>
  <si>
    <t>10805 RHODY DR</t>
  </si>
  <si>
    <t>293 FLEET DR</t>
  </si>
  <si>
    <t>PORT LUDLOW</t>
  </si>
  <si>
    <t>MIDWAY VILLAGE &amp; GROCERY</t>
  </si>
  <si>
    <t>14193 CHIWAWA LOOP RD</t>
  </si>
  <si>
    <t>LEAVENWORTH</t>
  </si>
  <si>
    <t>CENTRAL MOBILE HOME PARK</t>
  </si>
  <si>
    <t>101 WILSON CREEK RD</t>
  </si>
  <si>
    <t>ELLENSBURG</t>
  </si>
  <si>
    <t>KITTITAS</t>
  </si>
  <si>
    <t>101 WILSON CREEK RD TRLR 60</t>
  </si>
  <si>
    <t>COUNTRY SQUIRE MOBILE MANOR</t>
  </si>
  <si>
    <t>110 SAGE TRAIL RD</t>
  </si>
  <si>
    <t>8156 NE 155TH ST</t>
  </si>
  <si>
    <t>KENTON FIRS NO. 2</t>
  </si>
  <si>
    <t>10826 SE 226TH ST</t>
  </si>
  <si>
    <t>11427 GRAVELLY LAKE DR SW</t>
  </si>
  <si>
    <t>LAKEWOOD</t>
  </si>
  <si>
    <t>KIMM &amp; ASSOCIATES</t>
  </si>
  <si>
    <t>23515 HIGHWAY 99</t>
  </si>
  <si>
    <t>827 NW 195TH ST</t>
  </si>
  <si>
    <t>SHORELINE</t>
  </si>
  <si>
    <t>CRAWFORDS COURT</t>
  </si>
  <si>
    <t>70 CLEMONS RD</t>
  </si>
  <si>
    <t>PO BOX 147</t>
  </si>
  <si>
    <t>SATSOP</t>
  </si>
  <si>
    <t>MANY LAKES MOBILE HOME PARK</t>
  </si>
  <si>
    <t>962 LOOMIS OROVILLE RD</t>
  </si>
  <si>
    <t>TONASKET</t>
  </si>
  <si>
    <t>10 MCCAMMON RD</t>
  </si>
  <si>
    <t>FLYING CARPET MOBILE ESTATES</t>
  </si>
  <si>
    <t>6748 FIR TREE RD SE</t>
  </si>
  <si>
    <t>PO BOX 8342</t>
  </si>
  <si>
    <t>JENFT MOBILE HOME PARK</t>
  </si>
  <si>
    <t>940 STEVENS AVE</t>
  </si>
  <si>
    <t>9025 116TH ST NE</t>
  </si>
  <si>
    <t>ARLINGTON</t>
  </si>
  <si>
    <t>MT VIEW TRAILER COURT</t>
  </si>
  <si>
    <t>291 COOPER AVE</t>
  </si>
  <si>
    <t>UNDERWOOD</t>
  </si>
  <si>
    <t>AVONDALE MOBILE HOME PARK</t>
  </si>
  <si>
    <t>16970 65TH LN NE</t>
  </si>
  <si>
    <t>KENMORE</t>
  </si>
  <si>
    <t>TOM KNAPP MOBILE HOME PARK</t>
  </si>
  <si>
    <t>347 ALADDIN RD</t>
  </si>
  <si>
    <t>COLVILLE</t>
  </si>
  <si>
    <t>BAY VIEW MOBILE HOME PARK</t>
  </si>
  <si>
    <t>11453 BAYVIEW EDISON RD</t>
  </si>
  <si>
    <t>MOUNT VERNON</t>
  </si>
  <si>
    <t>11453 BAYVIEW EDISON RD SP #9</t>
  </si>
  <si>
    <t>SEVEN CEDARS MOBILE HOME PARK</t>
  </si>
  <si>
    <t>19300 PECAN ST SW</t>
  </si>
  <si>
    <t>ROCHESTER</t>
  </si>
  <si>
    <t>19300 PECAN ST SW #9</t>
  </si>
  <si>
    <t>LINCOLN PARK</t>
  </si>
  <si>
    <t>5191 BETHEL RD SE TRLR 1</t>
  </si>
  <si>
    <t>741 REGENTS BLVD APT A</t>
  </si>
  <si>
    <t>FIRCREST</t>
  </si>
  <si>
    <t>NEW WAGON MOBILE HOME PARK</t>
  </si>
  <si>
    <t>16502 E SPRAGUE AVE</t>
  </si>
  <si>
    <t>10213 E BUCKEYE LN</t>
  </si>
  <si>
    <t>SUNNY VISTA MOBILE HOME PARK</t>
  </si>
  <si>
    <t>24807 E TRENT AVE TRLR 47</t>
  </si>
  <si>
    <t>NEWMAN LAKE</t>
  </si>
  <si>
    <t>HAMMONDS TRAILER PARK</t>
  </si>
  <si>
    <t>1845 S MONTESANO ST</t>
  </si>
  <si>
    <t>WESTPORT</t>
  </si>
  <si>
    <t>PO BOX 2218</t>
  </si>
  <si>
    <t>MERMAID INN &amp; RV PARK</t>
  </si>
  <si>
    <t>1910 PACIFIC AVE N</t>
  </si>
  <si>
    <t>LONG BEACH</t>
  </si>
  <si>
    <t>PO BOX 736</t>
  </si>
  <si>
    <t>SEQUIM SENIOR SERVICES</t>
  </si>
  <si>
    <t>921 E HAMMOND ST</t>
  </si>
  <si>
    <t>PO BOX 1827</t>
  </si>
  <si>
    <t>DRAKE'S MOBILE HOME PARK</t>
  </si>
  <si>
    <t>7788 F RD SE #8</t>
  </si>
  <si>
    <t>VIKING PARK</t>
  </si>
  <si>
    <t>1754 NE MESFORD RD</t>
  </si>
  <si>
    <t>POULSBO</t>
  </si>
  <si>
    <t>1754 NE MESFORD RD UNIT 51B</t>
  </si>
  <si>
    <t>FAIRWAY ESTATES</t>
  </si>
  <si>
    <t>1427 100TH ST SW</t>
  </si>
  <si>
    <t>TALL FIRS MOBILE HOME PARK</t>
  </si>
  <si>
    <t>9430 CASE RD SW</t>
  </si>
  <si>
    <t>2375 130TH AVE NE # 102</t>
  </si>
  <si>
    <t>BELLEVUE</t>
  </si>
  <si>
    <t>TERRACE ESTATES</t>
  </si>
  <si>
    <t>1165 S GRAND AVE</t>
  </si>
  <si>
    <t>PULLMAN</t>
  </si>
  <si>
    <t>WHITMAN</t>
  </si>
  <si>
    <t>LAPPING WONG</t>
  </si>
  <si>
    <t>10646 HALE AVE</t>
  </si>
  <si>
    <t>MORGAN HILL</t>
  </si>
  <si>
    <t>APPLE VALLEY MOBILE COURT</t>
  </si>
  <si>
    <t>2101 S 64TH AVE</t>
  </si>
  <si>
    <t>8304 WIDE HOLLOW RD</t>
  </si>
  <si>
    <t>SUN CITY CENTER AND COMMUNITY</t>
  </si>
  <si>
    <t>5009 W CLEARWATER AVE</t>
  </si>
  <si>
    <t>6818 KENFIG PL SW</t>
  </si>
  <si>
    <t>SCHILCHUCK CREEK COMMUNITY</t>
  </si>
  <si>
    <t>200 BOODRY ST</t>
  </si>
  <si>
    <t>NORTHWEST COMMUNITY</t>
  </si>
  <si>
    <t>5108 SAN FRANCISCO AVE SW</t>
  </si>
  <si>
    <t>TENINO ESTATES</t>
  </si>
  <si>
    <t>1270 LINCOLN AVE E</t>
  </si>
  <si>
    <t>TENINO</t>
  </si>
  <si>
    <t>ROCHESTER PARK PLACE</t>
  </si>
  <si>
    <t>10215 YAH WAY SW</t>
  </si>
  <si>
    <t>PO BOX 377574</t>
  </si>
  <si>
    <t>OCEAN VIEW</t>
  </si>
  <si>
    <t>HI</t>
  </si>
  <si>
    <t>COLONY MOBILE HOME PARK</t>
  </si>
  <si>
    <t>1003 NW 139TH ST</t>
  </si>
  <si>
    <t>PO BOX 694</t>
  </si>
  <si>
    <t>GLEN ELLEN</t>
  </si>
  <si>
    <t>DON WAN ESTATES</t>
  </si>
  <si>
    <t>725 37TH ST SE</t>
  </si>
  <si>
    <t>39615 264TH AVE SE</t>
  </si>
  <si>
    <t>ENUMCLAW</t>
  </si>
  <si>
    <t>AGNEW MOBILE HOME PARK</t>
  </si>
  <si>
    <t>652 OSBORN RD</t>
  </si>
  <si>
    <t>PORT ANGELES</t>
  </si>
  <si>
    <t>84 HUNTERS GATE LN</t>
  </si>
  <si>
    <t>COLLEGE PLACE MOBILE HOME PARK</t>
  </si>
  <si>
    <t>31600 126TH AVE SE</t>
  </si>
  <si>
    <t>31600 126TH AVE SE SPC 88</t>
  </si>
  <si>
    <t>VISTA DEL RIO MOBILE HOME PARK</t>
  </si>
  <si>
    <t>17401 SE 39TH ST</t>
  </si>
  <si>
    <t>RED GATE MOBILE HOME PARK</t>
  </si>
  <si>
    <t>4034 RIVER RD</t>
  </si>
  <si>
    <t>PO BOX 1861</t>
  </si>
  <si>
    <t>SUN COUNTRY ESTATES</t>
  </si>
  <si>
    <t>3701 GUN CLUB RD</t>
  </si>
  <si>
    <t>301 WHITE RD</t>
  </si>
  <si>
    <t>FREEWAY PLACE</t>
  </si>
  <si>
    <t>12313 FREEWAY PL</t>
  </si>
  <si>
    <t>PO BOX 1016</t>
  </si>
  <si>
    <t>BELFAIR</t>
  </si>
  <si>
    <t>FAIRCHILD MOBILE HOME COMMUNITY</t>
  </si>
  <si>
    <t>15610 W HIGHWAY 2</t>
  </si>
  <si>
    <t>MEDICAL LAKE</t>
  </si>
  <si>
    <t>PO BOX 381</t>
  </si>
  <si>
    <t>REARDAN</t>
  </si>
  <si>
    <t>TERRY MOBILE PARK</t>
  </si>
  <si>
    <t>204 SW TERRY RD</t>
  </si>
  <si>
    <t>COUPEVILLE</t>
  </si>
  <si>
    <t>1153 OLD POLNELL RD</t>
  </si>
  <si>
    <t>LONG ROAD MOBILE ESTATES</t>
  </si>
  <si>
    <t>1112 LONG RD</t>
  </si>
  <si>
    <t>CENTRALIA</t>
  </si>
  <si>
    <t>8705 STEAMBOAT ISLAND RD NW</t>
  </si>
  <si>
    <t>COUNTRY BOYS MOBILE HOME PARK</t>
  </si>
  <si>
    <t>803 2ND AVE S</t>
  </si>
  <si>
    <t>PO BOX 1711</t>
  </si>
  <si>
    <t>OMAK</t>
  </si>
  <si>
    <t>CARDINAL ESTATES MOBILE HOME PARK</t>
  </si>
  <si>
    <t>8430 15TH PL SE</t>
  </si>
  <si>
    <t>PO BOX 836</t>
  </si>
  <si>
    <t>TUMWATER</t>
  </si>
  <si>
    <t>FIRS MOBILE HOME PARK</t>
  </si>
  <si>
    <t>20440 INTERNATIONAL BLVD</t>
  </si>
  <si>
    <t>FEDERAL WAY</t>
  </si>
  <si>
    <t>CLARK'S GLEN</t>
  </si>
  <si>
    <t>116TH AVE SE &amp; SE 227TH PL</t>
  </si>
  <si>
    <t>25867 CANYON RD NW</t>
  </si>
  <si>
    <t>HILLSIDE TRAILER COURT</t>
  </si>
  <si>
    <t>1610 WINDSOR AVE</t>
  </si>
  <si>
    <t>713 SCOTT DR</t>
  </si>
  <si>
    <t>WESTSIDE MOBILE HOME PARK</t>
  </si>
  <si>
    <t>2257 W HWY 26</t>
  </si>
  <si>
    <t>LAKEVIEW MOBILE HOME PARK</t>
  </si>
  <si>
    <t>1505 S RD 40 E</t>
  </si>
  <si>
    <t>PASCO</t>
  </si>
  <si>
    <t>FRANKLIN</t>
  </si>
  <si>
    <t>9073 NEMO ST</t>
  </si>
  <si>
    <t>WEST HOLLYWOOD</t>
  </si>
  <si>
    <t>DEEP RIVER CAMP</t>
  </si>
  <si>
    <t>9 WAINAMO RD</t>
  </si>
  <si>
    <t>NASELLE</t>
  </si>
  <si>
    <t>49 LASSALA RD</t>
  </si>
  <si>
    <t>SUNSET VILLA MOBILE HOME PARK</t>
  </si>
  <si>
    <t>924 NE CHELAN ST</t>
  </si>
  <si>
    <t>COLLEGE PLACE</t>
  </si>
  <si>
    <t>SERENE TERRACE MOBILE HOMES PARK</t>
  </si>
  <si>
    <t>14322 ADMIRALTY WAY</t>
  </si>
  <si>
    <t>C/O HAMPTON WEST PROPERTIES</t>
  </si>
  <si>
    <t>227 BELLEVUE WAY NE # 65</t>
  </si>
  <si>
    <t>GREEN ACRES PARK</t>
  </si>
  <si>
    <t>23825 15TH AVE SE</t>
  </si>
  <si>
    <t>FOREST GLEN MOBILE HOME PARK</t>
  </si>
  <si>
    <t>2002 221ST ST COURT E</t>
  </si>
  <si>
    <t>PO BOX 174</t>
  </si>
  <si>
    <t>CRAFT COURT</t>
  </si>
  <si>
    <t>5306-5315 107TH AVE CT E</t>
  </si>
  <si>
    <t>5918 174TH AVE KPS</t>
  </si>
  <si>
    <t>LONGBRANCH</t>
  </si>
  <si>
    <t>CAMELOT MOBILE ESTATES</t>
  </si>
  <si>
    <t>5307 STATE HIGHWAY 303 NE</t>
  </si>
  <si>
    <t>605 ROCKY CREEK</t>
  </si>
  <si>
    <t>PAL DESERT</t>
  </si>
  <si>
    <t>EMERALD HILLS ESTATES</t>
  </si>
  <si>
    <t>14727 43RD AVE NE</t>
  </si>
  <si>
    <t>13900 48TH DR SE</t>
  </si>
  <si>
    <t>DEER RUN MOBILE HOME PARK</t>
  </si>
  <si>
    <t>20606 ORTING KAPOWSIN HWY E</t>
  </si>
  <si>
    <t>GRAHAM</t>
  </si>
  <si>
    <t>PO BOX 759</t>
  </si>
  <si>
    <t>ORTING</t>
  </si>
  <si>
    <t>MAPLE LANE MOBILE HOME PARK</t>
  </si>
  <si>
    <t>1720 MAPLE LN</t>
  </si>
  <si>
    <t>EL SHABRAL MOBILE VILLA</t>
  </si>
  <si>
    <t>305 NE FAIRGROUND AVE</t>
  </si>
  <si>
    <t>BATTLE GROUND</t>
  </si>
  <si>
    <t>PO BOX 633</t>
  </si>
  <si>
    <t>QUICK ADULT MOBILE HOME PARK</t>
  </si>
  <si>
    <t>181 QUICK LN</t>
  </si>
  <si>
    <t>ZILLAH</t>
  </si>
  <si>
    <t>BELMOR MOBILE HOME PARK</t>
  </si>
  <si>
    <t>2101 S 324TH ST</t>
  </si>
  <si>
    <t>BAINBRIDGE ISLAND</t>
  </si>
  <si>
    <t>DESERT PINES MOBILE HOME PARK</t>
  </si>
  <si>
    <t>312 S COLUMBIA CENTER BLVD</t>
  </si>
  <si>
    <t>MAPLE STREET MOBILE HOME COURT</t>
  </si>
  <si>
    <t>1200 MAPLE ST</t>
  </si>
  <si>
    <t>4529 145TH PL SE</t>
  </si>
  <si>
    <t>LAKE STICKNEY MOBILE AND R/V PARK</t>
  </si>
  <si>
    <t>13020 17TH AVE W</t>
  </si>
  <si>
    <t>17430 MCRAE RD NW #11</t>
  </si>
  <si>
    <t>BAYS SENIOR COMMUNITY</t>
  </si>
  <si>
    <t>639 STATE HIGHWAY 505</t>
  </si>
  <si>
    <t>WINLOCK</t>
  </si>
  <si>
    <t>PO BOX 130</t>
  </si>
  <si>
    <t>BONA VISTA MOBILE HOME PARK</t>
  </si>
  <si>
    <t>21725 E WELLESLEY AVE</t>
  </si>
  <si>
    <t>OTIS ORCHARDS</t>
  </si>
  <si>
    <t>1707 S AIRPARK DR</t>
  </si>
  <si>
    <t>TIMBERLINE VILLAGE</t>
  </si>
  <si>
    <t>307 8TH ST</t>
  </si>
  <si>
    <t>16431 57TH AVE SE</t>
  </si>
  <si>
    <t>WESTSIDE HAVEN MOBILE HOME PARK</t>
  </si>
  <si>
    <t>1450 WEST SIDE HWY</t>
  </si>
  <si>
    <t>1440 WEST SIDE HWY</t>
  </si>
  <si>
    <t>ETHEL MOBILE HOME PARK</t>
  </si>
  <si>
    <t>1419 HWY 12 E</t>
  </si>
  <si>
    <t>ETHEL</t>
  </si>
  <si>
    <t>PO BOX 1022</t>
  </si>
  <si>
    <t>WINTERHAVEN</t>
  </si>
  <si>
    <t>SEVEN LAKES MOBILE HOME PARK</t>
  </si>
  <si>
    <t>2809 LAKEWOOD RD</t>
  </si>
  <si>
    <t>HAAKENSON MOBILE HOME PARK</t>
  </si>
  <si>
    <t>13109 A STREET S</t>
  </si>
  <si>
    <t>C/O SCOTT GERVAIS</t>
  </si>
  <si>
    <t>811 21ST AVE SW</t>
  </si>
  <si>
    <t>CEDAR GROVE MOBILE HOME PARK</t>
  </si>
  <si>
    <t>4915 SAMISH WAY</t>
  </si>
  <si>
    <t>541 W BAKERVIEW RD</t>
  </si>
  <si>
    <t>CARNATION MOBILE HAVEN</t>
  </si>
  <si>
    <t>32501 NE 50TH ST</t>
  </si>
  <si>
    <t>2945 217TH PL SW</t>
  </si>
  <si>
    <t>BRIER</t>
  </si>
  <si>
    <t>COUNTRY MOBILE PARK</t>
  </si>
  <si>
    <t>3516 HARRISON AVE</t>
  </si>
  <si>
    <t>3516 HARRISON AVE # C</t>
  </si>
  <si>
    <t>JUSTICE TRAILER COURT</t>
  </si>
  <si>
    <t>139 SAVIO RD</t>
  </si>
  <si>
    <t>120 ROSE MARIE DR</t>
  </si>
  <si>
    <t>B &amp; R MOBILE HOME COURT</t>
  </si>
  <si>
    <t>611 CEDAR AVE</t>
  </si>
  <si>
    <t>611 CEDAR AVE SPC 77</t>
  </si>
  <si>
    <t>ROYAL COACHMAN MOBILE ESTATES</t>
  </si>
  <si>
    <t>380 E POLE RD</t>
  </si>
  <si>
    <t>LYNDEN</t>
  </si>
  <si>
    <t>344 E POLE RD</t>
  </si>
  <si>
    <t>MARYSVILLE MOBILE HAVEN PARK</t>
  </si>
  <si>
    <t>4000 76TH ST NE</t>
  </si>
  <si>
    <t>PO BOX 1780</t>
  </si>
  <si>
    <t>COUNTRY PLACE MOBILE HOME PARK</t>
  </si>
  <si>
    <t>3291 TAYLOR RD</t>
  </si>
  <si>
    <t>446 BLUEBERRY LN</t>
  </si>
  <si>
    <t>K &amp; B TRAILER COURT</t>
  </si>
  <si>
    <t>102 W MAY AVE</t>
  </si>
  <si>
    <t>ODESSA</t>
  </si>
  <si>
    <t>PO BOX 634</t>
  </si>
  <si>
    <t>CAMELOT SQUARE MOBILE HOME PARK</t>
  </si>
  <si>
    <t>3001 S 288TH ST</t>
  </si>
  <si>
    <t>ATTEN : OFFICE</t>
  </si>
  <si>
    <t>ELDORADO MOBILE HOME PARK</t>
  </si>
  <si>
    <t>7316 E BOONE AVE</t>
  </si>
  <si>
    <t>1406 E ROCKWOOD BLVD</t>
  </si>
  <si>
    <t>DEER PARK MOBILE HOME COURT</t>
  </si>
  <si>
    <t>606 S MAIN</t>
  </si>
  <si>
    <t>DON'S MOBILE HOME COURT</t>
  </si>
  <si>
    <t>13 MOCK RD</t>
  </si>
  <si>
    <t>13 MOCK RD # 6</t>
  </si>
  <si>
    <t>FAIRFIELD MOBILE HOME PARK</t>
  </si>
  <si>
    <t>2411 GRANDVIEW RD</t>
  </si>
  <si>
    <t>PO BOX 530</t>
  </si>
  <si>
    <t>EL PATIO MOBILE PARK</t>
  </si>
  <si>
    <t>605 CALIFORNIA WAY</t>
  </si>
  <si>
    <t>17585 BRADEN CT</t>
  </si>
  <si>
    <t>GLADSTONE</t>
  </si>
  <si>
    <t>OR</t>
  </si>
  <si>
    <t>J &amp; L MOBILE HOME COURT</t>
  </si>
  <si>
    <t>5907 202ND ST SW</t>
  </si>
  <si>
    <t>1709 NE 86TH ST</t>
  </si>
  <si>
    <t>PINE VILLAGE PARK</t>
  </si>
  <si>
    <t>735 W 1ST ST</t>
  </si>
  <si>
    <t>1827 1ST ST</t>
  </si>
  <si>
    <t>HOMESTEAD MOBILE HOME PARK</t>
  </si>
  <si>
    <t>7111 N ALTAMONT ST</t>
  </si>
  <si>
    <t>7111 N ALTAMONT ST TRLR 7</t>
  </si>
  <si>
    <t>PRAIRIE GARDENS MOBILE COURT</t>
  </si>
  <si>
    <t>63 MC AFEE RD</t>
  </si>
  <si>
    <t>HUMPTULIPS</t>
  </si>
  <si>
    <t>PO BOX 6</t>
  </si>
  <si>
    <t>OAKGROVE TRAILER PARK</t>
  </si>
  <si>
    <t>101 163RD ST S</t>
  </si>
  <si>
    <t>125 153RD ST E</t>
  </si>
  <si>
    <t>CRESTWOOD MOBILE HOME PARK</t>
  </si>
  <si>
    <t>1645 S 272ND ST</t>
  </si>
  <si>
    <t>223 TAYLOR AVE N #200</t>
  </si>
  <si>
    <t>GAVINS MOBILE HOME PARK</t>
  </si>
  <si>
    <t>36 HIGHWAY 7</t>
  </si>
  <si>
    <t>50 HIGHWAY 7</t>
  </si>
  <si>
    <t>MELONAS TRAILER COURT</t>
  </si>
  <si>
    <t>360 SW HWY 14</t>
  </si>
  <si>
    <t>STEVENSON</t>
  </si>
  <si>
    <t>SKAMANIA</t>
  </si>
  <si>
    <t>2105 NW 88TH ST</t>
  </si>
  <si>
    <t>TYEE MOBILE HOME PARK</t>
  </si>
  <si>
    <t>1716 72ND ST E</t>
  </si>
  <si>
    <t>MEADOW PARK TRAILER COURT</t>
  </si>
  <si>
    <t>7416 CUSTER RD W</t>
  </si>
  <si>
    <t>1555 S CEDAR ST</t>
  </si>
  <si>
    <t>ZACHMAN TRAILER COURT</t>
  </si>
  <si>
    <t>229 W JONATHON AVE</t>
  </si>
  <si>
    <t>PO BOX 183</t>
  </si>
  <si>
    <t>BOB LINDELL MOBILE HOME COURT</t>
  </si>
  <si>
    <t>323 N GEORGIA AVE</t>
  </si>
  <si>
    <t>EAST WENATCHEE</t>
  </si>
  <si>
    <t>458 N IOWA</t>
  </si>
  <si>
    <t>WESTVIEW MOBILE HOME PARK</t>
  </si>
  <si>
    <t>611 N WESTERN AVE</t>
  </si>
  <si>
    <t>630 VALLEY MALL PKWY # 457</t>
  </si>
  <si>
    <t>CASCADIA MOBILE HOME PARK</t>
  </si>
  <si>
    <t>530 CRAWFORD AVE</t>
  </si>
  <si>
    <t>CONIFERS MOBILE HOME PARK</t>
  </si>
  <si>
    <t>1115 MCKITTRICK ST</t>
  </si>
  <si>
    <t>CLOVER CREEK TRAILER COURT</t>
  </si>
  <si>
    <t>13906 1ST AVE E</t>
  </si>
  <si>
    <t>13906 1ST AVE E # 7</t>
  </si>
  <si>
    <t>BROADWAY ESTATES MOBILE HOME PARK</t>
  </si>
  <si>
    <t>2240 W BROADWAY</t>
  </si>
  <si>
    <t>MOSES LAKE</t>
  </si>
  <si>
    <t>16419 40TH PLACE W</t>
  </si>
  <si>
    <t>CARPENTER'S MOBILE HOME PARK</t>
  </si>
  <si>
    <t>750 N LINCOLN ST</t>
  </si>
  <si>
    <t>PO BOX 111</t>
  </si>
  <si>
    <t>SUNRISE MOBILE HOME PARK</t>
  </si>
  <si>
    <t>157 JOHNSON CREEK RD</t>
  </si>
  <si>
    <t>753 TUNK CREEK RD</t>
  </si>
  <si>
    <t>ALYSON MANOR MOBILE ESTATES</t>
  </si>
  <si>
    <t>2021 MAHAN AVE</t>
  </si>
  <si>
    <t>RICHLAND</t>
  </si>
  <si>
    <t>#210-1571 BELLEVUE AVE</t>
  </si>
  <si>
    <t>VANCOUVER BC  V7V 1A6</t>
  </si>
  <si>
    <t>CANADA</t>
  </si>
  <si>
    <t>FRAN-MAR MOBILE HOME VILLA</t>
  </si>
  <si>
    <t>15509 SE MILL PLAIN BLVD</t>
  </si>
  <si>
    <t>PO BOX 91041</t>
  </si>
  <si>
    <t>PORTLAND</t>
  </si>
  <si>
    <t>EVERGREEN MOBILE ESTATES</t>
  </si>
  <si>
    <t>11316 NE 28TH ST</t>
  </si>
  <si>
    <t>BRANDING IRON MOBILE VILLAGE</t>
  </si>
  <si>
    <t>505 S PEARL ST</t>
  </si>
  <si>
    <t>1200 E UNIVERSITY WAY #2</t>
  </si>
  <si>
    <t>SHADY BROOK MOBILE VILLAGE</t>
  </si>
  <si>
    <t>1200 E UNIVERSITY WAY</t>
  </si>
  <si>
    <t>1200 E UNIVERSITY WAY # 2</t>
  </si>
  <si>
    <t>CANYON VIEW ESTATES</t>
  </si>
  <si>
    <t>22001 107TH PL SE</t>
  </si>
  <si>
    <t>ATTN S SWIGARD</t>
  </si>
  <si>
    <t>PO BOX 6956</t>
  </si>
  <si>
    <t>TAHOE CITY</t>
  </si>
  <si>
    <t>MOUNT BAKER MOBILE HOME PARK</t>
  </si>
  <si>
    <t>3557 CEDARVILLE RD</t>
  </si>
  <si>
    <t>1110 E BAKERVIEW RD</t>
  </si>
  <si>
    <t>CANYON HEIGHTS MOBILE HOME PARK</t>
  </si>
  <si>
    <t>1002 CANYON RD E</t>
  </si>
  <si>
    <t>C/O NEIL WILSON</t>
  </si>
  <si>
    <t>2311 15TH AVE S</t>
  </si>
  <si>
    <t>KAELIN MOBILE HOME PARK</t>
  </si>
  <si>
    <t>5810 148TH STREET CT E</t>
  </si>
  <si>
    <t>2306 263RD STREET CT E</t>
  </si>
  <si>
    <t>LITTLE CEDAR MOBILE HOME PARK</t>
  </si>
  <si>
    <t>5410 256TH STREET CT E</t>
  </si>
  <si>
    <t>2306 263RD ST CT E</t>
  </si>
  <si>
    <t>MERIDIAN VILLAGE</t>
  </si>
  <si>
    <t>11500 MERIDIAN AVE S</t>
  </si>
  <si>
    <t>2401 4TH AVE STE 840</t>
  </si>
  <si>
    <t>GOLDEN GIVEN VIEW ESTATES</t>
  </si>
  <si>
    <t>10107 GOLDEN GIVEN RD E</t>
  </si>
  <si>
    <t>3627 176TH PL SW</t>
  </si>
  <si>
    <t>SIXTH AVENUE MOBILE PARK</t>
  </si>
  <si>
    <t>298 6TH AVE SE</t>
  </si>
  <si>
    <t>QUINCY</t>
  </si>
  <si>
    <t>PO BOX 516</t>
  </si>
  <si>
    <t>SHADY NOOK TRAILER PARK</t>
  </si>
  <si>
    <t>5191 BETHEL RD SE</t>
  </si>
  <si>
    <t>5191 BETHEL RD SE SPACE 1</t>
  </si>
  <si>
    <t>CASCADE MOBILE PARK</t>
  </si>
  <si>
    <t>108TH ST CT E &amp; 136TH AVE E</t>
  </si>
  <si>
    <t>4508 CHRISELLA RD E</t>
  </si>
  <si>
    <t>EDGEWOOD</t>
  </si>
  <si>
    <t>RAINIER WEST MOBILE ESTATES</t>
  </si>
  <si>
    <t>24111 46TH AVE E</t>
  </si>
  <si>
    <t>SUNSET TERRACE</t>
  </si>
  <si>
    <t>215TH ST CT E &amp; 92ND AVE E</t>
  </si>
  <si>
    <t>COUNTRY ROAD ESTATES</t>
  </si>
  <si>
    <t>206TH ST CT E &amp; 92ND AVE E</t>
  </si>
  <si>
    <t>WOODLAND TERRACE</t>
  </si>
  <si>
    <t>8915 215TH STREET CT E</t>
  </si>
  <si>
    <t>ST URBAN MOBILE ACRES</t>
  </si>
  <si>
    <t>128 RAREY RD</t>
  </si>
  <si>
    <t>SWOPE'S MANUFACTURED HOME COMMUNITY #1</t>
  </si>
  <si>
    <t>3515 IVES RD</t>
  </si>
  <si>
    <t>2225 SANDRA AVE</t>
  </si>
  <si>
    <t>SWOPE'S MANUFACTURED HOME COMMUNITY #2</t>
  </si>
  <si>
    <t>652 BROCKWAY RD</t>
  </si>
  <si>
    <t>ARDENA-GALE MOBILE HOME PARK</t>
  </si>
  <si>
    <t>7320 49TH ST E</t>
  </si>
  <si>
    <t>FIFE</t>
  </si>
  <si>
    <t>3110 JUDSON ST PMB 248</t>
  </si>
  <si>
    <t>KING'S COURT MOBILE HOME COMMUNITY</t>
  </si>
  <si>
    <t>1919 196TH ST SW</t>
  </si>
  <si>
    <t>7996 NE HIDDEN COVE RD</t>
  </si>
  <si>
    <t>LOCKWOOD VILLAGE MOBILE HOME PARK</t>
  </si>
  <si>
    <t>1121 244TH ST SW</t>
  </si>
  <si>
    <t>STE 425</t>
  </si>
  <si>
    <t>906 SE EVERETT MALL WAY</t>
  </si>
  <si>
    <t>FALL CITY MOBILE PARK</t>
  </si>
  <si>
    <t>4330 PRESTON FALL CITY RD SE</t>
  </si>
  <si>
    <t>FALL CITY</t>
  </si>
  <si>
    <t>PO BOX 1025</t>
  </si>
  <si>
    <t>YAKIMA POMONA MOBILE HOME PARK</t>
  </si>
  <si>
    <t>710 STATE ROUTE 821</t>
  </si>
  <si>
    <t>PO BOX 430</t>
  </si>
  <si>
    <t>NORTH VISTA MHP &amp; MINI STORAGE</t>
  </si>
  <si>
    <t>35717 N SPOTTED RD</t>
  </si>
  <si>
    <t>CLAYTON</t>
  </si>
  <si>
    <t>35717 N SPOTTED RD #23</t>
  </si>
  <si>
    <t>MONROE MOTEL &amp; RV PARK</t>
  </si>
  <si>
    <t>20310 OLD OWEN RD</t>
  </si>
  <si>
    <t>MONROE</t>
  </si>
  <si>
    <t>HILLTOP HAVEN MOBILE HOME PARK</t>
  </si>
  <si>
    <t>2174 YEW STREET RD</t>
  </si>
  <si>
    <t>PO BOX 28661</t>
  </si>
  <si>
    <t>TWIN BRIDGES RV PARK</t>
  </si>
  <si>
    <t>830 GROSSOP BLVD</t>
  </si>
  <si>
    <t>WEST RICHLAND</t>
  </si>
  <si>
    <t>PO BOX 4419</t>
  </si>
  <si>
    <t>HERRON MOBILE HOME PARK</t>
  </si>
  <si>
    <t>320 W LEE ST</t>
  </si>
  <si>
    <t>KAHLOTUS</t>
  </si>
  <si>
    <t>TRI-CITIES RV PARK</t>
  </si>
  <si>
    <t>7322 W BONNIE AVE</t>
  </si>
  <si>
    <t>PO BOX 6986</t>
  </si>
  <si>
    <t>GREEN ACRES MOBILE HOME PARK</t>
  </si>
  <si>
    <t>401 GUPSTER RD</t>
  </si>
  <si>
    <t>OHANA ESTATES</t>
  </si>
  <si>
    <t>8211 MCKINLEY AVE</t>
  </si>
  <si>
    <t>SKOOKUMCHUCK MOBILE MANOR</t>
  </si>
  <si>
    <t>21541 BUCODA HWY SE</t>
  </si>
  <si>
    <t>PARKWOOD MOBILE HOME ESTATES</t>
  </si>
  <si>
    <t>270 ROMERMAN RD</t>
  </si>
  <si>
    <t>PACIFIC GARDENS MOBILE HOME PARK</t>
  </si>
  <si>
    <t>10602 A STREET</t>
  </si>
  <si>
    <t>14214 SE 87TH PL</t>
  </si>
  <si>
    <t>NEWCASTLE</t>
  </si>
  <si>
    <t>SEQUIM VIEW</t>
  </si>
  <si>
    <t>367 W CEDAR ST</t>
  </si>
  <si>
    <t>571 S POINT RD</t>
  </si>
  <si>
    <t>BERRY'S TRAILER COURT</t>
  </si>
  <si>
    <t>304 S 5TH ST</t>
  </si>
  <si>
    <t>67 MCCLEARY RD</t>
  </si>
  <si>
    <t>MCCLEARY</t>
  </si>
  <si>
    <t>FRANKLIN PIERCE ESTATES</t>
  </si>
  <si>
    <t>11305 22ND AVE E</t>
  </si>
  <si>
    <t>PO BOX 115</t>
  </si>
  <si>
    <t>HOBART</t>
  </si>
  <si>
    <t>RAINIER MODULAR ESTATES</t>
  </si>
  <si>
    <t>602 ROCHESTER ST W</t>
  </si>
  <si>
    <t>RAINIER</t>
  </si>
  <si>
    <t>PO BOX 627</t>
  </si>
  <si>
    <t>YELM</t>
  </si>
  <si>
    <t>BRYN MAWR BEACH</t>
  </si>
  <si>
    <t>11326 RAINIER AVE S</t>
  </si>
  <si>
    <t>7426 SE 27TH ST STE 2B</t>
  </si>
  <si>
    <t>FOREST VILLA MANOR</t>
  </si>
  <si>
    <t>4205 AUBURN WAY S</t>
  </si>
  <si>
    <t>UNIVERSITY TRAILER PARK</t>
  </si>
  <si>
    <t>2200 88TH NE</t>
  </si>
  <si>
    <t>PO BOX 82750</t>
  </si>
  <si>
    <t>AULD HOLLAND INN</t>
  </si>
  <si>
    <t>33575 SR 20</t>
  </si>
  <si>
    <t>33345 STATE ROUTE 20</t>
  </si>
  <si>
    <t>MILL WHEEL COMMUNITY ESTATES</t>
  </si>
  <si>
    <t>4000 FLYNN ST</t>
  </si>
  <si>
    <t>FRONTIER MOBILE MANOR</t>
  </si>
  <si>
    <t>1316 91ST AVE SE</t>
  </si>
  <si>
    <t>LAKE STEVENS</t>
  </si>
  <si>
    <t>WINDSONG MOBILE HOME PARK</t>
  </si>
  <si>
    <t>802 S FORREST ST</t>
  </si>
  <si>
    <t>PO BOX 1005</t>
  </si>
  <si>
    <t>DARRINGTON TRAILER COURT</t>
  </si>
  <si>
    <t>1170 SEEMAN ST</t>
  </si>
  <si>
    <t>DARRINGTON</t>
  </si>
  <si>
    <t>PO BOX 249</t>
  </si>
  <si>
    <t>1225 DARRINGTON ST</t>
  </si>
  <si>
    <t>KELLOGG VILLAGE MOBILE HOME PARK</t>
  </si>
  <si>
    <t>5711 100TH ST NE</t>
  </si>
  <si>
    <t>1429 BROADWAY</t>
  </si>
  <si>
    <t>PENINSULA ESTATES MOBILE HOME PARK</t>
  </si>
  <si>
    <t>3131 W WAPATO DR</t>
  </si>
  <si>
    <t>MOUNTAIN VIEW ESTATES</t>
  </si>
  <si>
    <t>66TH ST NE &amp; 123RD AVE NE</t>
  </si>
  <si>
    <t>SKYWAY MOBILE HOME PARK</t>
  </si>
  <si>
    <t>13000 MARTIN LUTHER KING JR</t>
  </si>
  <si>
    <t>PO BOX 476</t>
  </si>
  <si>
    <t>RIVERSIDE MOBILE HOME PARK</t>
  </si>
  <si>
    <t>11510 E RIVERSIDE DR</t>
  </si>
  <si>
    <t>COUNTRY MANOR MOBILE HOME PARK</t>
  </si>
  <si>
    <t>8730 206TH ST SE</t>
  </si>
  <si>
    <t>8730 206TH ST SE TRLR 19</t>
  </si>
  <si>
    <t>CHRISTMAS VILLAGE MANUFACTURED HOME COMMUNITY</t>
  </si>
  <si>
    <t>2650 N 13TH ST</t>
  </si>
  <si>
    <t>MASON</t>
  </si>
  <si>
    <t>7801 89TH AVE SW</t>
  </si>
  <si>
    <t>GREEN MT. MOBILE RANCH</t>
  </si>
  <si>
    <t>21201 NE 58TH ST</t>
  </si>
  <si>
    <t>21209 NE 58TH ST</t>
  </si>
  <si>
    <t>ALPINE PLACE MANUFACTURED HOME PARK</t>
  </si>
  <si>
    <t>14402 WOODBROOK DR SW</t>
  </si>
  <si>
    <t>16247 NE 51ST ST</t>
  </si>
  <si>
    <t>PARK PLACE MOBILE HOME PARK</t>
  </si>
  <si>
    <t>7407 E CATALDO AVE</t>
  </si>
  <si>
    <t>PO BOX 13072</t>
  </si>
  <si>
    <t>BUNKERS RESORT</t>
  </si>
  <si>
    <t>36402 BUNKER LANDING RD</t>
  </si>
  <si>
    <t>WESTWARD HO MOBILE HOME PARK</t>
  </si>
  <si>
    <t>702 8TH ST</t>
  </si>
  <si>
    <t>BENTON CITY</t>
  </si>
  <si>
    <t>562 FULLER ST</t>
  </si>
  <si>
    <t>LAKESHORE TRAILER PARK</t>
  </si>
  <si>
    <t>1910 MARINA DR</t>
  </si>
  <si>
    <t>C/O HOPE L SMITH</t>
  </si>
  <si>
    <t>5023 LAURA ST SE</t>
  </si>
  <si>
    <t>GRAND MOUND MOBILE HOME PARK</t>
  </si>
  <si>
    <t>21021 OLD HWY 99 SW</t>
  </si>
  <si>
    <t>524 MAPLE ST #104</t>
  </si>
  <si>
    <t>COUNTRY LIVING MOBILE HOME PARK</t>
  </si>
  <si>
    <t>316 2ND AVE</t>
  </si>
  <si>
    <t>ONALASKA</t>
  </si>
  <si>
    <t>PO BOX 1512</t>
  </si>
  <si>
    <t>SHADY FIRS RV PARK &amp; MOBILE HOME PARK</t>
  </si>
  <si>
    <t>107 YOUNG RD</t>
  </si>
  <si>
    <t>MAY VALLEY MOBILE MANOR</t>
  </si>
  <si>
    <t>11414 164TH AVE SE</t>
  </si>
  <si>
    <t>SUNNYSIDE MOBILE HOME PARK</t>
  </si>
  <si>
    <t>131 PARKLAND DR</t>
  </si>
  <si>
    <t>SUNNYSIDE</t>
  </si>
  <si>
    <t>131 PARKLAND DR SPACE # 131</t>
  </si>
  <si>
    <t>BIG FOOT PARK</t>
  </si>
  <si>
    <t>82 S BIGFOOT DR</t>
  </si>
  <si>
    <t>CARSON</t>
  </si>
  <si>
    <t>8301 TIETON DR</t>
  </si>
  <si>
    <t>8301 TIETON DR UNIT 4</t>
  </si>
  <si>
    <t>T &amp; T MOBILE HOME PARK</t>
  </si>
  <si>
    <t>5918 126TH AVE E</t>
  </si>
  <si>
    <t>PO BOX 1953</t>
  </si>
  <si>
    <t>SUMNER</t>
  </si>
  <si>
    <t>ALPINE MEADOWS ESTATES</t>
  </si>
  <si>
    <t>200 10TH ST</t>
  </si>
  <si>
    <t>GOLD BAR</t>
  </si>
  <si>
    <t>8625 EVERGREEN WAY STE 200</t>
  </si>
  <si>
    <t>SNAKE RIVER PARK</t>
  </si>
  <si>
    <t>1383 FAIR ST</t>
  </si>
  <si>
    <t>PO BOX 501</t>
  </si>
  <si>
    <t>WHISPERING FIRS MOBILE HOME PARK</t>
  </si>
  <si>
    <t>6412 96TH ST E</t>
  </si>
  <si>
    <t>1105 TACOMA AVE S</t>
  </si>
  <si>
    <t>MEADOW LARK COMMUNITY</t>
  </si>
  <si>
    <t>4112 E CENTER RD</t>
  </si>
  <si>
    <t>MEAD</t>
  </si>
  <si>
    <t>PO BOX 8297</t>
  </si>
  <si>
    <t>AVON VILLA MOBILE HOME PARK</t>
  </si>
  <si>
    <t>11434 AVONDALE RD NE</t>
  </si>
  <si>
    <t>EMPIRE VIEW MOBILE HOME PARK</t>
  </si>
  <si>
    <t>5711 S 129TH ST</t>
  </si>
  <si>
    <t>PARADISE MOBILE HOME PARK</t>
  </si>
  <si>
    <t>412 WASHINGTON AVE N</t>
  </si>
  <si>
    <t>VUE MOBILE HOME PARK</t>
  </si>
  <si>
    <t>12929 M L KING JR WAY S</t>
  </si>
  <si>
    <t>BONEL MOBILE MANOR</t>
  </si>
  <si>
    <t>24415 64TH AVE S</t>
  </si>
  <si>
    <t>CARRIAGE HILL ESTATES MOBILE HOME PARK</t>
  </si>
  <si>
    <t>802 N 40TH AVE</t>
  </si>
  <si>
    <t>4620 SCENIC DR</t>
  </si>
  <si>
    <t>DIAMOND MOBILE HOME PARK</t>
  </si>
  <si>
    <t>109 S AHTANUM</t>
  </si>
  <si>
    <t>UNION GAP</t>
  </si>
  <si>
    <t>RIVER OAKS RV</t>
  </si>
  <si>
    <t>962 KERNAN RD</t>
  </si>
  <si>
    <t>OROVILLE</t>
  </si>
  <si>
    <t>4600 MERIDIAN</t>
  </si>
  <si>
    <t>PORT HADLOCK HEIGHTS</t>
  </si>
  <si>
    <t>PORT HADLOCK HEIGHTS RD</t>
  </si>
  <si>
    <t>4503 OLD GARDINER RD</t>
  </si>
  <si>
    <t>PORT TOWNSEND</t>
  </si>
  <si>
    <t>CASCADE MANUFACTURED HOME COMMUNITY</t>
  </si>
  <si>
    <t>2311 W 16TH AVE</t>
  </si>
  <si>
    <t>31550 NORTHWESTERN HWY STE 200</t>
  </si>
  <si>
    <t>FARMINGTON HILLS</t>
  </si>
  <si>
    <t>MI</t>
  </si>
  <si>
    <t>MARTIN WAY MOBILE HM &amp; RV PARK</t>
  </si>
  <si>
    <t>8103 MARTIN WAY E</t>
  </si>
  <si>
    <t>CASCADE GREEN MANUFACTURED HOME PARK</t>
  </si>
  <si>
    <t>20224 78TH AVE E</t>
  </si>
  <si>
    <t>PO BOX 73536</t>
  </si>
  <si>
    <t>EL JAZMIN</t>
  </si>
  <si>
    <t>715 S COLUMBIA</t>
  </si>
  <si>
    <t>CONNELL</t>
  </si>
  <si>
    <t>PO BOX 1164</t>
  </si>
  <si>
    <t>FIR LANE MOBILE HOME PARK</t>
  </si>
  <si>
    <t>1501 GOLF CLUB RD SE</t>
  </si>
  <si>
    <t>2730 59TH ST SW</t>
  </si>
  <si>
    <t>WASHINGTON PARK</t>
  </si>
  <si>
    <t>15203 WASHINGTON AVE SW</t>
  </si>
  <si>
    <t>PO BOX 4438</t>
  </si>
  <si>
    <t>EVERGREEN ESTATES</t>
  </si>
  <si>
    <t>1713 COOKS HILL RD</t>
  </si>
  <si>
    <t>COUNTRY DALE M.H.P.</t>
  </si>
  <si>
    <t>12313 123RD ST CT E</t>
  </si>
  <si>
    <t>GOLDEN RIDGE MOBILE HOME PARK</t>
  </si>
  <si>
    <t>1500 S COLUMBUS AVE</t>
  </si>
  <si>
    <t>15973 S HIDDEN RD</t>
  </si>
  <si>
    <t>MULINO</t>
  </si>
  <si>
    <t>WESTERN VILLAGE ESTATES</t>
  </si>
  <si>
    <t>225 NE ERNST ST</t>
  </si>
  <si>
    <t>#204 - 34654 DELAIR RD</t>
  </si>
  <si>
    <t>ABBOTSFORD BC V252C9</t>
  </si>
  <si>
    <t>HIDDEN VILLAGE RV PARK &amp; CAMPGROUND</t>
  </si>
  <si>
    <t>7062 GUIDE MERIDIAN RD</t>
  </si>
  <si>
    <t>DUFFNER COURT MOBILE HOME PARK</t>
  </si>
  <si>
    <t>2010 FRONT ST</t>
  </si>
  <si>
    <t>PINE VILLAGE II</t>
  </si>
  <si>
    <t>RAIN FOREST MOBILE HOME PARK</t>
  </si>
  <si>
    <t>1205 S FORKS AVE</t>
  </si>
  <si>
    <t>5847 GUIDE MERIDIAN</t>
  </si>
  <si>
    <t>THE VILLAGE AT RAINIER</t>
  </si>
  <si>
    <t>602 BINGHAMPTON</t>
  </si>
  <si>
    <t>9432 W TARO LN</t>
  </si>
  <si>
    <t>PEORIA</t>
  </si>
  <si>
    <t>IDYLWOOD MOBILE HOME PARK</t>
  </si>
  <si>
    <t>5405 NE 54TH ST</t>
  </si>
  <si>
    <t>PO BOX 821807</t>
  </si>
  <si>
    <t>SANS SOUCI MOBILE ESTATES</t>
  </si>
  <si>
    <t>11209 127TH ST E</t>
  </si>
  <si>
    <t>PO BOX 5337</t>
  </si>
  <si>
    <t>NOVATO</t>
  </si>
  <si>
    <t>AERO MOBILE HOME PARK</t>
  </si>
  <si>
    <t>1649 S CAMPBELL</t>
  </si>
  <si>
    <t>AIRWAY HEIGHTS</t>
  </si>
  <si>
    <t>PO BOX 700</t>
  </si>
  <si>
    <t>STARLITE MOBILE HOME PARK</t>
  </si>
  <si>
    <t>800 BARKER E</t>
  </si>
  <si>
    <t>WHISPERING PINES MOBILE HOME PARK</t>
  </si>
  <si>
    <t>412 S HALLETT</t>
  </si>
  <si>
    <t>AERO M H PARK INC G &amp; S ENTERPRISES</t>
  </si>
  <si>
    <t>2649 S CAMPBELL ST</t>
  </si>
  <si>
    <t>COUNTRY ESTATES</t>
  </si>
  <si>
    <t>52 ENGH RD</t>
  </si>
  <si>
    <t>13023 NE HWY 99 STE 7/#333</t>
  </si>
  <si>
    <t>129 MOUNTAIN VIEW ESTATES DR</t>
  </si>
  <si>
    <t>PO BOX 765</t>
  </si>
  <si>
    <t>NOBLE ESTATES</t>
  </si>
  <si>
    <t>100 NOBLE ESTATES DR</t>
  </si>
  <si>
    <t>PO B0X 765</t>
  </si>
  <si>
    <t>TELLA LANE</t>
  </si>
  <si>
    <t>116 TELLA LN</t>
  </si>
  <si>
    <t>TIFFANY ESTATES</t>
  </si>
  <si>
    <t>100 TIFFANY LN</t>
  </si>
  <si>
    <t>TORY LYNN ESTATES</t>
  </si>
  <si>
    <t>100 TORY LYNN DR</t>
  </si>
  <si>
    <t>TOLEDO</t>
  </si>
  <si>
    <t>FOREST LANE ESTATES</t>
  </si>
  <si>
    <t>100 FOREST LN</t>
  </si>
  <si>
    <t>VALHALLA TRAILER PARK</t>
  </si>
  <si>
    <t>586 S 38TH AVE</t>
  </si>
  <si>
    <t>ORCHARD BLUFF</t>
  </si>
  <si>
    <t>1345 SE CARL PICKEL DR</t>
  </si>
  <si>
    <t>345 6TH ST STE 100</t>
  </si>
  <si>
    <t>OLYMPIC VIEW MOBILE HOME PARK</t>
  </si>
  <si>
    <t>101 JOSLIN RD</t>
  </si>
  <si>
    <t>977 SEACLIFF LN</t>
  </si>
  <si>
    <t>AGATE BAY ESTATES</t>
  </si>
  <si>
    <t>2516 N SHORE RD</t>
  </si>
  <si>
    <t>PO BOX 1462</t>
  </si>
  <si>
    <t>SANTIAGO SUNSET ESTATE MOBILE HOME PARK</t>
  </si>
  <si>
    <t>2105 N STEPTOE ST</t>
  </si>
  <si>
    <t>PO BOX 11927</t>
  </si>
  <si>
    <t>SANTA ANA</t>
  </si>
  <si>
    <t>EZ LIVIN MOBILE HOME PARK</t>
  </si>
  <si>
    <t>630 BASIN ST SW</t>
  </si>
  <si>
    <t>EPHRATA</t>
  </si>
  <si>
    <t>1861 VAN DYK RD</t>
  </si>
  <si>
    <t>EVERSON</t>
  </si>
  <si>
    <t>PLAZA ESTATES</t>
  </si>
  <si>
    <t>1809 PLAZA WAY</t>
  </si>
  <si>
    <t>507 W MAIN ST</t>
  </si>
  <si>
    <t>RIVERWOOD MOBILE HOME PARK</t>
  </si>
  <si>
    <t>140 NORTH TOUCHET RD</t>
  </si>
  <si>
    <t>DAYTON</t>
  </si>
  <si>
    <t>COLUMBIA</t>
  </si>
  <si>
    <t>SUMMERVILLE ESTATES</t>
  </si>
  <si>
    <t>15911 55TH ST E</t>
  </si>
  <si>
    <t>2375 130TH AVE NE STE 102</t>
  </si>
  <si>
    <t>POST ROAD RV AND TRAILER COURT</t>
  </si>
  <si>
    <t>202 RICHMOND AVE</t>
  </si>
  <si>
    <t>GEORGE</t>
  </si>
  <si>
    <t>PO BOX 487</t>
  </si>
  <si>
    <t>HERON POINTE HOME SALES</t>
  </si>
  <si>
    <t>5815 OCEAN BEACH HWY</t>
  </si>
  <si>
    <t>C/O CAROLYN GUY</t>
  </si>
  <si>
    <t>122 ARLINGTON PL</t>
  </si>
  <si>
    <t>MARTINS MODULAR HOME PARK</t>
  </si>
  <si>
    <t>3204 48TH STREET CT E</t>
  </si>
  <si>
    <t>EVERSON MOBILE HOME ESTATES</t>
  </si>
  <si>
    <t>205 REEDS LN</t>
  </si>
  <si>
    <t>9725 227TH PL SW</t>
  </si>
  <si>
    <t>SUNLAND PARK</t>
  </si>
  <si>
    <t>2600 ALLEN RD</t>
  </si>
  <si>
    <t>PO BOX 934</t>
  </si>
  <si>
    <t>CANDLEWOOD MANOR</t>
  </si>
  <si>
    <t>4500 MARTIN WAY E</t>
  </si>
  <si>
    <t>SELAH HILLS MANUFACTURED HOUSING COMMUNITY</t>
  </si>
  <si>
    <t>1790 SELAH LOOP RD</t>
  </si>
  <si>
    <t>SELAH</t>
  </si>
  <si>
    <t>PO BOX 2026</t>
  </si>
  <si>
    <t>COEUR D ALENE</t>
  </si>
  <si>
    <t>ID</t>
  </si>
  <si>
    <t>SANDY BEACH MOBILE VILLA</t>
  </si>
  <si>
    <t>208 S NEYLAND</t>
  </si>
  <si>
    <t>LIBERTY LAKE</t>
  </si>
  <si>
    <t>326 S SANDY BEACH LN</t>
  </si>
  <si>
    <t>JANET SCHUMACHER MOBILE HOME PARK</t>
  </si>
  <si>
    <t>24313 54TH AVE W</t>
  </si>
  <si>
    <t>MOUNTLAKE TERRACE</t>
  </si>
  <si>
    <t>3504 SEATTLE HILL RD # 1</t>
  </si>
  <si>
    <t>SUN DESERT</t>
  </si>
  <si>
    <t>7472 F RD SE</t>
  </si>
  <si>
    <t>30504 PACIFIC HWY S</t>
  </si>
  <si>
    <t>KILLARNEY WOODS</t>
  </si>
  <si>
    <t>2504 S 371ST ST</t>
  </si>
  <si>
    <t>4810 COLEMAN CAMP RD NW</t>
  </si>
  <si>
    <t>EVERGREEN MOBILE HOME PARK</t>
  </si>
  <si>
    <t>4179 ORCHARD DR NE</t>
  </si>
  <si>
    <t>DREW'S RV PARK</t>
  </si>
  <si>
    <t>5307 SPIRIT LAKE HWY</t>
  </si>
  <si>
    <t>TOUTLE</t>
  </si>
  <si>
    <t>5222 SPIRIT LAKE HWY</t>
  </si>
  <si>
    <t>THUNDERBIRD VILLAGE MOBILE HOME PARK</t>
  </si>
  <si>
    <t>706 DENNIS ST SE</t>
  </si>
  <si>
    <t>706 DENNIS ST SE #10</t>
  </si>
  <si>
    <t>ROYAL OAKS MOBILE HOME PARK</t>
  </si>
  <si>
    <t>8601 288TH ST S</t>
  </si>
  <si>
    <t>249 13TH ST SE</t>
  </si>
  <si>
    <t>LYNNWOOD HEIGHTS MFG. HOUSING COMMUNITY</t>
  </si>
  <si>
    <t>4111 164TH ST SW</t>
  </si>
  <si>
    <t>PO BOX 5399</t>
  </si>
  <si>
    <t>HUNTER'S PRAIRIE MOBILE HOME PARK</t>
  </si>
  <si>
    <t>38 HURD RD</t>
  </si>
  <si>
    <t>HARVESTGATE</t>
  </si>
  <si>
    <t>6101 89TH ST COURT E</t>
  </si>
  <si>
    <t>7809 PACIFIC AVE</t>
  </si>
  <si>
    <t>KLIPSAN MEADOWS MOBILE HOME PARK</t>
  </si>
  <si>
    <t>2217 227TH PL</t>
  </si>
  <si>
    <t>FORKS MOBILE HOME PARK</t>
  </si>
  <si>
    <t>621 CALAWAH WAY</t>
  </si>
  <si>
    <t>PO BOX 5126</t>
  </si>
  <si>
    <t>TAYLOR TIMBER INVESTMENT COMPANY</t>
  </si>
  <si>
    <t>141 SE LYNCH RD</t>
  </si>
  <si>
    <t>130 SE LYNCH RD</t>
  </si>
  <si>
    <t>COUNTRY VILLAGE</t>
  </si>
  <si>
    <t>15110 PEACOCK HILL AVE NW</t>
  </si>
  <si>
    <t>BURNSIDE TRAILER COURT</t>
  </si>
  <si>
    <t>30271 E HWY 20</t>
  </si>
  <si>
    <t>6950 AEGEAN BLVD NE</t>
  </si>
  <si>
    <t>RAINIER VISTA MOBILE MANOR</t>
  </si>
  <si>
    <t>8530 STEILACOOM RD</t>
  </si>
  <si>
    <t>WINE COUNTRY VILLA II</t>
  </si>
  <si>
    <t>355 OLD INLAND EMPIRE HWY</t>
  </si>
  <si>
    <t>139404 W NORTH RIVER RD</t>
  </si>
  <si>
    <t>95 MONTE ELMA</t>
  </si>
  <si>
    <t>#101-403 6TH ST</t>
  </si>
  <si>
    <t>NEW WESTMINSTER BC V3L 3B1</t>
  </si>
  <si>
    <t>WOODBROOK MOBILE HOME PARK</t>
  </si>
  <si>
    <t>14818 WOODBROOK DR SW</t>
  </si>
  <si>
    <t>PO BOX 1441</t>
  </si>
  <si>
    <t>2438 72ND AVE SE</t>
  </si>
  <si>
    <t>VILLAGE GREEN PARK</t>
  </si>
  <si>
    <t>8941 OLD HIGHWAY 99 SE</t>
  </si>
  <si>
    <t>411 REDCOAT CT SE</t>
  </si>
  <si>
    <t>GROVE MOBILE HOME PARK</t>
  </si>
  <si>
    <t>10204 CROFT ST S</t>
  </si>
  <si>
    <t>6524 CROMWELL BEACH DR NW</t>
  </si>
  <si>
    <t>LOON LAKE ACRES MOBILE HOME PARK</t>
  </si>
  <si>
    <t>4095 SWALLOWS RD</t>
  </si>
  <si>
    <t>LOON LAKE</t>
  </si>
  <si>
    <t>PO BOX 500</t>
  </si>
  <si>
    <t>AUBURN MANOR MOBILE HOME PARK</t>
  </si>
  <si>
    <t>210 37TH ST SE</t>
  </si>
  <si>
    <t>385 CLINTON ST</t>
  </si>
  <si>
    <t>COSTA MESA</t>
  </si>
  <si>
    <t>GOLDEN ROSE MOBILE HOME PARK</t>
  </si>
  <si>
    <t>6220 107TH AVE E</t>
  </si>
  <si>
    <t>MOUNTAIN VILLA MOBILE ESTATES</t>
  </si>
  <si>
    <t>1099 MOUNTAIN VILLA DR</t>
  </si>
  <si>
    <t>GIBBONS CREEK MOBILE ESTATES</t>
  </si>
  <si>
    <t>4501 ADDY ST UNIT 160</t>
  </si>
  <si>
    <t>WASHOUGAL</t>
  </si>
  <si>
    <t>HILLTOP MOBILE HOME PARK</t>
  </si>
  <si>
    <t>5314 W SUNSET HWY</t>
  </si>
  <si>
    <t>PO BOX 232</t>
  </si>
  <si>
    <t>NINE MILE FALLS</t>
  </si>
  <si>
    <t>VILLAGE GREEN MOBILE HOME PARK</t>
  </si>
  <si>
    <t>12605 E GIBSON RD</t>
  </si>
  <si>
    <t>105 E COX ST</t>
  </si>
  <si>
    <t>1920 S SPOKANE ST</t>
  </si>
  <si>
    <t>SUNNYSIDE M.H.P.</t>
  </si>
  <si>
    <t>8303 19TH AVE E</t>
  </si>
  <si>
    <t>8405 SE 53RD PL</t>
  </si>
  <si>
    <t>ANGLER'S HIDEAWAY</t>
  </si>
  <si>
    <t>12 PARK LOOP DR</t>
  </si>
  <si>
    <t>SEKIU</t>
  </si>
  <si>
    <t>PO BOX 155</t>
  </si>
  <si>
    <t>COUNTRY ESTATES MHC, L.L.C.</t>
  </si>
  <si>
    <t>938 SE SCENIC VIEW DR</t>
  </si>
  <si>
    <t>304 S CONKLIN RD LOT 51</t>
  </si>
  <si>
    <t>304 S CONKLIN RD OFC</t>
  </si>
  <si>
    <t>GOLDEN ACRES</t>
  </si>
  <si>
    <t>1430 CHESTNUT ST</t>
  </si>
  <si>
    <t>NORTHWEST TRAILER PARK</t>
  </si>
  <si>
    <t>9911 S TACOMA WAY</t>
  </si>
  <si>
    <t>PO BOX 44667</t>
  </si>
  <si>
    <t>KLAHOWYA ESTATES</t>
  </si>
  <si>
    <t>4040 KLAHOWYA LN SW</t>
  </si>
  <si>
    <t>PO BOX 738</t>
  </si>
  <si>
    <t>LE NET'S MOBILE HOME PARK</t>
  </si>
  <si>
    <t>7140 191ST ST SW</t>
  </si>
  <si>
    <t>8810 357TH ST E</t>
  </si>
  <si>
    <t>BAKERVIEW MOBILE ESTATES</t>
  </si>
  <si>
    <t>4015 ELIZA AVE</t>
  </si>
  <si>
    <t>PARKWAY VILLAGE</t>
  </si>
  <si>
    <t>2015 24TH ST</t>
  </si>
  <si>
    <t>GOLDEN WEST MOBILE MANOR</t>
  </si>
  <si>
    <t>6814 NE 131ST AVE</t>
  </si>
  <si>
    <t>HORSESHOE LAKE MOBILE HOME PARK</t>
  </si>
  <si>
    <t>296 ISLAND AIRE DR</t>
  </si>
  <si>
    <t>TOWN'N COUNTRY M.H.P.</t>
  </si>
  <si>
    <t>507 COLORADO ST</t>
  </si>
  <si>
    <t>VIKING WEST MOBILE HOME PARK</t>
  </si>
  <si>
    <t>124 ELMA MC CLEARY RD</t>
  </si>
  <si>
    <t>PO BOX 857</t>
  </si>
  <si>
    <t>RIVIERA TRAILER VILLAGE</t>
  </si>
  <si>
    <t>700 N ROAD 32</t>
  </si>
  <si>
    <t>PO BOX 2347</t>
  </si>
  <si>
    <t>HILLCREST MOBILE HOME PARK</t>
  </si>
  <si>
    <t>10414 PEACOCK HILL AVE NW</t>
  </si>
  <si>
    <t>LAIRD MOBILE HOME PARK</t>
  </si>
  <si>
    <t>316 N SKAGIT ST</t>
  </si>
  <si>
    <t>PO BOX 994</t>
  </si>
  <si>
    <t>405 S MAIN ST</t>
  </si>
  <si>
    <t>1 S MAIN ST</t>
  </si>
  <si>
    <t>TRAILHEAD ESTATES</t>
  </si>
  <si>
    <t>203 W CROFT</t>
  </si>
  <si>
    <t>203 W CROFT # 10</t>
  </si>
  <si>
    <t>THE MAPLES MHP</t>
  </si>
  <si>
    <t>7512 20TH AVE E</t>
  </si>
  <si>
    <t>PO BOX 3889</t>
  </si>
  <si>
    <t>PARK VILLAGE MOBILE ESTATES</t>
  </si>
  <si>
    <t>2725 E FIR ST</t>
  </si>
  <si>
    <t>MISTY POND</t>
  </si>
  <si>
    <t>19115 EDWARDS RD E</t>
  </si>
  <si>
    <t>19425 EDWARDS RD E</t>
  </si>
  <si>
    <t>60 E BLEVINS RD N</t>
  </si>
  <si>
    <t>60 E BLEVINS RD N # 101</t>
  </si>
  <si>
    <t>THE OAKS MOBILE HOME PARK</t>
  </si>
  <si>
    <t>1785 DOUGLAS RD # 1</t>
  </si>
  <si>
    <t>FRIDAY HARBOR</t>
  </si>
  <si>
    <t>SAN JUAN</t>
  </si>
  <si>
    <t>SHANGRA LA</t>
  </si>
  <si>
    <t>8005 MARTIN WAY E</t>
  </si>
  <si>
    <t>827 HILLTOP AVE</t>
  </si>
  <si>
    <t>EL-MONTE MOBILE HOME ESTATES</t>
  </si>
  <si>
    <t>24 EL MONTE LN</t>
  </si>
  <si>
    <t>TWIN FIRS MOBILE HOME ESTATES</t>
  </si>
  <si>
    <t>20505 10TH AVE E</t>
  </si>
  <si>
    <t>C/O COMMONWEALTH REAL ESTATE</t>
  </si>
  <si>
    <t>2875 130TH AVE NE STE 102</t>
  </si>
  <si>
    <t>CARRIAGE CLUB ESTATES</t>
  </si>
  <si>
    <t>13320 HIGHWAY 99</t>
  </si>
  <si>
    <t>PO BOX 651</t>
  </si>
  <si>
    <t>HILLVIEW MOBILE HOME PARK</t>
  </si>
  <si>
    <t>400 14TH ST</t>
  </si>
  <si>
    <t>12844 MARKWOOD RD</t>
  </si>
  <si>
    <t>NORTHFORK CONSTRUCTION, INC.</t>
  </si>
  <si>
    <t>103 N FORK RD</t>
  </si>
  <si>
    <t>HOLIDAY TRAILER PARK</t>
  </si>
  <si>
    <t>2018 N EASTERN RD</t>
  </si>
  <si>
    <t>C/O FUTURE LAND CO LLC</t>
  </si>
  <si>
    <t>6219 E TRENT</t>
  </si>
  <si>
    <t>MORIAH NORTH ESTATES</t>
  </si>
  <si>
    <t>1130 N WENAS RD</t>
  </si>
  <si>
    <t>7001 OCCIDENTAL RD</t>
  </si>
  <si>
    <t>CASTLEVALE MOBILE HOME PARK</t>
  </si>
  <si>
    <t>3005 CASTLEVALE RD</t>
  </si>
  <si>
    <t>ROYAL CREST MOBILE HOME PARK</t>
  </si>
  <si>
    <t>3960 W VAN GIESEN ST</t>
  </si>
  <si>
    <t>GLEED MOBILE HOME PARK</t>
  </si>
  <si>
    <t>500 HALL RD</t>
  </si>
  <si>
    <t>SILVER CREEK MEADOWS</t>
  </si>
  <si>
    <t>573 NW MEADOW LN</t>
  </si>
  <si>
    <t>GRANGER MOBILE VILLA</t>
  </si>
  <si>
    <t>225 EAST E ST</t>
  </si>
  <si>
    <t>GRANGER</t>
  </si>
  <si>
    <t>131 PARKLAND DR SPACE 131</t>
  </si>
  <si>
    <t>HARVEST MANOR ESTATES</t>
  </si>
  <si>
    <t>4815 AIRWAY DR NE</t>
  </si>
  <si>
    <t>836 HARMON WAY S</t>
  </si>
  <si>
    <t>TOWNSEND ESTATES</t>
  </si>
  <si>
    <t>575 COMMERCIAL AVE</t>
  </si>
  <si>
    <t>326 FIR LN</t>
  </si>
  <si>
    <t>LOST LANE MOBILE HOME PARK</t>
  </si>
  <si>
    <t>4680 RD K NE</t>
  </si>
  <si>
    <t>4500 RD N 8 NE</t>
  </si>
  <si>
    <t>JOHNSON &amp; HALL, L.L.C.</t>
  </si>
  <si>
    <t>111 S TOPPENISH AVE</t>
  </si>
  <si>
    <t>VANTAGE RIVERSTONE RESORT</t>
  </si>
  <si>
    <t>551 MAIN ST</t>
  </si>
  <si>
    <t>VANTAGE</t>
  </si>
  <si>
    <t>PO BOX 1201</t>
  </si>
  <si>
    <t>MEAD ROYALE MANUFACTURED HOME COMMUNITY</t>
  </si>
  <si>
    <t>11705 N WILSON</t>
  </si>
  <si>
    <t>101 MAIN ST STE 280</t>
  </si>
  <si>
    <t>HUNTINGTON BEACH</t>
  </si>
  <si>
    <t>ALDER MOBILE PARK</t>
  </si>
  <si>
    <t>28201 NE 419TH ST</t>
  </si>
  <si>
    <t>AMBOY</t>
  </si>
  <si>
    <t>C/O CT CORPORATION SYSTEM</t>
  </si>
  <si>
    <t>520 PIKE ST</t>
  </si>
  <si>
    <t>ANGLE LAKE MOBILE HOME PARK</t>
  </si>
  <si>
    <t>2916 S 200TH ST</t>
  </si>
  <si>
    <t>6619 132ND AVE NE # 254</t>
  </si>
  <si>
    <t>KIRKLAND</t>
  </si>
  <si>
    <t>COUNTRY COURT MHC</t>
  </si>
  <si>
    <t>20420 LAFAYETTE RD</t>
  </si>
  <si>
    <t>ALOHA PINES LLC</t>
  </si>
  <si>
    <t>40602 N NEWPORT HWY</t>
  </si>
  <si>
    <t>ELK</t>
  </si>
  <si>
    <t>62-1210 WAIEMI PL</t>
  </si>
  <si>
    <t>KAMUELA</t>
  </si>
  <si>
    <t>HARVARD VIEW MOBILE HOME PARK</t>
  </si>
  <si>
    <t>8304 18TH AVE CT E</t>
  </si>
  <si>
    <t>14306 23RD AVE SW</t>
  </si>
  <si>
    <t>ASPEN GROVE</t>
  </si>
  <si>
    <t>1201 S CHESTNUT ST</t>
  </si>
  <si>
    <t>PO BOX 1265</t>
  </si>
  <si>
    <t>NORTH BEND</t>
  </si>
  <si>
    <t>PANTERA LAGO ESTATES</t>
  </si>
  <si>
    <t>11436 SE 208TH ST</t>
  </si>
  <si>
    <t>LAGO DE PLATA VILLA</t>
  </si>
  <si>
    <t>620 112TH ST SE</t>
  </si>
  <si>
    <t>PANTERA LAGO ANNEX</t>
  </si>
  <si>
    <t>SILVERDALE MOBILE ESTATES</t>
  </si>
  <si>
    <t>160 NE SATURN LN</t>
  </si>
  <si>
    <t>SILVERDALE ESTATES</t>
  </si>
  <si>
    <t>FIRWOOD MOBILE HOME PARK</t>
  </si>
  <si>
    <t>901 136TH STREET CT S</t>
  </si>
  <si>
    <t>6619 132ND AVE NE PMB 270</t>
  </si>
  <si>
    <t>MIDWAY MOBILE MANSION MOBILE HOME PARK</t>
  </si>
  <si>
    <t>24426 PACIFIC HWY S</t>
  </si>
  <si>
    <t>FLAMINGO VILLAGE MOBILE HOME PARK</t>
  </si>
  <si>
    <t>130 DIAMOND DR</t>
  </si>
  <si>
    <t>463 S MOON BEAM WAY</t>
  </si>
  <si>
    <t>EAGLE</t>
  </si>
  <si>
    <t>WILLO VISTA ESTATES</t>
  </si>
  <si>
    <t>22000 84TH AVE S</t>
  </si>
  <si>
    <t>BOWMAN HILTON MOBILE HOME COURT</t>
  </si>
  <si>
    <t>15910 BOWMAN HILTON ST E</t>
  </si>
  <si>
    <t>ATTN CHERYL RICE</t>
  </si>
  <si>
    <t>18006 SKY PARK CIRCLE STE 200</t>
  </si>
  <si>
    <t>IRVINE</t>
  </si>
  <si>
    <t>MARTINEZ MINI-TRAILER COURT</t>
  </si>
  <si>
    <t>600 2ND AVE SW</t>
  </si>
  <si>
    <t>PO BOX 54</t>
  </si>
  <si>
    <t>APPLE ACRES MOBILE HOME PARK</t>
  </si>
  <si>
    <t>35 APPLE ACRES RD</t>
  </si>
  <si>
    <t>PMB 423</t>
  </si>
  <si>
    <t>16625 REDMOND WAY STE M</t>
  </si>
  <si>
    <t>DESERT VILLA MOBILE HOME PARK</t>
  </si>
  <si>
    <t>1359 HWY 28 NW</t>
  </si>
  <si>
    <t>AMBOY TRAILER COURT</t>
  </si>
  <si>
    <t>39167 NE AMBOY RD</t>
  </si>
  <si>
    <t>PO BOX 67</t>
  </si>
  <si>
    <t>LUMMI COMMERCIAL COMPANY</t>
  </si>
  <si>
    <t>2751 HAXTON WAY</t>
  </si>
  <si>
    <t>2751 HAXTON WAY TRLR 1</t>
  </si>
  <si>
    <t>LAKELAND ESTATES</t>
  </si>
  <si>
    <t>16202 SE LAKE MONEYSMITH RD</t>
  </si>
  <si>
    <t>COLUMBIA RIVER MOBILE</t>
  </si>
  <si>
    <t>1016 S 11TH AVE</t>
  </si>
  <si>
    <t>PO BOX 488</t>
  </si>
  <si>
    <t>TROUTDALE</t>
  </si>
  <si>
    <t>NORTH CREEK MOBILE PARK</t>
  </si>
  <si>
    <t>19326 BOTHELL EVERETT HIGHWAY</t>
  </si>
  <si>
    <t>PO BOX 615</t>
  </si>
  <si>
    <t>DUVALL</t>
  </si>
  <si>
    <t>BROADMOOR MOBILE PARK, LLC</t>
  </si>
  <si>
    <t>55 W WASHINGTON AVE</t>
  </si>
  <si>
    <t>C/O TERRIE NAYLOR</t>
  </si>
  <si>
    <t>EAGLE MOBILE HOME PARK</t>
  </si>
  <si>
    <t>16088 MCLEAN RD</t>
  </si>
  <si>
    <t>4111 SHELBY RD</t>
  </si>
  <si>
    <t>BEARDEN'S MOBILE HOME PARK</t>
  </si>
  <si>
    <t>6020 202ND ST SW</t>
  </si>
  <si>
    <t>JAMESTOWN ESTATES</t>
  </si>
  <si>
    <t>7110 146TH ST SW</t>
  </si>
  <si>
    <t>OLYMPIC VIEW MOBILE MANOR</t>
  </si>
  <si>
    <t>15503 CEDAR PARK RD SE</t>
  </si>
  <si>
    <t>OLALLA</t>
  </si>
  <si>
    <t>7420 HWY 3 SW</t>
  </si>
  <si>
    <t>GOLDEN HORSESHOE MHP</t>
  </si>
  <si>
    <t>6720 MATHIAS RD E</t>
  </si>
  <si>
    <t>PORTAL CREEK</t>
  </si>
  <si>
    <t>6350 PORTAL WAY</t>
  </si>
  <si>
    <t>PO BOX 98757</t>
  </si>
  <si>
    <t>BROOKDALE GREENS</t>
  </si>
  <si>
    <t>13702 20TH AVE E</t>
  </si>
  <si>
    <t>SAGE CREST</t>
  </si>
  <si>
    <t>5933 RD J SE</t>
  </si>
  <si>
    <t>74481 LARSON RD</t>
  </si>
  <si>
    <t>LAUREL OAKS MANUFACTURED HOME COMMUNITY</t>
  </si>
  <si>
    <t>1833 HOLLYHOCK LN SE</t>
  </si>
  <si>
    <t>SUNNY VALLEY MOBILE HOME PARK</t>
  </si>
  <si>
    <t>402 MAPLE AVE</t>
  </si>
  <si>
    <t>16482 SE 48TH PL</t>
  </si>
  <si>
    <t>PETTEYVILLE MOBILE HOME PARK</t>
  </si>
  <si>
    <t>205 PLEASANT AVE</t>
  </si>
  <si>
    <t>GRANDVIEW</t>
  </si>
  <si>
    <t>SNUG HARBOR MOBILE HOME PARK</t>
  </si>
  <si>
    <t>4449 BEACH DR E</t>
  </si>
  <si>
    <t>WEST ALDER ESTATES</t>
  </si>
  <si>
    <t>325 N 5TH AVE</t>
  </si>
  <si>
    <t>PMB 246</t>
  </si>
  <si>
    <t>4616 25TH AVE</t>
  </si>
  <si>
    <t>COUNTRY MOBILE ESTATES</t>
  </si>
  <si>
    <t>16308 B STREET EAST</t>
  </si>
  <si>
    <t>29865 11TH AVE SW</t>
  </si>
  <si>
    <t>VIEWMONT MOBILE ESTATES</t>
  </si>
  <si>
    <t>1120 S 25TH ST</t>
  </si>
  <si>
    <t>ATTN: SOAZICK FRELICOT</t>
  </si>
  <si>
    <t>PO BOX 460415</t>
  </si>
  <si>
    <t>SAN FRANCISCO</t>
  </si>
  <si>
    <t>RANCHO VILLAGE MOBILE HOME COURT</t>
  </si>
  <si>
    <t>10302 LAKEVIEW AVE SW</t>
  </si>
  <si>
    <t>PO BOX 9425</t>
  </si>
  <si>
    <t>CYPRESS POINT</t>
  </si>
  <si>
    <t>1805 NE 94TH ST</t>
  </si>
  <si>
    <t>5808 NW 195TH CIR</t>
  </si>
  <si>
    <t>RIDGEFIELD</t>
  </si>
  <si>
    <t>COUNTRY MEADOWS MHP</t>
  </si>
  <si>
    <t>11005 NE 76TH ST</t>
  </si>
  <si>
    <t>PO BOX 821257</t>
  </si>
  <si>
    <t>OAK MEADOWS MOBILE HOME PARK</t>
  </si>
  <si>
    <t>26801 NE 9TH ST</t>
  </si>
  <si>
    <t>CAMAS</t>
  </si>
  <si>
    <t>LEMAR MOBILE MANOR</t>
  </si>
  <si>
    <t>15411 SE MILL PLAIN BLVD</t>
  </si>
  <si>
    <t>SHERWOOD VILLAGE</t>
  </si>
  <si>
    <t>3504 SEATTLE HILL RD</t>
  </si>
  <si>
    <t>NOR'WEST RV PARK</t>
  </si>
  <si>
    <t>1627 MAIN ST</t>
  </si>
  <si>
    <t>COACH COUNTRY MHP</t>
  </si>
  <si>
    <t>1921 208TH ST E</t>
  </si>
  <si>
    <t>1314 B CENTER DR # 426</t>
  </si>
  <si>
    <t>MEDFORD</t>
  </si>
  <si>
    <t>CIRCLE HA MOBILE HOME PARK</t>
  </si>
  <si>
    <t>6413 123RD AVE SE</t>
  </si>
  <si>
    <t>1002 WASHINGTON AVE</t>
  </si>
  <si>
    <t>MUKILTEO</t>
  </si>
  <si>
    <t>EVERGREEN COURT</t>
  </si>
  <si>
    <t>22212 PACIFIC WAY</t>
  </si>
  <si>
    <t>PO BOX 1310</t>
  </si>
  <si>
    <t>BOB'S LAKEWOOD CONDOMINIUMS</t>
  </si>
  <si>
    <t>7109 146TH ST SW</t>
  </si>
  <si>
    <t>CRESTWOOD PARK</t>
  </si>
  <si>
    <t>4500 RUDDELL RD SE</t>
  </si>
  <si>
    <t>9040 BURKE AVE N</t>
  </si>
  <si>
    <t>VAN FLEET'S MOBILE HOME PARK</t>
  </si>
  <si>
    <t>24835 HOEHN RD</t>
  </si>
  <si>
    <t>SEDRO WOOLLEY</t>
  </si>
  <si>
    <t>PO BOX 2377</t>
  </si>
  <si>
    <t>DANVILLE</t>
  </si>
  <si>
    <t>SPRING GLEN MOBLE HOME PARK</t>
  </si>
  <si>
    <t>4450 356TH DR SE</t>
  </si>
  <si>
    <t>PO BOX 38</t>
  </si>
  <si>
    <t>SALMON CREEK MOBILE HOME PARK</t>
  </si>
  <si>
    <t>11925 AMBAUM BLVD SW</t>
  </si>
  <si>
    <t>B.J.S. MOBILE HOME PARK</t>
  </si>
  <si>
    <t>201 GREENACRES RD</t>
  </si>
  <si>
    <t>CRYSTALAIRE MOBILE HOME PARK</t>
  </si>
  <si>
    <t>2370 FARMAN ST N</t>
  </si>
  <si>
    <t>315 39TH AVE SW STE 10</t>
  </si>
  <si>
    <t>ALPS MOBILE HOME PARK</t>
  </si>
  <si>
    <t>300 ALPS RD</t>
  </si>
  <si>
    <t>MOXEE</t>
  </si>
  <si>
    <t>PO BOX 370</t>
  </si>
  <si>
    <t>THE LAKES AT GIG HARBOR</t>
  </si>
  <si>
    <t>4117 144TH ST NW</t>
  </si>
  <si>
    <t>4420 146TH ST NW</t>
  </si>
  <si>
    <t>HIGHLAND TERRACE MHP</t>
  </si>
  <si>
    <t>455 9TH ST NE</t>
  </si>
  <si>
    <t>24217 23RD AVE SE</t>
  </si>
  <si>
    <t>CANYON TERRACE MOBILE HOME PARK</t>
  </si>
  <si>
    <t>9314 CANYON RD E</t>
  </si>
  <si>
    <t>ALONDA VILLA</t>
  </si>
  <si>
    <t>1301 ALDONDA LN NE</t>
  </si>
  <si>
    <t>SUN MEADOWS MOBILE HOME PARK</t>
  </si>
  <si>
    <t>3324 W 19TH AVE</t>
  </si>
  <si>
    <t>PO BOX 1208</t>
  </si>
  <si>
    <t>ELK GROVE</t>
  </si>
  <si>
    <t>SHAMROCK TRAILER PARK</t>
  </si>
  <si>
    <t>6814 MARTIN WAY E # 7</t>
  </si>
  <si>
    <t>PINE TERRACE TRAILER VILLAGE</t>
  </si>
  <si>
    <t>725 9TH AVE APT 1003</t>
  </si>
  <si>
    <t>C/O GRAY BUSINESSES LLC</t>
  </si>
  <si>
    <t>HILLCREST MANOR</t>
  </si>
  <si>
    <t>10400 NE 72ND AVE</t>
  </si>
  <si>
    <t>10400 NE 72ND AVE UNIT 17</t>
  </si>
  <si>
    <t>KITSAP WEST MANUFACTURED HOUSING COMMUNITY</t>
  </si>
  <si>
    <t>3370 SE BIELMEIER RD</t>
  </si>
  <si>
    <t>3036 S HENRY RD</t>
  </si>
  <si>
    <t>GREENACRES</t>
  </si>
  <si>
    <t>OLYMPIC GREENS MOBILE HOME PARK</t>
  </si>
  <si>
    <t>86 OLYMPIC GREENS DR</t>
  </si>
  <si>
    <t>15410 SE 272ND ST UNIT 30</t>
  </si>
  <si>
    <t>HUNTER'S WALK</t>
  </si>
  <si>
    <t>201 W OAKVIEW AVE</t>
  </si>
  <si>
    <t>PO BOX 626</t>
  </si>
  <si>
    <t>WILSONVILLE</t>
  </si>
  <si>
    <t>PARKLANE COURT LLC</t>
  </si>
  <si>
    <t>2120 177TH ST E</t>
  </si>
  <si>
    <t>530 E PIONEER</t>
  </si>
  <si>
    <t>ROBIN HOOD VILLAGE</t>
  </si>
  <si>
    <t>6780 E STATE ROUTE 106</t>
  </si>
  <si>
    <t>UNION</t>
  </si>
  <si>
    <t>PO BOX 5465</t>
  </si>
  <si>
    <t>TANGLEWOOD MHP</t>
  </si>
  <si>
    <t>10239 185TH AVE SW</t>
  </si>
  <si>
    <t>4701 SW ADMIRAL WAY UNIT 248</t>
  </si>
  <si>
    <t>OTHELLO MOBILE MANOR</t>
  </si>
  <si>
    <t>815 S TAYLOR RD OFFICE</t>
  </si>
  <si>
    <t>5426 N RD 68 STE D # 139</t>
  </si>
  <si>
    <t>MARTHA LAKE MOBILE MANOR</t>
  </si>
  <si>
    <t>415 LAKEVIEW RD</t>
  </si>
  <si>
    <t>COUNTRY WEST MOBILE HOME PARK</t>
  </si>
  <si>
    <t>120TH AVE CT E &amp; 126TH ST CT E</t>
  </si>
  <si>
    <t>2375 130TH AVE NE #102</t>
  </si>
  <si>
    <t>TWIN CREEKS MOBILE HOME PARK</t>
  </si>
  <si>
    <t>1615 208TH ST SE</t>
  </si>
  <si>
    <t>1627 208TH ST SE</t>
  </si>
  <si>
    <t>ALDERBROOK MOBILE HOME PARK</t>
  </si>
  <si>
    <t>2110 54TH AVE SW #20</t>
  </si>
  <si>
    <t>PLEASANT VALLEY MANOR</t>
  </si>
  <si>
    <t>28454 168TH AVE SE</t>
  </si>
  <si>
    <t>COVINGTON</t>
  </si>
  <si>
    <t>PO BOX 117</t>
  </si>
  <si>
    <t>COPALIS BEACH</t>
  </si>
  <si>
    <t>VOLLAND MANOR MHP</t>
  </si>
  <si>
    <t>802 N VOLLAND ST</t>
  </si>
  <si>
    <t>PO BOX 731823</t>
  </si>
  <si>
    <t>13624 113TH STREET CT E</t>
  </si>
  <si>
    <t>WINE COUNTRY VILLA</t>
  </si>
  <si>
    <t>VOLMER'S MOBILE HOME PARK</t>
  </si>
  <si>
    <t>190 S 38TH AVE</t>
  </si>
  <si>
    <t>701 S 46TH AVE</t>
  </si>
  <si>
    <t>LONE CEDAR MOBILE HOME PARK</t>
  </si>
  <si>
    <t>8410 144TH AVE E</t>
  </si>
  <si>
    <t>17608 CLOVER RD</t>
  </si>
  <si>
    <t>LAKEWOOD VILLA</t>
  </si>
  <si>
    <t>7031 NE 175TH ST</t>
  </si>
  <si>
    <t>ROYAL COACHMAN ESTATES</t>
  </si>
  <si>
    <t>1332 192ND AVE SE</t>
  </si>
  <si>
    <t>WILLOWS TRAILER VILLAGE</t>
  </si>
  <si>
    <t>1347 RD M SE</t>
  </si>
  <si>
    <t>WESTBURG</t>
  </si>
  <si>
    <t>15905 HIGHWAY 99</t>
  </si>
  <si>
    <t>6619 132ND AVE NE STE 266</t>
  </si>
  <si>
    <t>GREENACRES MOBILE HOME PARK</t>
  </si>
  <si>
    <t>17500 E SPRAGUE AVE</t>
  </si>
  <si>
    <t>PO BOX 620</t>
  </si>
  <si>
    <t>KLOSHE ILLAHEE</t>
  </si>
  <si>
    <t>2500 S 370TH ST</t>
  </si>
  <si>
    <t>ROSE VALLEY ESTATES</t>
  </si>
  <si>
    <t>10903 NE 69TH ST</t>
  </si>
  <si>
    <t>8320 NE HIGHWAY 99</t>
  </si>
  <si>
    <t>HARBOR RIDGE MOBILE HOME PARK</t>
  </si>
  <si>
    <t>595 ROCHE HARBOR RD</t>
  </si>
  <si>
    <t>PO BOX 2817</t>
  </si>
  <si>
    <t>LAKESIDE MOBILE HOME PARK</t>
  </si>
  <si>
    <t>4045 49TH AVE SW</t>
  </si>
  <si>
    <t>PARKLAND MOBILE VILLAGE</t>
  </si>
  <si>
    <t>507 131ST ST E</t>
  </si>
  <si>
    <t>ATTEN FAITH SOHL</t>
  </si>
  <si>
    <t>320 DAYTON ST #</t>
  </si>
  <si>
    <t>PHILLIPS MOBILE HOME PARK</t>
  </si>
  <si>
    <t>401 N CENTRAL</t>
  </si>
  <si>
    <t>WAPATO</t>
  </si>
  <si>
    <t>607 FOLLOW THROUGH DR</t>
  </si>
  <si>
    <t>COUNTRY LANE MOBILE HOME PARK</t>
  </si>
  <si>
    <t>4024 COUNTRY LN NW</t>
  </si>
  <si>
    <t>PO BOX 12052</t>
  </si>
  <si>
    <t>MISSION MEADOWS MANUFACTURED HOME COMMUNITY</t>
  </si>
  <si>
    <t>19300 E MISSION AVE</t>
  </si>
  <si>
    <t>15918 E CAMERON CT</t>
  </si>
  <si>
    <t>MAPLE MANOR</t>
  </si>
  <si>
    <t>29116 8TH AVE E</t>
  </si>
  <si>
    <t>WAGONS WEST MOBILE HOME PARK</t>
  </si>
  <si>
    <t>6616 150TH ST SW</t>
  </si>
  <si>
    <t>BLUEBERRY MOBILE PARK</t>
  </si>
  <si>
    <t>11717 NE 50TH AVE</t>
  </si>
  <si>
    <t>4803 NE 117TH ST</t>
  </si>
  <si>
    <t>UPTOWN VILLAGE MOBILE HOME PARK</t>
  </si>
  <si>
    <t>5718 NE 88TH ST</t>
  </si>
  <si>
    <t>EVERGREEN PLACE</t>
  </si>
  <si>
    <t>3633 7TH AVE SW</t>
  </si>
  <si>
    <t>1107 WEST BAY DR NW #101</t>
  </si>
  <si>
    <t>1808 27TH AVE NW</t>
  </si>
  <si>
    <t>DUTERROW MOBILE HOME PARK</t>
  </si>
  <si>
    <t>439 DUTTEROW RD SE</t>
  </si>
  <si>
    <t>310 120TH AVE NE STE 201</t>
  </si>
  <si>
    <t>LAKESIDE MOBILE ESTATES</t>
  </si>
  <si>
    <t>6610 NW WHITNEY RD</t>
  </si>
  <si>
    <t>41 HORSESHOE LN</t>
  </si>
  <si>
    <t>RLLNG HLS EST</t>
  </si>
  <si>
    <t>COUNTRYSIDE MOBILE HOME PARK</t>
  </si>
  <si>
    <t>7410 OLD MILITARY RD NE</t>
  </si>
  <si>
    <t>7410 OLD MILITARY RD NE # 1</t>
  </si>
  <si>
    <t>ALPINE PIONEER</t>
  </si>
  <si>
    <t>14315 PIONEER WAY E</t>
  </si>
  <si>
    <t>8815 53RD STREET CT W</t>
  </si>
  <si>
    <t>UNIVERSITY PLACE</t>
  </si>
  <si>
    <t>GREENBRIER VILLAGE</t>
  </si>
  <si>
    <t>7901 W CLEARWATER AVE</t>
  </si>
  <si>
    <t>21009 COTTONWOOD DR</t>
  </si>
  <si>
    <t>PRAIRIE PINES MOBILE HOME PARK</t>
  </si>
  <si>
    <t>6411 201ST AVE SW</t>
  </si>
  <si>
    <t>6411 201ST AVE SW  OFFICE</t>
  </si>
  <si>
    <t>HAZEL DELL ESTATES</t>
  </si>
  <si>
    <t>1709 NE 78TH ST</t>
  </si>
  <si>
    <t>7301 NE HIGHWAY 99 STE 2</t>
  </si>
  <si>
    <t>LAZY Z MOBILE HOME COURT</t>
  </si>
  <si>
    <t>1004 NE 72ND ST</t>
  </si>
  <si>
    <t>HIDDEN GLEN MOBILE PARK</t>
  </si>
  <si>
    <t>20102 67H AVE NE</t>
  </si>
  <si>
    <t>PO BOX 434</t>
  </si>
  <si>
    <t>RIDGEVIEW ESTATES</t>
  </si>
  <si>
    <t>1616 GORDON RD</t>
  </si>
  <si>
    <t>1616 GORDON RD TRLR B</t>
  </si>
  <si>
    <t>MEADOWRIDGE</t>
  </si>
  <si>
    <t>1630 9TH ST</t>
  </si>
  <si>
    <t>17575 N SHORE DR</t>
  </si>
  <si>
    <t>HARRISON RV</t>
  </si>
  <si>
    <t>3312 HARRISON AVE</t>
  </si>
  <si>
    <t>3310 HARRISON AVE #25</t>
  </si>
  <si>
    <t>FERNDALE MOBILE HOME COURT</t>
  </si>
  <si>
    <t>1942 TRIGG RD</t>
  </si>
  <si>
    <t>2117 143RD PLACE SW</t>
  </si>
  <si>
    <t>VALLEY MOBILE ESTATES</t>
  </si>
  <si>
    <t>4100 NW FRUIT VALLEY RD</t>
  </si>
  <si>
    <t>PO BOX 2873</t>
  </si>
  <si>
    <t>WESTGATE TRAILER PARK</t>
  </si>
  <si>
    <t>200 HEMLOCK AVE NW</t>
  </si>
  <si>
    <t>ROYAL CITY</t>
  </si>
  <si>
    <t>PO BOX 1250</t>
  </si>
  <si>
    <t>QUAIL RUN</t>
  </si>
  <si>
    <t>3057 RD H NE</t>
  </si>
  <si>
    <t>WHITE DOVE</t>
  </si>
  <si>
    <t>1702 RUDKIN RD</t>
  </si>
  <si>
    <t>NORTH STARS M.H.P.</t>
  </si>
  <si>
    <t>525 ROUSE RD</t>
  </si>
  <si>
    <t>428 MEADOW HILLS DR</t>
  </si>
  <si>
    <t>TIP TOP MOBILE HOME PARK</t>
  </si>
  <si>
    <t>23858 PACIFIC HWY S</t>
  </si>
  <si>
    <t>6619 132ND AVE NE # 266</t>
  </si>
  <si>
    <t>11901 55TH AVE NE</t>
  </si>
  <si>
    <t>14310 67TH AVE NE</t>
  </si>
  <si>
    <t>6101 152ND ST NE</t>
  </si>
  <si>
    <t>BROOKSIDE MOBILE PARK</t>
  </si>
  <si>
    <t>9810 STATE AVE</t>
  </si>
  <si>
    <t>9810 STATE AVE # E</t>
  </si>
  <si>
    <t>LOS CEDROS MOBILE HOME PARK</t>
  </si>
  <si>
    <t>9900 BLOMBERG ST SW</t>
  </si>
  <si>
    <t>PO BOX 8637</t>
  </si>
  <si>
    <t>SOUTH PARK TRAILER COURT</t>
  </si>
  <si>
    <t>1111 TENNANT WAY</t>
  </si>
  <si>
    <t>PO BOX 127</t>
  </si>
  <si>
    <t>HAY CANYON PARK</t>
  </si>
  <si>
    <t>6125 HAY CANYON RD</t>
  </si>
  <si>
    <t>CASHMERE</t>
  </si>
  <si>
    <t>PO BOX 772</t>
  </si>
  <si>
    <t>CEDAR GLEN MOBILE HOME PARK</t>
  </si>
  <si>
    <t>16300 NE STATE HWY 305</t>
  </si>
  <si>
    <t>SKY VIEW</t>
  </si>
  <si>
    <t>2495 KRESKY AVE</t>
  </si>
  <si>
    <t>324 OMAK RIVERS EASTSIDE RD</t>
  </si>
  <si>
    <t>2112 ELMWAY</t>
  </si>
  <si>
    <t>SANS SOUCI WEST MOBILE HOME PARK</t>
  </si>
  <si>
    <t>3231 W BOONE AVE</t>
  </si>
  <si>
    <t>7217 W WESTBOW BLVD</t>
  </si>
  <si>
    <t>SUNRISE TERRACE COMMUNITY</t>
  </si>
  <si>
    <t>7415 CHAMBERS CREEK RD W</t>
  </si>
  <si>
    <t>351 SCHUT RD</t>
  </si>
  <si>
    <t>MINERVA BEACH RESORT</t>
  </si>
  <si>
    <t>21110 N HWY 101</t>
  </si>
  <si>
    <t>PO BOX 364</t>
  </si>
  <si>
    <t>FIR LANE VALLEY MOBILE HOME PARK</t>
  </si>
  <si>
    <t>15400 74TH AVE E</t>
  </si>
  <si>
    <t>WHEEL ESTATES</t>
  </si>
  <si>
    <t>5000 BAYVIEW RD</t>
  </si>
  <si>
    <t>LANGLEY</t>
  </si>
  <si>
    <t>18108 76TH AVE W</t>
  </si>
  <si>
    <t>LEWIS COUNTRY RIVER</t>
  </si>
  <si>
    <t>90 S VERBENA</t>
  </si>
  <si>
    <t>1644 PLAZA WAY 112</t>
  </si>
  <si>
    <t>PATHFINDER M.H.P</t>
  </si>
  <si>
    <t>3417 RD 84</t>
  </si>
  <si>
    <t>UNIVERSITY MOBILE HOME PARK</t>
  </si>
  <si>
    <t>9518 E 4TH AVE</t>
  </si>
  <si>
    <t>COUNTRY VILLA MOBILE HOME PARK</t>
  </si>
  <si>
    <t>686 OLD ARDEN HWY</t>
  </si>
  <si>
    <t>4118 KALE ST NE</t>
  </si>
  <si>
    <t>SALEM</t>
  </si>
  <si>
    <t>MEADOWBROOK VILLAGE</t>
  </si>
  <si>
    <t>300 S FLORA RD</t>
  </si>
  <si>
    <t>HORSESHOE ACRES</t>
  </si>
  <si>
    <t>1540 MAPLE LN</t>
  </si>
  <si>
    <t>114 2ND AVE S # 202</t>
  </si>
  <si>
    <t>NORTH FORK MOBILE VILLAGE</t>
  </si>
  <si>
    <t>2009 LEWIS RIVER RD</t>
  </si>
  <si>
    <t>1912 NW LACAMAS DR</t>
  </si>
  <si>
    <t>CEDRONA PARK</t>
  </si>
  <si>
    <t>7601 146TH ST SW</t>
  </si>
  <si>
    <t>MEADOWBROOK MOBILE ESTATES</t>
  </si>
  <si>
    <t>7610 W NOB HILL BLVD</t>
  </si>
  <si>
    <t>201 SILVIA CT</t>
  </si>
  <si>
    <t>LOS ALTOS</t>
  </si>
  <si>
    <t>WALLER ROAD MOBILE HOME COURT</t>
  </si>
  <si>
    <t>3629 WALLER RD E</t>
  </si>
  <si>
    <t>900 MERIDIAN AVE E #19-121</t>
  </si>
  <si>
    <t>MILTON</t>
  </si>
  <si>
    <t>THE FOOTHILLS</t>
  </si>
  <si>
    <t>1716 SPRINGWATER ST</t>
  </si>
  <si>
    <t>MAPLE MEADOWS</t>
  </si>
  <si>
    <t>1311 MAPLE ST</t>
  </si>
  <si>
    <t>RIDGECREST</t>
  </si>
  <si>
    <t>1608 N WESTERN AVE</t>
  </si>
  <si>
    <t>TOWNE MOBILE PARK</t>
  </si>
  <si>
    <t>336 BENDIGO BLVD N</t>
  </si>
  <si>
    <t>PO BOX 47332</t>
  </si>
  <si>
    <t>DESERT VIEW MOBILE HOME PARK</t>
  </si>
  <si>
    <t>6500 DESERT VIEW DR</t>
  </si>
  <si>
    <t>LAKE MERIDAIN ESTATES</t>
  </si>
  <si>
    <t>25739 135TH AVE SE</t>
  </si>
  <si>
    <t>5339 PROSPECT RD STE 417</t>
  </si>
  <si>
    <t>SAN JOSE</t>
  </si>
  <si>
    <t>2915 S 84TH</t>
  </si>
  <si>
    <t>5339 PROSPECT RD #417</t>
  </si>
  <si>
    <t>STEELE CREEK MOBILE HOME PARK</t>
  </si>
  <si>
    <t>1290 NE STEELE CREEK DR</t>
  </si>
  <si>
    <t>KARIOTIS MOBILE HOME PARK</t>
  </si>
  <si>
    <t>3060 NE MCWILLIAMS RD</t>
  </si>
  <si>
    <t>CLOVER VALLEY MOBILE PARK</t>
  </si>
  <si>
    <t>3408 LEWIS RIVER RD</t>
  </si>
  <si>
    <t>3209 LEWIS RIVER RD</t>
  </si>
  <si>
    <t>FOREST GROVE MOBILE HOME PARK</t>
  </si>
  <si>
    <t>1530 148TH ST NE</t>
  </si>
  <si>
    <t>7515 12TH AVE NE</t>
  </si>
  <si>
    <t>CAMPUS VISTA &amp; UNIVERSITY</t>
  </si>
  <si>
    <t>1155 SE PROFESSIONAL MALL BLVD</t>
  </si>
  <si>
    <t>533 SR 27</t>
  </si>
  <si>
    <t>RIVERS BEND MOBILE HOME PARK</t>
  </si>
  <si>
    <t>168 US HIGHWAY 101</t>
  </si>
  <si>
    <t>HOQUIAM</t>
  </si>
  <si>
    <t>12921 49TH DR SE</t>
  </si>
  <si>
    <t>ROBINWOOD MOBILE HOME PARK</t>
  </si>
  <si>
    <t>302 PIONEER RD</t>
  </si>
  <si>
    <t>HARBOR ESTATES MOBILE HOME PARK</t>
  </si>
  <si>
    <t>1019 STANFORD DR</t>
  </si>
  <si>
    <t>COSMOPOLIS</t>
  </si>
  <si>
    <t>ALPINE MEADOWS MOBILE PARK</t>
  </si>
  <si>
    <t>1524 S FAIR AVE</t>
  </si>
  <si>
    <t>PO BOX 998</t>
  </si>
  <si>
    <t>ALDER STREET MOBILE PARK</t>
  </si>
  <si>
    <t>1304 E ALDER ST</t>
  </si>
  <si>
    <t>AZALEA GARDENS</t>
  </si>
  <si>
    <t>19525 100TH AVE CT E</t>
  </si>
  <si>
    <t>LAKEWOOD MOBILE HOME PARK</t>
  </si>
  <si>
    <t>6905 NE 182ND ST</t>
  </si>
  <si>
    <t>PO BOX 77682</t>
  </si>
  <si>
    <t>VALLEY VIEW MOBILE HOME PARK</t>
  </si>
  <si>
    <t>12033 WOODINVILLE DR</t>
  </si>
  <si>
    <t>PO BOX 28</t>
  </si>
  <si>
    <t>ORCHARD MOBILE HOME PARK</t>
  </si>
  <si>
    <t>4011 S 146TH ST</t>
  </si>
  <si>
    <t>AIRPORT MOBILE HOME PARK</t>
  </si>
  <si>
    <t>430 E ELIZABETH</t>
  </si>
  <si>
    <t>PO BOX 1727</t>
  </si>
  <si>
    <t>SALAZAR'S MOBILE HOME PARK</t>
  </si>
  <si>
    <t>1906 MCNAIR AVE</t>
  </si>
  <si>
    <t>1421 S 69TH AVE</t>
  </si>
  <si>
    <t>MT SI MOBILE HOME PARK</t>
  </si>
  <si>
    <t>43010 SE NORTH BEND WAY</t>
  </si>
  <si>
    <t>PO BOX 1050</t>
  </si>
  <si>
    <t>MULLEN HILL MOBILE HOME PARK</t>
  </si>
  <si>
    <t>8900 S MULLEN HILL</t>
  </si>
  <si>
    <t>EMERALD PARK</t>
  </si>
  <si>
    <t>5250 COLLEGE ST SE</t>
  </si>
  <si>
    <t>JERRY'S LANDING RESORT</t>
  </si>
  <si>
    <t>41114 N LAKE SHORE RD</t>
  </si>
  <si>
    <t>LAMPLIGHTER VILLAGE</t>
  </si>
  <si>
    <t>300 WILSON HWY</t>
  </si>
  <si>
    <t>PO BOX 801</t>
  </si>
  <si>
    <t>RIVERSIDE MHP</t>
  </si>
  <si>
    <t>2500 STATE HWY 28 SOUTH</t>
  </si>
  <si>
    <t>SEASHORE VILLA MOBILE HOME PARK</t>
  </si>
  <si>
    <t>4805 CUSHMAN RD NE</t>
  </si>
  <si>
    <t>QUAIL RUN MOBILE HOME PARK</t>
  </si>
  <si>
    <t>1200 EUCLID ST</t>
  </si>
  <si>
    <t>PILCHUK MOBILE HOME PARK</t>
  </si>
  <si>
    <t>11100 92ND ST SE</t>
  </si>
  <si>
    <t>PO BOX 1951</t>
  </si>
  <si>
    <t>RIVERSIDE MOBILE MANOR</t>
  </si>
  <si>
    <t>1313 W COTA ST</t>
  </si>
  <si>
    <t>PO BOX 394</t>
  </si>
  <si>
    <t>WARD PROPERTIES</t>
  </si>
  <si>
    <t>139 MORRIS RD</t>
  </si>
  <si>
    <t>1313 HARRISON AVE # 50</t>
  </si>
  <si>
    <t>KIONA VILLAGE COMMUNITY</t>
  </si>
  <si>
    <t>31404 E KENNEDY RD</t>
  </si>
  <si>
    <t>CARL INVESTMENTS LLC</t>
  </si>
  <si>
    <t>16812 SE 1ST ST</t>
  </si>
  <si>
    <t>18150 SW BOONES FERRY RD</t>
  </si>
  <si>
    <t>MCKEAN'S TRAILER PARK</t>
  </si>
  <si>
    <t>115 W 3RD ST</t>
  </si>
  <si>
    <t>ROCKET MOBILE PARK</t>
  </si>
  <si>
    <t>21707 MOUNTAIN HWY E</t>
  </si>
  <si>
    <t>PO BOX 5120</t>
  </si>
  <si>
    <t>ACRES MOBILE ESTATES</t>
  </si>
  <si>
    <t>13401 NE 28TH ST</t>
  </si>
  <si>
    <t>UNION GAP WEST MOBILE ESTATES</t>
  </si>
  <si>
    <t>408 W PINE ST</t>
  </si>
  <si>
    <t>CENTRAL VALLEY MOBILE HOME PARK</t>
  </si>
  <si>
    <t>322 CHICAGO BLVD S</t>
  </si>
  <si>
    <t>3910 91ST AVE SE</t>
  </si>
  <si>
    <t>COTTONWOOD R.V. PARK</t>
  </si>
  <si>
    <t>400 N COLUMBUS AVE</t>
  </si>
  <si>
    <t>PO BOX 1399</t>
  </si>
  <si>
    <t>PLEASANT HOMES MOBILE HOME PARK</t>
  </si>
  <si>
    <t>20211 67TH AVE NE</t>
  </si>
  <si>
    <t>5622 124TH PL NE</t>
  </si>
  <si>
    <t>SUNNYSIDE MOBILE HOME COURT</t>
  </si>
  <si>
    <t>310 S 4TH AVE</t>
  </si>
  <si>
    <t>113 GOLD DUST LN</t>
  </si>
  <si>
    <t>BERRY LAKE MANOR</t>
  </si>
  <si>
    <t>512 SW BERRY LAKE RD</t>
  </si>
  <si>
    <t>1000 TOWN CTR NE STE 180</t>
  </si>
  <si>
    <t>FOX CHASE, L.L.C.</t>
  </si>
  <si>
    <t>18127 B ST E</t>
  </si>
  <si>
    <t>COMMONWEALTH REAL ESTATE SRVCS</t>
  </si>
  <si>
    <t>VILLAGE PARK</t>
  </si>
  <si>
    <t>900 N GRAPE DR</t>
  </si>
  <si>
    <t>AIKEN MOBILE HOME PARK</t>
  </si>
  <si>
    <t>427 POPLAR LN</t>
  </si>
  <si>
    <t>PO BOX 229</t>
  </si>
  <si>
    <t>ACME</t>
  </si>
  <si>
    <t>DIRU MOBILE HOME PARK</t>
  </si>
  <si>
    <t>72ND AVE &amp; 17TH AVE COURT E</t>
  </si>
  <si>
    <t>6401 84TH ST E</t>
  </si>
  <si>
    <t>VIP TRAILER COURT, LLC</t>
  </si>
  <si>
    <t>898 BURR RD SE</t>
  </si>
  <si>
    <t>PO BOX 26790</t>
  </si>
  <si>
    <t>WALNUT GROVE MOBILE HOME PARK</t>
  </si>
  <si>
    <t>1510 MAPLE LN</t>
  </si>
  <si>
    <t>KINGS MEADOW MOBILE HOME PARK</t>
  </si>
  <si>
    <t>8915 WILKENSEN RD SE</t>
  </si>
  <si>
    <t>PO BOX 177</t>
  </si>
  <si>
    <t>FRIENDLY VILLAGE MOBILE HOME PARK</t>
  </si>
  <si>
    <t>1111 ARCHWOOD DR SW</t>
  </si>
  <si>
    <t>GRANDRIDGE MANUFACTURED HOUSING COMMUNITY</t>
  </si>
  <si>
    <t>400 W 5TH ST</t>
  </si>
  <si>
    <t>SIFTON GARDEN</t>
  </si>
  <si>
    <t>5900 NE 131ST AVE</t>
  </si>
  <si>
    <t>21310 NE 87TH AVE</t>
  </si>
  <si>
    <t>SUNRISE ACRES</t>
  </si>
  <si>
    <t>6912 NE 131ST AVE</t>
  </si>
  <si>
    <t>GREENWAY TERRACE MOBILE HOME PARK</t>
  </si>
  <si>
    <t>15515 NE 71ST ST</t>
  </si>
  <si>
    <t>11515 NE 71ST SP # 75</t>
  </si>
  <si>
    <t>TWIN OAKS MANUFACTURED HOUSING COMMUNITY</t>
  </si>
  <si>
    <t>3113 83RD ST S</t>
  </si>
  <si>
    <t>SONRISE PLACE</t>
  </si>
  <si>
    <t>11303 E JACKSON AVE</t>
  </si>
  <si>
    <t>PO BOX 1800</t>
  </si>
  <si>
    <t>TILLICUM MANOR MOBILE HOME PARK</t>
  </si>
  <si>
    <t>15317 WASHINGTON AVE SW</t>
  </si>
  <si>
    <t>411 172ND PL NE</t>
  </si>
  <si>
    <t>MEDO LYN MOBILE RANCH</t>
  </si>
  <si>
    <t>6208 202ND ST SW</t>
  </si>
  <si>
    <t>7319 LAKE ALICE RD SE</t>
  </si>
  <si>
    <t>CASCADE MOBILE HOME PARK</t>
  </si>
  <si>
    <t>1207 W UNIVERSITY WAY</t>
  </si>
  <si>
    <t>PO BOX 12</t>
  </si>
  <si>
    <t>CANYON MOBILE COURT</t>
  </si>
  <si>
    <t>13500 TUKWILA INTL BLVD</t>
  </si>
  <si>
    <t>818 SW 142ND ST</t>
  </si>
  <si>
    <t>LURE LLC</t>
  </si>
  <si>
    <t>424 WINE COUNTRY RD</t>
  </si>
  <si>
    <t>WEST ANCHOR MOBILE HOME PARK</t>
  </si>
  <si>
    <t>2419 JAHN AVE NW</t>
  </si>
  <si>
    <t>PO BOX 7706</t>
  </si>
  <si>
    <t>ENCHANTED FIRS MOBILE HOME ESTATES</t>
  </si>
  <si>
    <t>8TH AVE &amp; 208TH ST</t>
  </si>
  <si>
    <t>PO BOX 636</t>
  </si>
  <si>
    <t>FOREST PARK MOBILE HOME PARK</t>
  </si>
  <si>
    <t>2284 YEW STREET RD</t>
  </si>
  <si>
    <t>PO BOX 28967</t>
  </si>
  <si>
    <t>HERITAGE MOBILE HOME PARK</t>
  </si>
  <si>
    <t>290 GRANAT RD</t>
  </si>
  <si>
    <t>4111 E MADISON ST #90</t>
  </si>
  <si>
    <t>FAIR OAKS ESTATES</t>
  </si>
  <si>
    <t>5404 NE 121ST AVE</t>
  </si>
  <si>
    <t>19772 MACARTHUR BLVD STE 100</t>
  </si>
  <si>
    <t>CHERRYWOOD MOBILE HOME PARK</t>
  </si>
  <si>
    <t>8412 38TH ST E</t>
  </si>
  <si>
    <t>600 UNIVERSITY ST STE 804</t>
  </si>
  <si>
    <t>TILTON RIVER MOBILE HOME PARK</t>
  </si>
  <si>
    <t>155 CHAPMAN RD</t>
  </si>
  <si>
    <t>WALLACE RIVER PARK</t>
  </si>
  <si>
    <t>2398 SUNLIGHT BEACH RD</t>
  </si>
  <si>
    <t>CLINTON</t>
  </si>
  <si>
    <t>PO BOX 1210</t>
  </si>
  <si>
    <t>LA PIERRE MAUFACTURED HOME PARK</t>
  </si>
  <si>
    <t>815 LA PIERRE RD</t>
  </si>
  <si>
    <t>5109 DOUGLAS DR</t>
  </si>
  <si>
    <t>CENTER MOBILE HOME PARK</t>
  </si>
  <si>
    <t>5920 200TH ST SW</t>
  </si>
  <si>
    <t>MOUNTAIN GREEN MOBILE HOME PARK</t>
  </si>
  <si>
    <t>5140 YELM HWY SE</t>
  </si>
  <si>
    <t>SOUTHEND MOBILE ESTATES</t>
  </si>
  <si>
    <t>2400 DONOVAN AVE</t>
  </si>
  <si>
    <t>TIMBERLINE PARK</t>
  </si>
  <si>
    <t>7370 N WILDE RD</t>
  </si>
  <si>
    <t>CONCRETE</t>
  </si>
  <si>
    <t>1500A E COLLEGE WAY # 498</t>
  </si>
  <si>
    <t>MIDWAY GARDEN MOBILE HOME PARK</t>
  </si>
  <si>
    <t>3715 152ND ST NE</t>
  </si>
  <si>
    <t>7612 243RD AVE NE</t>
  </si>
  <si>
    <t>CHARWOOD MOBILE HOME PARK</t>
  </si>
  <si>
    <t>1660 S 333RD ST</t>
  </si>
  <si>
    <t>GREEN ACRES MOBILE HOME AND RV PARK</t>
  </si>
  <si>
    <t>110 BABS AVE</t>
  </si>
  <si>
    <t>2417 170TH PL SE</t>
  </si>
  <si>
    <t>1401 A STREET</t>
  </si>
  <si>
    <t>11029 22ND AVE E</t>
  </si>
  <si>
    <t>MEADOW GREEN PARK</t>
  </si>
  <si>
    <t>4830 PACIFIC AVE SE</t>
  </si>
  <si>
    <t>310 120TH AVE NE # 201</t>
  </si>
  <si>
    <t>HOLIDAY VIEW TRAILER COURT</t>
  </si>
  <si>
    <t>164 MOUNTAIN VIEW AVE</t>
  </si>
  <si>
    <t>PO BOX 109</t>
  </si>
  <si>
    <t>MOUNTAIN VIEW TRAILER PARK</t>
  </si>
  <si>
    <t>1206 W OLD KETTLE RD</t>
  </si>
  <si>
    <t>LEBEUF ENTERPRISES, LLC</t>
  </si>
  <si>
    <t>10900 KUHLMAN RD SE</t>
  </si>
  <si>
    <t>10900 KUHLMAN RD SE TRLR 52</t>
  </si>
  <si>
    <t>SHADY NOOK MOBILE HOME PARK</t>
  </si>
  <si>
    <t>301 E 7TH AVE</t>
  </si>
  <si>
    <t>12607 238TH ST SE</t>
  </si>
  <si>
    <t>EL MAR ESTATES</t>
  </si>
  <si>
    <t>6505 FAWN LN</t>
  </si>
  <si>
    <t>PO BOX 696</t>
  </si>
  <si>
    <t>BRASS LAMP ESTATES</t>
  </si>
  <si>
    <t>728 E STREET</t>
  </si>
  <si>
    <t>18216 NE 26TH ST</t>
  </si>
  <si>
    <t>DEL REY MOBILE HOME PARK</t>
  </si>
  <si>
    <t>29020 1ST AVE S</t>
  </si>
  <si>
    <t>DES MOINES</t>
  </si>
  <si>
    <t>2535 MEDINA CIR</t>
  </si>
  <si>
    <t>MEDINA</t>
  </si>
  <si>
    <t>SNOHOMISH MOBILE &amp; RV PARK</t>
  </si>
  <si>
    <t>1330 AVE D</t>
  </si>
  <si>
    <t>MOUNTAIN VIEW MOBILE ESTATES</t>
  </si>
  <si>
    <t>6006 PORTAL WAY</t>
  </si>
  <si>
    <t>17606 7TH AVE W</t>
  </si>
  <si>
    <t>SHADY HAVEN MOBILE PARK, L.L.C.</t>
  </si>
  <si>
    <t>9401 124TH STREET CT E</t>
  </si>
  <si>
    <t>17606 7TH AVE WEST</t>
  </si>
  <si>
    <t>NOR WEST MOBILE HOME PARK</t>
  </si>
  <si>
    <t>45810 SE NORTH BEND WAY</t>
  </si>
  <si>
    <t>POPLAR PLACE MOBILE HOME PARK</t>
  </si>
  <si>
    <t>900 W MARTIN ST</t>
  </si>
  <si>
    <t>PO BOX 37</t>
  </si>
  <si>
    <t>SUNNYDALE MOBILE HOME PARK</t>
  </si>
  <si>
    <t>375 UNION AVE SE</t>
  </si>
  <si>
    <t>5339 PROSPECT RD # 417</t>
  </si>
  <si>
    <t>LEE'S CREEK MHP</t>
  </si>
  <si>
    <t>472 LEIGHLAND AVE</t>
  </si>
  <si>
    <t>COLUMBIA TERRACE ESTATES</t>
  </si>
  <si>
    <t>5400 MEEKER DR</t>
  </si>
  <si>
    <t>KALAMA</t>
  </si>
  <si>
    <t>TIM WA MOBILE HOME PARK</t>
  </si>
  <si>
    <t>1965 WESTSIDE HWY</t>
  </si>
  <si>
    <t>CAMERON COURT</t>
  </si>
  <si>
    <t>522 W CAMERON ST</t>
  </si>
  <si>
    <t>PARKVIEW TERRACE</t>
  </si>
  <si>
    <t>34124 N NEWPORT HWY</t>
  </si>
  <si>
    <t>CHATTAROY</t>
  </si>
  <si>
    <t>3917 N POST ST</t>
  </si>
  <si>
    <t>203106 E BOWLES RD</t>
  </si>
  <si>
    <t>7071 WARNER AVE # F711</t>
  </si>
  <si>
    <t>WHISPERING POPLARS MOBILE HOME PARK</t>
  </si>
  <si>
    <t>410 NE FAIRGROUND AVE</t>
  </si>
  <si>
    <t>PO BOX 16688</t>
  </si>
  <si>
    <t>RIVERVIEW MANOR ESTATES</t>
  </si>
  <si>
    <t>4601 W POWERHOUSE RD</t>
  </si>
  <si>
    <t>901 SUMMITVIEW AVE STE 250</t>
  </si>
  <si>
    <t>PARKWAY</t>
  </si>
  <si>
    <t>1740 HARRISON</t>
  </si>
  <si>
    <t>17518 32ND AVE E</t>
  </si>
  <si>
    <t>VANRIDGE MOBILE HOME PARK</t>
  </si>
  <si>
    <t>415 NE 194TH ST</t>
  </si>
  <si>
    <t>16420 SE MCGILLIVRAY BLVD STE</t>
  </si>
  <si>
    <t>103 PMB 641</t>
  </si>
  <si>
    <t>AIRWAY MOBILE PARK</t>
  </si>
  <si>
    <t>6206 188TH ST NE</t>
  </si>
  <si>
    <t>PO BOX 291</t>
  </si>
  <si>
    <t>CEDARS MOBILE MANOR</t>
  </si>
  <si>
    <t>6402 154TH ST NW</t>
  </si>
  <si>
    <t>C/O ROGER LAGESCHULTE</t>
  </si>
  <si>
    <t>320 DAYTON ST #127</t>
  </si>
  <si>
    <t>LEWIS CLARK TRAILER PARK</t>
  </si>
  <si>
    <t>1312 BRIDGE ST</t>
  </si>
  <si>
    <t>C/O LEWIS CLARK PROPERTY MGMNT</t>
  </si>
  <si>
    <t>PO BOX 24</t>
  </si>
  <si>
    <t>LEWISTON</t>
  </si>
  <si>
    <t>DOUBLE B &amp; G MOBILE HOME PARK</t>
  </si>
  <si>
    <t>4903 E VALLEY HWY</t>
  </si>
  <si>
    <t>1913 E LAKE SAMMAMISH PL SE</t>
  </si>
  <si>
    <t>SAMMAMISH</t>
  </si>
  <si>
    <t>THE HILLS MHP LLC</t>
  </si>
  <si>
    <t>250 SKYLINE DR</t>
  </si>
  <si>
    <t>BLOCKHOUSE MOBILE HOME PARK</t>
  </si>
  <si>
    <t>22855 PACIFIC HWY S</t>
  </si>
  <si>
    <t>17306 SE 40TH PL</t>
  </si>
  <si>
    <t>SHANNANDOAH VILLAGE MHP</t>
  </si>
  <si>
    <t>401 S KENTUCKY</t>
  </si>
  <si>
    <t>3604 42ND AVE NE</t>
  </si>
  <si>
    <t>WILLOW TREE MOBILE HOME PARK</t>
  </si>
  <si>
    <t>371 WILLOW TREE LN</t>
  </si>
  <si>
    <t>LINDSEY MOBILE HOME PARK</t>
  </si>
  <si>
    <t>890 S IVY AVE</t>
  </si>
  <si>
    <t>1874 E IVY AVE</t>
  </si>
  <si>
    <t>WHISPERING PINES MHC</t>
  </si>
  <si>
    <t>1011 N 34TH AVE</t>
  </si>
  <si>
    <t>1700 ADAMS AVE STE 212</t>
  </si>
  <si>
    <t>16405 SE RENTON MAPLE VLY RD</t>
  </si>
  <si>
    <t>161 MAPLEWAY RD</t>
  </si>
  <si>
    <t>WOODLAND EAST MANUFACTURED HOME COMMUNITY</t>
  </si>
  <si>
    <t>369 GUN CLUB RD</t>
  </si>
  <si>
    <t>369 GUN CLUB RD UNIT 70</t>
  </si>
  <si>
    <t>ROSEWOOD MANOR MHP</t>
  </si>
  <si>
    <t>1900 BROADWAY AVE</t>
  </si>
  <si>
    <t>65 JUNIPER MOBILE EST</t>
  </si>
  <si>
    <t>OLGADOR COURT MHP</t>
  </si>
  <si>
    <t>159 136TH ST S</t>
  </si>
  <si>
    <t>65 JUNIPER MOBILE ESTATES</t>
  </si>
  <si>
    <t>APPLEWAY SELF STORAGE AND MOBILE HOME PARK</t>
  </si>
  <si>
    <t>32146 HIGHWAY 97</t>
  </si>
  <si>
    <t>301 2900 ABBOTT ST</t>
  </si>
  <si>
    <t>KELOWNA BC V1Y1G6</t>
  </si>
  <si>
    <t>M.L. WILLEY &amp; COMPANY LLC</t>
  </si>
  <si>
    <t>4330 GRAPE DR NE</t>
  </si>
  <si>
    <t>386 NW DILLON</t>
  </si>
  <si>
    <t>CALMOR COVE CLUB</t>
  </si>
  <si>
    <t>316 LAKE SAMISH RD</t>
  </si>
  <si>
    <t>1006 HARRIS AVE STE 220</t>
  </si>
  <si>
    <t>THE RIDGE MOBILE HOME PARK</t>
  </si>
  <si>
    <t>22601 90TH AVE E</t>
  </si>
  <si>
    <t>GOLDEN HILLS MANUFACTURED HOME PARK</t>
  </si>
  <si>
    <t>260 NW GOLDEN HILLS DR #1</t>
  </si>
  <si>
    <t>CANYON MOBILE</t>
  </si>
  <si>
    <t>3333 228TH ST SE</t>
  </si>
  <si>
    <t>PO BOX 1159</t>
  </si>
  <si>
    <t>KINGSTON</t>
  </si>
  <si>
    <t>HARBORLAND</t>
  </si>
  <si>
    <t>3702 HUNT ST NW</t>
  </si>
  <si>
    <t>LEISURE MANOR</t>
  </si>
  <si>
    <t>210 HO HUM LN</t>
  </si>
  <si>
    <t>ROYALWOOD</t>
  </si>
  <si>
    <t>18501 52ND AVE W</t>
  </si>
  <si>
    <t>STARK MOBILE HOME PARK</t>
  </si>
  <si>
    <t>141 STARK RD</t>
  </si>
  <si>
    <t>19215 SE 34TH ST STE 106 PMB</t>
  </si>
  <si>
    <t>PINEWOOD MOBILE HOME PARK</t>
  </si>
  <si>
    <t>3724 PINE RD</t>
  </si>
  <si>
    <t>CEDAR VALLEY MOBILE HOME PARK</t>
  </si>
  <si>
    <t>65 ALPHA DR</t>
  </si>
  <si>
    <t>PO BOX 207</t>
  </si>
  <si>
    <t>NOBLE FIRS ESTATES</t>
  </si>
  <si>
    <t>14714 121ST ST E</t>
  </si>
  <si>
    <t>PO BOX 99250</t>
  </si>
  <si>
    <t>MEADOWDALE MOBILE HOME PARK</t>
  </si>
  <si>
    <t>17410 52ND AVE W</t>
  </si>
  <si>
    <t>PO BOX 46732</t>
  </si>
  <si>
    <t>VALLEY HIGH MOBILE HOME PARK</t>
  </si>
  <si>
    <t>2890 N OAK HARBOR RD</t>
  </si>
  <si>
    <t>PO BOX 1692</t>
  </si>
  <si>
    <t>OAKCREEK MOBILE HOME ESTATES</t>
  </si>
  <si>
    <t>5102 NE 121ST AVE</t>
  </si>
  <si>
    <t>SKYRIDGE ESTATES I</t>
  </si>
  <si>
    <t>13216 NE 59TH ST</t>
  </si>
  <si>
    <t>STEVENS GROVE MOBILE HOME PARK</t>
  </si>
  <si>
    <t>351 BOGACHIEL WAY</t>
  </si>
  <si>
    <t>802 E 6TH ST</t>
  </si>
  <si>
    <t>1007 TAMARACK</t>
  </si>
  <si>
    <t>PO BOX 386</t>
  </si>
  <si>
    <t>TIFFANY'S MOBILE HOME PARK</t>
  </si>
  <si>
    <t>5 TIFFANY COURT RD</t>
  </si>
  <si>
    <t>WHEATLAND ESTATES MOBILE PARK</t>
  </si>
  <si>
    <t>705 MAPLE ST</t>
  </si>
  <si>
    <t>WAITSBURG</t>
  </si>
  <si>
    <t>PO BOX 2755</t>
  </si>
  <si>
    <t>JUNIPER MOBILE ESTATES</t>
  </si>
  <si>
    <t>GATEWOOD MANOR</t>
  </si>
  <si>
    <t>6521 SE HILL DR</t>
  </si>
  <si>
    <t>PO BOX 604</t>
  </si>
  <si>
    <t>VASHON</t>
  </si>
  <si>
    <t>LAKEVIEW TERRACE</t>
  </si>
  <si>
    <t>44900 SR 174 N</t>
  </si>
  <si>
    <t>107 N REINO RD #335</t>
  </si>
  <si>
    <t>NEWBURY PARK</t>
  </si>
  <si>
    <t>SHADOW PINES MOBILE HOME PARK</t>
  </si>
  <si>
    <t>8804 224TH ST E</t>
  </si>
  <si>
    <t>2311 N 45TH ST # 111</t>
  </si>
  <si>
    <t>1412 4TH ST</t>
  </si>
  <si>
    <t>1971 RIVERCREST DR</t>
  </si>
  <si>
    <t>THREE RIVERS MHP</t>
  </si>
  <si>
    <t>914 S 12TH</t>
  </si>
  <si>
    <t>ATTN KATHLEEN LANDAU</t>
  </si>
  <si>
    <t>LAKEWAY MOBILE ESTATES</t>
  </si>
  <si>
    <t>1200 LINCOLN ST</t>
  </si>
  <si>
    <t>STE 100</t>
  </si>
  <si>
    <t>11335 GOLD EXPRESS STE 100</t>
  </si>
  <si>
    <t>GOLD RIVER</t>
  </si>
  <si>
    <t>WEST PLAINS RENTAL PROPERTIES</t>
  </si>
  <si>
    <t>1430 S ALBERT ST</t>
  </si>
  <si>
    <t>4223 W CRANDALL LN</t>
  </si>
  <si>
    <t>SPRUCE EAST MOBILE PARK</t>
  </si>
  <si>
    <t>610 WEST SPRUCE</t>
  </si>
  <si>
    <t>PO BOX 4797</t>
  </si>
  <si>
    <t>ELMA RV PARK</t>
  </si>
  <si>
    <t>4730 SR12</t>
  </si>
  <si>
    <t>4100 MATIA DR</t>
  </si>
  <si>
    <t>BIG HANAFORD MOBILE HOME PARK</t>
  </si>
  <si>
    <t>315 BIG HANAFORD RD</t>
  </si>
  <si>
    <t>ELLENSBURG MOBILE ESTATES PARK</t>
  </si>
  <si>
    <t>600 S RUBY ST</t>
  </si>
  <si>
    <t>PO BOX 29</t>
  </si>
  <si>
    <t>SOUTH CLE ELUM</t>
  </si>
  <si>
    <t>RIVER BEND MOBILE PARK</t>
  </si>
  <si>
    <t>7900 STINES HILL RD</t>
  </si>
  <si>
    <t>726 COUNTRY CLUB DR</t>
  </si>
  <si>
    <t>ARBOR GROVE MOBILE HOME PARK</t>
  </si>
  <si>
    <t>19029 E BOONE AVE</t>
  </si>
  <si>
    <t>MOBILE RETREAT</t>
  </si>
  <si>
    <t>1401 NE 143RD ST</t>
  </si>
  <si>
    <t>4820 NE SIMPSON ST</t>
  </si>
  <si>
    <t>LYBBERT MOBILE HOME PARK ESTATES</t>
  </si>
  <si>
    <t>8428 LYBBERT DR NE</t>
  </si>
  <si>
    <t>28 PANTANO</t>
  </si>
  <si>
    <t>RANCHO SANTA MARGARI</t>
  </si>
  <si>
    <t>METZ MOBILE HOME PARK</t>
  </si>
  <si>
    <t>1421 S CEDAR ST</t>
  </si>
  <si>
    <t>PO BOX 6434</t>
  </si>
  <si>
    <t>TRIPLE "T" PARK</t>
  </si>
  <si>
    <t>1098 OLD HWY 99</t>
  </si>
  <si>
    <t>3502 BOSTON HARBOR RD NE</t>
  </si>
  <si>
    <t>GOLDEN BELL LLC</t>
  </si>
  <si>
    <t>20 NE ROESSEL RD</t>
  </si>
  <si>
    <t>6130 28TH AVE S</t>
  </si>
  <si>
    <t>2210 OLD HWY 99 S</t>
  </si>
  <si>
    <t>C/O ED EPSTEIN</t>
  </si>
  <si>
    <t>ROBIN LANE MOBILE HOME PARK</t>
  </si>
  <si>
    <t>425 CHUCKANUT DR N</t>
  </si>
  <si>
    <t>WILKESON GARDENS MOBILE HOME PARK</t>
  </si>
  <si>
    <t>8309 19TH AVE CT E</t>
  </si>
  <si>
    <t>CASCADE VILLA MOBILE HOME PARK</t>
  </si>
  <si>
    <t>903 N 34TH AVE</t>
  </si>
  <si>
    <t>TWIN FLAGS MOBILE HOME PARK</t>
  </si>
  <si>
    <t>5703 118TH AVE CT E</t>
  </si>
  <si>
    <t>ATTN: E EPSTEIN</t>
  </si>
  <si>
    <t>8405 SE 53RD PLACE</t>
  </si>
  <si>
    <t>MOUNTAIN VIEW MOBILE HOME PARK</t>
  </si>
  <si>
    <t>2522 OLD HWY 99 S</t>
  </si>
  <si>
    <t>ALPINE MOBILE MANOR</t>
  </si>
  <si>
    <t>31515 SE 97TH ST</t>
  </si>
  <si>
    <t>LYNNWOOD PARK</t>
  </si>
  <si>
    <t>5717 186TH PL SW</t>
  </si>
  <si>
    <t>VILLAGE PARK MOBILE HOME COURT</t>
  </si>
  <si>
    <t>1700 CASCADE WAY</t>
  </si>
  <si>
    <t>MILLER PARK</t>
  </si>
  <si>
    <t>6805 N CRESTLINE ST</t>
  </si>
  <si>
    <t>159 S COWLEY ST</t>
  </si>
  <si>
    <t>D&amp;S MOBILE PARK</t>
  </si>
  <si>
    <t>851 137TH STREET CT S</t>
  </si>
  <si>
    <t>PO BOX 1134</t>
  </si>
  <si>
    <t>PARKWOOD LANE MOBILE HOME PARK</t>
  </si>
  <si>
    <t>2611 S 288TH ST</t>
  </si>
  <si>
    <t>FROST PRAIRIE MOBILE HOME PARK</t>
  </si>
  <si>
    <t>2640 184TH AVE SE</t>
  </si>
  <si>
    <t>18419 BUCODA HWY SE</t>
  </si>
  <si>
    <t>REGAL ESTATES</t>
  </si>
  <si>
    <t>2700 FRUITVALE BLVD</t>
  </si>
  <si>
    <t>SUNNY ACRES COMMUNITY</t>
  </si>
  <si>
    <t>6201 203RD AVE SW</t>
  </si>
  <si>
    <t>SKAGIT VALLEY MOBILE MANOR</t>
  </si>
  <si>
    <t>1400 N 30TH ST</t>
  </si>
  <si>
    <t>PO BOX 1344</t>
  </si>
  <si>
    <t>PARK PLACE ESTATES MOBILE HOME PARK</t>
  </si>
  <si>
    <t>33422 192ND AVE SE</t>
  </si>
  <si>
    <t>TALLY HO MOBILE PARK</t>
  </si>
  <si>
    <t>5001 180TH ST SW</t>
  </si>
  <si>
    <t>PO BOX 1976</t>
  </si>
  <si>
    <t>SUNRISE EAST</t>
  </si>
  <si>
    <t>2225 5TH ST NE</t>
  </si>
  <si>
    <t>PO BOX 2054</t>
  </si>
  <si>
    <t>OAKNOLL TRAILER PARK</t>
  </si>
  <si>
    <t>10404 SOUTH TACOMA WAY</t>
  </si>
  <si>
    <t>PO BOX 1508</t>
  </si>
  <si>
    <t>SOUTHGATE MOBILE HOME PARK</t>
  </si>
  <si>
    <t>14005 42ND AVE S</t>
  </si>
  <si>
    <t>PO BOX 2626</t>
  </si>
  <si>
    <t>FAIRVIEW HEIGHTS MOBILE HOME PARK</t>
  </si>
  <si>
    <t>14915 W STATE RD 2</t>
  </si>
  <si>
    <t>LAKE PLEASANT MOBILE HOME AND RV PARK</t>
  </si>
  <si>
    <t>200021 HWY 101</t>
  </si>
  <si>
    <t>BEAVER</t>
  </si>
  <si>
    <t>PARKSIDE TERRACE MOBILE HOME PARK</t>
  </si>
  <si>
    <t>1009 PARKSIDE TERRACE</t>
  </si>
  <si>
    <t>PO BOX 699</t>
  </si>
  <si>
    <t>LA CONNER</t>
  </si>
  <si>
    <t>HILLVIEW MOBILE COMMUNITY</t>
  </si>
  <si>
    <t>835 HIGDON RD</t>
  </si>
  <si>
    <t>CRYSTAL POINTE MOBILE HOME COURT</t>
  </si>
  <si>
    <t>8111 195TH ST E</t>
  </si>
  <si>
    <t>MADRONA EAST MOBILE HOME PARK</t>
  </si>
  <si>
    <t>2285 BASIN ST SW</t>
  </si>
  <si>
    <t>CEDAR HILLS MOBILE PARK</t>
  </si>
  <si>
    <t>2027 E 1ST ST</t>
  </si>
  <si>
    <t>1826 S GOLF COURSE RD</t>
  </si>
  <si>
    <t>FIRVIEW MANOR</t>
  </si>
  <si>
    <t>217TH AVE COURT E &amp; 101ST ST E</t>
  </si>
  <si>
    <t>GOLDEN VILLAGE</t>
  </si>
  <si>
    <t>1023 73RD STREET CT E</t>
  </si>
  <si>
    <t>7575 FERNWOOD DR</t>
  </si>
  <si>
    <t>CINCINNATI</t>
  </si>
  <si>
    <t>OH</t>
  </si>
  <si>
    <t>NEW ALASKA TRAILER PARK</t>
  </si>
  <si>
    <t>2705 S 240TH ST</t>
  </si>
  <si>
    <t>2067 S 263RD ST</t>
  </si>
  <si>
    <t>VALLEY VIEW TRAILER PARK</t>
  </si>
  <si>
    <t>1660 BISHOP RD</t>
  </si>
  <si>
    <t>8021 54TH ST NW</t>
  </si>
  <si>
    <t>SEQUIM WEST INN &amp; RV PARK</t>
  </si>
  <si>
    <t>740 W WASHINGTON ST</t>
  </si>
  <si>
    <t>642 CLARK RD</t>
  </si>
  <si>
    <t>NORTHWEST MOBILE ESTATES</t>
  </si>
  <si>
    <t>3700 X STREET</t>
  </si>
  <si>
    <t>PO BOX 61426</t>
  </si>
  <si>
    <t>HIDDEN GLEN MOBILE HOME COURT</t>
  </si>
  <si>
    <t>15616 76TH AVE E</t>
  </si>
  <si>
    <t>BASIN CITY MOBILE HOME PARK</t>
  </si>
  <si>
    <t>7471 RD 170</t>
  </si>
  <si>
    <t>BASIN CITY</t>
  </si>
  <si>
    <t>MODERN TRAILER COURT</t>
  </si>
  <si>
    <t>71 E SODA ST</t>
  </si>
  <si>
    <t>ELOIKA PINES MOBILE HOME PARK</t>
  </si>
  <si>
    <t>40414 N NEWPORT HWY</t>
  </si>
  <si>
    <t>PO BOX 5050</t>
  </si>
  <si>
    <t>WALNUT CREEK</t>
  </si>
  <si>
    <t>614 OAK ST</t>
  </si>
  <si>
    <t>AUBURN GREEN MHC</t>
  </si>
  <si>
    <t>602 29TH ST SE</t>
  </si>
  <si>
    <t>18006 SKY PARK CIRCLESTE 200</t>
  </si>
  <si>
    <t>MARIAH'S PLACE</t>
  </si>
  <si>
    <t>5702 NE 69TH ST</t>
  </si>
  <si>
    <t>LAKES MOBILE HOME PARK</t>
  </si>
  <si>
    <t>1701 E BURR</t>
  </si>
  <si>
    <t>16419 40TH PL W</t>
  </si>
  <si>
    <t>HENDRICKSON ESTATES</t>
  </si>
  <si>
    <t>653 N SEVENTH AVE</t>
  </si>
  <si>
    <t>653 N 7TH AVE</t>
  </si>
  <si>
    <t>HENDRICKSON HERITAGE PARK</t>
  </si>
  <si>
    <t>653 W HERITAGE LOOP</t>
  </si>
  <si>
    <t>OAK HOLLOW MOBILE HOME PARK</t>
  </si>
  <si>
    <t>1320 N OAK HARBOR ST_#3</t>
  </si>
  <si>
    <t>PO BOX 473</t>
  </si>
  <si>
    <t>PRESTON</t>
  </si>
  <si>
    <t>THREE PONDS MOBILE HOME PARK &amp; APTS</t>
  </si>
  <si>
    <t>3902 255TH ST E</t>
  </si>
  <si>
    <t>14720 155TH ST E</t>
  </si>
  <si>
    <t>LAKE TERRELL MOBILE RANCH</t>
  </si>
  <si>
    <t>4005 ALDERGROVE RD</t>
  </si>
  <si>
    <t>1788 MATZ RD</t>
  </si>
  <si>
    <t>LAURELWOOD MOBILE HOME PARK</t>
  </si>
  <si>
    <t>3710 A STREET SE</t>
  </si>
  <si>
    <t>1118 NW 130TH ST</t>
  </si>
  <si>
    <t>CEDARS RV COURT</t>
  </si>
  <si>
    <t>8425 PACIFIC HWY E</t>
  </si>
  <si>
    <t>PALISADE PARK ESTATE</t>
  </si>
  <si>
    <t>10401 137TH ST E</t>
  </si>
  <si>
    <t>WESTGATE MOTEL &amp; TRAILER PARK</t>
  </si>
  <si>
    <t>20803 PACIFIC WAY</t>
  </si>
  <si>
    <t>C/O J &amp; B ACCOUNTING SVS</t>
  </si>
  <si>
    <t>PORTAGE GREEN MOBILE HOME COURT</t>
  </si>
  <si>
    <t>20227 80TH AVE NE</t>
  </si>
  <si>
    <t>RIVER ROSE VILLAGE</t>
  </si>
  <si>
    <t>2601 N BARKER RD</t>
  </si>
  <si>
    <t>RIVER SHORES MOBILE HOME PARK</t>
  </si>
  <si>
    <t>11330 E RIVERSIDE DR</t>
  </si>
  <si>
    <t>CEDARBROOK MOBILE HOME PARK</t>
  </si>
  <si>
    <t>31108 3RD AVE</t>
  </si>
  <si>
    <t>410 E DENNY WAY # 125</t>
  </si>
  <si>
    <t>SAMISH COURT MOBILE HOME PARK</t>
  </si>
  <si>
    <t>119 N SAMISH WAY</t>
  </si>
  <si>
    <t>PO BOX 4099</t>
  </si>
  <si>
    <t>FARRAGO RESIDENTIAL PARK</t>
  </si>
  <si>
    <t>16816 95TH LANE SW</t>
  </si>
  <si>
    <t>PO BOX 2478</t>
  </si>
  <si>
    <t>PARKWOOD MOBILE ESTATES</t>
  </si>
  <si>
    <t>ADAMS &amp; HARRINGTON HWY</t>
  </si>
  <si>
    <t>DAVENPORT</t>
  </si>
  <si>
    <t>3037 TURNER HILL RD</t>
  </si>
  <si>
    <t>BONNERS FERRY</t>
  </si>
  <si>
    <t>DUVALL HIGHLANDS</t>
  </si>
  <si>
    <t>28000 NE 142ND PL</t>
  </si>
  <si>
    <t>KRESKY MANOR</t>
  </si>
  <si>
    <t>1950 NE KRESKY AVE</t>
  </si>
  <si>
    <t>PO BOX 5046</t>
  </si>
  <si>
    <t>OCEAN AIRE</t>
  </si>
  <si>
    <t>1560 STATE RT 105</t>
  </si>
  <si>
    <t>GRAYLAND</t>
  </si>
  <si>
    <t>COWLITZ GARDENS RV PARK</t>
  </si>
  <si>
    <t>151 COWLITZ GARDENS LN</t>
  </si>
  <si>
    <t>14807 N 100TH WAY</t>
  </si>
  <si>
    <t>SCOTTSDALE</t>
  </si>
  <si>
    <t>EIKLEBERRY COURT</t>
  </si>
  <si>
    <t>23429 BASSETT RD</t>
  </si>
  <si>
    <t>1601 GEORGIA PL</t>
  </si>
  <si>
    <t>ANACORTES</t>
  </si>
  <si>
    <t>MOBILE ESTATES</t>
  </si>
  <si>
    <t>J &amp; B SMOKEY POINT PARK</t>
  </si>
  <si>
    <t>17532 SMOKEY POINT BLVD</t>
  </si>
  <si>
    <t>TWIN CEDARS PARK</t>
  </si>
  <si>
    <t>8515 STATE AVE</t>
  </si>
  <si>
    <t>SPRINGMILL PROPERTY MANAGEMENT COMPANY</t>
  </si>
  <si>
    <t>5217 W BAYWOOD CT</t>
  </si>
  <si>
    <t>PO BOX 18415</t>
  </si>
  <si>
    <t>MANTHEY'S COUNTRY MOBILE HOME PARK</t>
  </si>
  <si>
    <t>838 W AXTON RD</t>
  </si>
  <si>
    <t>PO BOX 217</t>
  </si>
  <si>
    <t>PONDEROSA MOBILE PARK</t>
  </si>
  <si>
    <t>1034 2ND AVE S</t>
  </si>
  <si>
    <t>GLENWOOD MOBILE ESTATES</t>
  </si>
  <si>
    <t>5900 64TH ST NE</t>
  </si>
  <si>
    <t>PO BOX 2258</t>
  </si>
  <si>
    <t>SUNNY CREEK MANUFACTURED HOUSING COMMUNITY</t>
  </si>
  <si>
    <t>1111 W QUALCHAN RD</t>
  </si>
  <si>
    <t>STE 103 PMB 641</t>
  </si>
  <si>
    <t>16420 SE MCGILLIVRAY</t>
  </si>
  <si>
    <t>RADAR MOBILE HOME PARK</t>
  </si>
  <si>
    <t>810 S HIGHWAY 24</t>
  </si>
  <si>
    <t>107 N REINO RD # 403</t>
  </si>
  <si>
    <t>PARKWOOD MOBILE MANOR</t>
  </si>
  <si>
    <t>24443 WICKER RD</t>
  </si>
  <si>
    <t>1150 ALKI AVE SW</t>
  </si>
  <si>
    <t>VELLING MOBILE VILLAGE</t>
  </si>
  <si>
    <t>24356 WICKER RD</t>
  </si>
  <si>
    <t>WHISPERING WOODS MHC</t>
  </si>
  <si>
    <t>17340 SARGENT RD SW</t>
  </si>
  <si>
    <t>COUNTRY MANOR MHC</t>
  </si>
  <si>
    <t>15619 NE CAPLES RD</t>
  </si>
  <si>
    <t>PO BOX 7736</t>
  </si>
  <si>
    <t>PACIFIC PLACE MHC MOBILE HOME COURT FOR ADULTS</t>
  </si>
  <si>
    <t>515 PACIFIC PL</t>
  </si>
  <si>
    <t>8816 135TH DR SE</t>
  </si>
  <si>
    <t>HILLTOP MOBILE HOME PARK LLC</t>
  </si>
  <si>
    <t>900 S HILLCREST DR</t>
  </si>
  <si>
    <t>COLFAX</t>
  </si>
  <si>
    <t>PO BOX 43</t>
  </si>
  <si>
    <t>HORSESHOE MOBILE HOME COMMUNITY</t>
  </si>
  <si>
    <t>305 MAGERS ST</t>
  </si>
  <si>
    <t>PO BOX 1176</t>
  </si>
  <si>
    <t>PINECROFT MOBILE HOME COMMUNITY</t>
  </si>
  <si>
    <t>11920 E MANSFIELD AVE</t>
  </si>
  <si>
    <t>RIVERCREST MHP</t>
  </si>
  <si>
    <t>601 W STEVENS AVE</t>
  </si>
  <si>
    <t>SKAGIT VALLEY VIEW MOBILE HOME PARK</t>
  </si>
  <si>
    <t>600 N REED ST</t>
  </si>
  <si>
    <t>INVESTMENT DEVELOPMENT CORP</t>
  </si>
  <si>
    <t>5729 LAKEVIEW DR NE STE 200</t>
  </si>
  <si>
    <t>WILDWOOD MOBILE ESTATES MHP</t>
  </si>
  <si>
    <t>4040 AUBURN WAY S</t>
  </si>
  <si>
    <t>WESTRIDGE ESTATES MOBILE HOME PARK</t>
  </si>
  <si>
    <t>7701 HARDESON RD</t>
  </si>
  <si>
    <t>5729 LAKEVIEW SR NE STE 200</t>
  </si>
  <si>
    <t>CASCADE PARK ESTATES</t>
  </si>
  <si>
    <t>16500 SE 1ST ST</t>
  </si>
  <si>
    <t>16500 SE 1ST ST UNIT 144</t>
  </si>
  <si>
    <t>LAKE SAMISH TERRACE</t>
  </si>
  <si>
    <t>921 AUTUMN LN</t>
  </si>
  <si>
    <t>MYRTLE STREET ESTATES</t>
  </si>
  <si>
    <t>2848 E MYRTLE ST</t>
  </si>
  <si>
    <t>CRESTVIEW COMMUNITY MOBILE HOME PARK</t>
  </si>
  <si>
    <t>6024 79TH ST COURT E</t>
  </si>
  <si>
    <t>6024 79TH ST E</t>
  </si>
  <si>
    <t>MORGAN PARK</t>
  </si>
  <si>
    <t>7303 N CRESTLINE ST</t>
  </si>
  <si>
    <t>BARRETT LAKE MANOR</t>
  </si>
  <si>
    <t>1580 MAIN ST</t>
  </si>
  <si>
    <t>808 GILBERT DR</t>
  </si>
  <si>
    <t>LARSEN'S MOBILE MANOR</t>
  </si>
  <si>
    <t>1014 W SMITH RD</t>
  </si>
  <si>
    <t>SUNNY MEADOWS MOBILE HOME PARK LLC</t>
  </si>
  <si>
    <t>4400 OCEAN BEACH HWY</t>
  </si>
  <si>
    <t>PO BOX 17</t>
  </si>
  <si>
    <t>GOERNEVILLE</t>
  </si>
  <si>
    <t>LAUREL LANE COMMUNITY</t>
  </si>
  <si>
    <t>2508 96TH ST S</t>
  </si>
  <si>
    <t>MAC'S TRAILER PARK</t>
  </si>
  <si>
    <t>815 W KLAMATH AVE</t>
  </si>
  <si>
    <t>1059 YAKIMA AVE</t>
  </si>
  <si>
    <t>KURTH MOBILE HOME PARK</t>
  </si>
  <si>
    <t>2107 URBAN AVE</t>
  </si>
  <si>
    <t>2910 BAKERVIEW PL</t>
  </si>
  <si>
    <t>MCDANIEL'S MOBILE VILLAGE</t>
  </si>
  <si>
    <t>501 CROFT AVE W</t>
  </si>
  <si>
    <t>501 CROFT AVE W UNIT 35</t>
  </si>
  <si>
    <t>RAINBOW TRAILER HAVEN</t>
  </si>
  <si>
    <t>3714 S 152ND ST</t>
  </si>
  <si>
    <t>VALLEY MANOR MOBILE HOME PARK</t>
  </si>
  <si>
    <t>856 CENTRAL AVE S</t>
  </si>
  <si>
    <t>PO BOX 319</t>
  </si>
  <si>
    <t>MAPLE VALLEY</t>
  </si>
  <si>
    <t>CANTERBURY MOBILE ESTATES</t>
  </si>
  <si>
    <t>3315 82ND ST S</t>
  </si>
  <si>
    <t>TRANQUILCENE RV PARK, LLC</t>
  </si>
  <si>
    <t>295553 US HIGHWAY 101</t>
  </si>
  <si>
    <t>QUILCENE</t>
  </si>
  <si>
    <t>PO BOX 57</t>
  </si>
  <si>
    <t>ILLAHEE SHORES MOBILE HOME PARK</t>
  </si>
  <si>
    <t>4330 ILLAHEE RD NE</t>
  </si>
  <si>
    <t>PO BOX 5652</t>
  </si>
  <si>
    <t>EUGENE</t>
  </si>
  <si>
    <t>TIMBERVIEW MOBILE HOME PARK</t>
  </si>
  <si>
    <t>3389 US HWY 101</t>
  </si>
  <si>
    <t>PO BOX 8475</t>
  </si>
  <si>
    <t>COOK CREEK COURT</t>
  </si>
  <si>
    <t>105 E PATRICK AVE</t>
  </si>
  <si>
    <t>PO BOX 844</t>
  </si>
  <si>
    <t>GLENDALE MOBILE HOME PARK</t>
  </si>
  <si>
    <t>9215 224TH ST E</t>
  </si>
  <si>
    <t>A.C.F. PROPERTIES, LLC</t>
  </si>
  <si>
    <t>10028 A ST</t>
  </si>
  <si>
    <t>20326 80TH AVE NE</t>
  </si>
  <si>
    <t>COVINGTON ESTATES</t>
  </si>
  <si>
    <t>7300 NE 100TH AVE</t>
  </si>
  <si>
    <t>31 AIRPORT BLVD STE G</t>
  </si>
  <si>
    <t>SOUTH SAN FRANCISCO</t>
  </si>
  <si>
    <t>NORTH SHORE ESTATES</t>
  </si>
  <si>
    <t>3777 ADDY ST</t>
  </si>
  <si>
    <t>OLYMPIC VIEW 55 + PARK</t>
  </si>
  <si>
    <t>701 S MAIN ST</t>
  </si>
  <si>
    <t>10560 SR 532</t>
  </si>
  <si>
    <t>TIMBERLINE MHC</t>
  </si>
  <si>
    <t>19625 E WELLESLEY AVE</t>
  </si>
  <si>
    <t>SPAID UNIQUE MANOR</t>
  </si>
  <si>
    <t>707 37TH ST SE</t>
  </si>
  <si>
    <t>ATTN 1ST COMMERCIAL PROP CORP</t>
  </si>
  <si>
    <t>LARSON PARK</t>
  </si>
  <si>
    <t>22532 ROAD 9 NW</t>
  </si>
  <si>
    <t>HENRY'S MOTEL &amp; TRAILER COURT</t>
  </si>
  <si>
    <t>714 2ND AVE SW</t>
  </si>
  <si>
    <t>WELCOME INN MOBILE HOME &amp; R.V. PARK</t>
  </si>
  <si>
    <t>1215 W HIGHWAY 101</t>
  </si>
  <si>
    <t>21246 MILITARY RD S</t>
  </si>
  <si>
    <t>RIVERCREST MOBILE HOME PARK</t>
  </si>
  <si>
    <t>5412 76TH AVE E</t>
  </si>
  <si>
    <t>15914 NE 16TH CIR</t>
  </si>
  <si>
    <t>TOWN &amp; COUNTRY MOBILE MANOR</t>
  </si>
  <si>
    <t>5616 113TH AVE E</t>
  </si>
  <si>
    <t>VIEW VISTA MOBILE HOME PARK DIVISION 2</t>
  </si>
  <si>
    <t>1400 VIEW VISTA PARK</t>
  </si>
  <si>
    <t>1311 VALLEY VIEW DR</t>
  </si>
  <si>
    <t>GOLDEN VALLEY ESTATES</t>
  </si>
  <si>
    <t>6505 241ST AVE E</t>
  </si>
  <si>
    <t>BUCKLEY</t>
  </si>
  <si>
    <t>EVERGREEN MOBILE COURT</t>
  </si>
  <si>
    <t>2504 RIVER RD</t>
  </si>
  <si>
    <t>RIO VERDE MOBILE ESTATES</t>
  </si>
  <si>
    <t>1402 22ND ST NE</t>
  </si>
  <si>
    <t>RAINER VILLA MOBILE HOME PARK</t>
  </si>
  <si>
    <t>19011 PACIFIC AVE S</t>
  </si>
  <si>
    <t>12320 98TH AVE E</t>
  </si>
  <si>
    <t>DAWN LEE COURT</t>
  </si>
  <si>
    <t>6251 KIMBER RD</t>
  </si>
  <si>
    <t>PO BOX 424</t>
  </si>
  <si>
    <t>SAKSON VALLEY VIEW</t>
  </si>
  <si>
    <t>5304 40TH ST E</t>
  </si>
  <si>
    <t>5607 117TH ST SW</t>
  </si>
  <si>
    <t>HEATHER HILLS MOBILE HOME PARK</t>
  </si>
  <si>
    <t>2500 ALDER ST</t>
  </si>
  <si>
    <t>ATTN: GARY DUNHAM</t>
  </si>
  <si>
    <t>21011 26TH ST CT E</t>
  </si>
  <si>
    <t>RIVER ROAD COTTONWOOD, LLC</t>
  </si>
  <si>
    <t>8014 56TH STREET CT E</t>
  </si>
  <si>
    <t>ROCHESTER CARRIAGE CLUB, LLC</t>
  </si>
  <si>
    <t>17930 ALBANY ST SW</t>
  </si>
  <si>
    <t>ATTN: ANTOINETTE BRONSON</t>
  </si>
  <si>
    <t>CURRAN LACEY PARK</t>
  </si>
  <si>
    <t>4401 37TH AVE SE</t>
  </si>
  <si>
    <t>11630 SLATER AVE NE # 5</t>
  </si>
  <si>
    <t>SOCIETY PLACE</t>
  </si>
  <si>
    <t>1101 S SCHEUBER RD</t>
  </si>
  <si>
    <t>FOSTER GROUP, INC.</t>
  </si>
  <si>
    <t>8109 33RD AVE S</t>
  </si>
  <si>
    <t>8878 PEAVEY RD</t>
  </si>
  <si>
    <t>8878 PEAVEY RD #38</t>
  </si>
  <si>
    <t>EDGELAKE MOBILE HOME PARK</t>
  </si>
  <si>
    <t>3928 21ST AVE SE</t>
  </si>
  <si>
    <t>5500 OLYMPIC DR STE H105 # 165</t>
  </si>
  <si>
    <t>LAURELWOOD VALLEY MOBILE HOME PARK</t>
  </si>
  <si>
    <t>29401 MILITARY RD S</t>
  </si>
  <si>
    <t>CAMBRIDGE PACIFIC</t>
  </si>
  <si>
    <t>650 E CLARK AVE</t>
  </si>
  <si>
    <t>ORCUTT</t>
  </si>
  <si>
    <t>LA TIERRA ESTATES</t>
  </si>
  <si>
    <t>4401 80TH ST NE</t>
  </si>
  <si>
    <t>1116 OLYMPIC AVE</t>
  </si>
  <si>
    <t>TOTEM VILLAGE MOBILE HOME PARK</t>
  </si>
  <si>
    <t>4803 AHTANUM RD</t>
  </si>
  <si>
    <t>1104 EA MEAD AVE</t>
  </si>
  <si>
    <t>PEABODY CREEK RV PARK</t>
  </si>
  <si>
    <t>127 S LINCOLN ST</t>
  </si>
  <si>
    <t>METHOW</t>
  </si>
  <si>
    <t>NAPAVINE HIGHLAND PARK</t>
  </si>
  <si>
    <t>222 MAPLE AVE NW</t>
  </si>
  <si>
    <t>DIANE MARTIN</t>
  </si>
  <si>
    <t>12138 DREAM ST SW</t>
  </si>
  <si>
    <t>BATTLE GROUND MOBILE ESTATES</t>
  </si>
  <si>
    <t>300 SW 7TH AVE</t>
  </si>
  <si>
    <t>C/O CHARLES R HAHN</t>
  </si>
  <si>
    <t>8403 SE LIESER PT DR</t>
  </si>
  <si>
    <t>HORIZON ESTATES</t>
  </si>
  <si>
    <t>715 QUINCE ST</t>
  </si>
  <si>
    <t>715 QUINCE ST UNIT 2200</t>
  </si>
  <si>
    <t>MY PLACE MOBILE ESTATES</t>
  </si>
  <si>
    <t>6165 PORTAL WAY</t>
  </si>
  <si>
    <t>5142 BYERS RD</t>
  </si>
  <si>
    <t>OVERLOOK MOBILE HOME PARK</t>
  </si>
  <si>
    <t>245 TOWER RD</t>
  </si>
  <si>
    <t>SURFSIDE</t>
  </si>
  <si>
    <t>3883 STATE RT 105</t>
  </si>
  <si>
    <t>3803 KINSALE LN SE</t>
  </si>
  <si>
    <t>WAGON WHEEL MOBILE HOME PARK</t>
  </si>
  <si>
    <t>17993 RD A NW</t>
  </si>
  <si>
    <t>4405 LEARY WAY NW</t>
  </si>
  <si>
    <t>VIKING ESTATES</t>
  </si>
  <si>
    <t>12303 152ND STREET CT E</t>
  </si>
  <si>
    <t>LAZY ACRES MOBILE HOME PARK</t>
  </si>
  <si>
    <t>111 DRYKE RD</t>
  </si>
  <si>
    <t>890 GARDINER BEACH RD</t>
  </si>
  <si>
    <t>FIRLANE VILLAGE MOBILE HOME PARK</t>
  </si>
  <si>
    <t>15520 74TH AVE E</t>
  </si>
  <si>
    <t>PO BOX 463</t>
  </si>
  <si>
    <t>SOUND VISTA MHP</t>
  </si>
  <si>
    <t>22010 28TH PL S</t>
  </si>
  <si>
    <t>PO BOX 2397</t>
  </si>
  <si>
    <t>FIRWEST MOBILE HOME PARK</t>
  </si>
  <si>
    <t>2003 W 16TH ST</t>
  </si>
  <si>
    <t>PO BOX 1073</t>
  </si>
  <si>
    <t>COUNTRY HOMES MOBILE HOME PARK</t>
  </si>
  <si>
    <t>26300 SE 424TH ST</t>
  </si>
  <si>
    <t>SKYLINE MOBILE ESTATES</t>
  </si>
  <si>
    <t>2205 BUTTERFIELD RD</t>
  </si>
  <si>
    <t>SEABIRD MOBILE HOME PARK</t>
  </si>
  <si>
    <t>600 NE LINCOLN RD</t>
  </si>
  <si>
    <t>C/O JANICE LUND</t>
  </si>
  <si>
    <t>1272 NE HOSTMARK ST</t>
  </si>
  <si>
    <t>LEISURE ESTATES</t>
  </si>
  <si>
    <t>201 UNION AVE SE</t>
  </si>
  <si>
    <t>CONNELL PARK ESTATES</t>
  </si>
  <si>
    <t>200 W HAWTHORNE</t>
  </si>
  <si>
    <t>OLYMPIC MOBILE &amp; RV PARK</t>
  </si>
  <si>
    <t>6380 US HIGHWAY 101</t>
  </si>
  <si>
    <t>AMANDA PARK</t>
  </si>
  <si>
    <t>10 N SHORE RD</t>
  </si>
  <si>
    <t>EVERGREEN MANOR</t>
  </si>
  <si>
    <t>3250 S 77TH ST</t>
  </si>
  <si>
    <t>3250 S 77TH ST TRLR 5</t>
  </si>
  <si>
    <t>RIVERVIEW TRAILER PARK</t>
  </si>
  <si>
    <t>4TH &amp; WILLIAMS</t>
  </si>
  <si>
    <t>MATTAWA</t>
  </si>
  <si>
    <t>PO BOX 1575</t>
  </si>
  <si>
    <t>MARANATHA MOBILE HOME PARK</t>
  </si>
  <si>
    <t>811 2ND AVE</t>
  </si>
  <si>
    <t>PO BOX 2114</t>
  </si>
  <si>
    <t>TOWN MOBILE HOME PARK</t>
  </si>
  <si>
    <t>5454 BINDER RD</t>
  </si>
  <si>
    <t>GOLDEN PLAINS MOBILE HOME PARK</t>
  </si>
  <si>
    <t>2049 W BENCH RD</t>
  </si>
  <si>
    <t>PMB 323</t>
  </si>
  <si>
    <t>663 S RANCHO SANTE FE RD</t>
  </si>
  <si>
    <t>SAN MARCOS</t>
  </si>
  <si>
    <t>WASHINGTON STREET TRAILER PARK</t>
  </si>
  <si>
    <t>600 NE WASHINGTON ST</t>
  </si>
  <si>
    <t>WHITE SALMON</t>
  </si>
  <si>
    <t>PO BOX 100</t>
  </si>
  <si>
    <t>BRIARWOOD PARK AND APARTMENTS</t>
  </si>
  <si>
    <t>116 W ROBERT BUSH DR</t>
  </si>
  <si>
    <t>SOUTH BEND</t>
  </si>
  <si>
    <t>PO BOX 12687</t>
  </si>
  <si>
    <t>BENSON VILLAGE MOBILE HOME PARK</t>
  </si>
  <si>
    <t>22111 108TH AVE SE</t>
  </si>
  <si>
    <t>WAGON WHEEL MOBILE PARK</t>
  </si>
  <si>
    <t>2920 N HELLER RD</t>
  </si>
  <si>
    <t>PO BOX 1263</t>
  </si>
  <si>
    <t>CANYON GLEN MOBILE HOME PARK</t>
  </si>
  <si>
    <t>16118 66TH AVE COURT E</t>
  </si>
  <si>
    <t>CASTLE ROCK MOBILE HOME PARK</t>
  </si>
  <si>
    <t>2610 CALAWAH WAY</t>
  </si>
  <si>
    <t>247 GREYHAWK COURT</t>
  </si>
  <si>
    <t>HENDERSON</t>
  </si>
  <si>
    <t>NV</t>
  </si>
  <si>
    <t>GULF AIRE LTD.</t>
  </si>
  <si>
    <t>1721 BENSUM RD # 102</t>
  </si>
  <si>
    <t>POINT ROBERTS</t>
  </si>
  <si>
    <t>PO BOX 2031</t>
  </si>
  <si>
    <t>QUAIL RUN AT TERRACE HEIGHTS</t>
  </si>
  <si>
    <t>200 BRIDLE WAY</t>
  </si>
  <si>
    <t>COUNTRY VILLAGE MOBILE PARK</t>
  </si>
  <si>
    <t>622 COUNTRY VILLAGE CT</t>
  </si>
  <si>
    <t>522 W CAMERON CT TRLR 27</t>
  </si>
  <si>
    <t>RAINIER TERRACE MOBILE HOME PARK</t>
  </si>
  <si>
    <t>3800 SLEATER KINNEY RD NE</t>
  </si>
  <si>
    <t>LAWSON-CAMPBELL MOBILE PARK</t>
  </si>
  <si>
    <t>12527 W 20TH AVE</t>
  </si>
  <si>
    <t>PO BOX 1035</t>
  </si>
  <si>
    <t>SUN MEADOWS ESTATES</t>
  </si>
  <si>
    <t>1201 W WASHINGTON AVE</t>
  </si>
  <si>
    <t>KOSKORP PROPERTIES LLC</t>
  </si>
  <si>
    <t>509 OKOMA DR # 601</t>
  </si>
  <si>
    <t>50 VIC SMITH RD</t>
  </si>
  <si>
    <t>NW PARK INVESTMENTS</t>
  </si>
  <si>
    <t>7683 SE 27TH ST STE 315</t>
  </si>
  <si>
    <t>312 E TROW AVE STE 201</t>
  </si>
  <si>
    <t>SOOS CREEK ESTATES</t>
  </si>
  <si>
    <t>15410 SE 272ND ST</t>
  </si>
  <si>
    <t>HYC VILLAGE</t>
  </si>
  <si>
    <t>4500 A STREET SE</t>
  </si>
  <si>
    <t>5924 NAHANE WEST NE</t>
  </si>
  <si>
    <t>SHADY WOODS MOBILE HOME PARK</t>
  </si>
  <si>
    <t>9207 218TH STREET CT E</t>
  </si>
  <si>
    <t>16925 135TH AVENUE CT E</t>
  </si>
  <si>
    <t>RIVERVIEW COURT</t>
  </si>
  <si>
    <t>6291 LOOP RD</t>
  </si>
  <si>
    <t>PO BOX 475</t>
  </si>
  <si>
    <t>CHINOOK TERRACE MOBILE HOME PARK</t>
  </si>
  <si>
    <t>3202 166TH AVE E</t>
  </si>
  <si>
    <t>22020 SE 358TH ST</t>
  </si>
  <si>
    <t>COTTONWOOD COURT</t>
  </si>
  <si>
    <t>3852 W VAN GIESEN ST</t>
  </si>
  <si>
    <t>33009 NW 41ST AVE</t>
  </si>
  <si>
    <t>MILLER TRAILER PARK</t>
  </si>
  <si>
    <t>11 NEILTON LN</t>
  </si>
  <si>
    <t>NEILTON</t>
  </si>
  <si>
    <t>PO BOX 187</t>
  </si>
  <si>
    <t>BINGHAMWOOD</t>
  </si>
  <si>
    <t>18445 BINGHAMWOOD LN SE</t>
  </si>
  <si>
    <t>MINERAL LAKE MOBILE HOME PARK</t>
  </si>
  <si>
    <t>136 MINERAL</t>
  </si>
  <si>
    <t>MINERAL</t>
  </si>
  <si>
    <t>144 MCDOUGALL RD W</t>
  </si>
  <si>
    <t>CEDAR GROVE MOBILE PARK</t>
  </si>
  <si>
    <t>80 SPENCER RD</t>
  </si>
  <si>
    <t>521 E ANDERSON RD</t>
  </si>
  <si>
    <t>EDGEWATER TRAILER PARK</t>
  </si>
  <si>
    <t>7968 BIRCH BAY DR</t>
  </si>
  <si>
    <t>MARINE VIEW MOBILE HOME PARK</t>
  </si>
  <si>
    <t>16 BOURSAW AVE</t>
  </si>
  <si>
    <t>CRESTWOOD MANUFACTURED HOUSING PARK</t>
  </si>
  <si>
    <t>3380 NE 3RD ST</t>
  </si>
  <si>
    <t>2111 MADRONA POINT DR</t>
  </si>
  <si>
    <t>LAZY ACRES TRAILER PARK</t>
  </si>
  <si>
    <t>801 W KELLY DR</t>
  </si>
  <si>
    <t>NEWPORT</t>
  </si>
  <si>
    <t>2654 E HIGHWAY 2</t>
  </si>
  <si>
    <t>OLDTOWN</t>
  </si>
  <si>
    <t>HUMPHREY COURT</t>
  </si>
  <si>
    <t>3001 DANAHER RD</t>
  </si>
  <si>
    <t>ALDERMAN'S MOBILE HOME COURT</t>
  </si>
  <si>
    <t>72 CASS RD</t>
  </si>
  <si>
    <t>12 LINES AVE</t>
  </si>
  <si>
    <t>1361 NE GOLDIE ST</t>
  </si>
  <si>
    <t>PO BOX 1113</t>
  </si>
  <si>
    <t>EVERGREEN CASHMERE MOBILE HOME PARK</t>
  </si>
  <si>
    <t>107 EVERGREEN DR</t>
  </si>
  <si>
    <t>FAIRWIND COMMUNITY, LLC</t>
  </si>
  <si>
    <t>2805 76TH AVE SW</t>
  </si>
  <si>
    <t>2120 STATE AVE NE STE 201</t>
  </si>
  <si>
    <t>BIRCH TREE MANUFACTURED HOUSING COMMUNITY</t>
  </si>
  <si>
    <t>304 S CONKLIN RD</t>
  </si>
  <si>
    <t>CLEARVIEW EAST MHP</t>
  </si>
  <si>
    <t>17410 87TH AVE SE</t>
  </si>
  <si>
    <t>12600 SE 38TH ST STE 103</t>
  </si>
  <si>
    <t>AUBURN HILLS COMMUNITY</t>
  </si>
  <si>
    <t>31101 116TH AVE SE</t>
  </si>
  <si>
    <t>3455 HUNTS POINT RD</t>
  </si>
  <si>
    <t>HUNTS POINT</t>
  </si>
  <si>
    <t>AUBURN PARK COMMUNITY</t>
  </si>
  <si>
    <t>2304 A STREET SE</t>
  </si>
  <si>
    <t>LAUREL PARK COMMUNITY</t>
  </si>
  <si>
    <t>3244 66TH AVE SW</t>
  </si>
  <si>
    <t>PLANTATION PARK COMMUNITY</t>
  </si>
  <si>
    <t>9409 56TH ST SE</t>
  </si>
  <si>
    <t>BURLINGTON HILL ESTATES MOBILE PARK</t>
  </si>
  <si>
    <t>521 N SKAGIT ST</t>
  </si>
  <si>
    <t>9997 EAST HIDDEN VALLEY RD</t>
  </si>
  <si>
    <t>HYLEBOS CREEK ESTATES</t>
  </si>
  <si>
    <t>9TH STREET CT E</t>
  </si>
  <si>
    <t>4217 LAKERIDGE DR E</t>
  </si>
  <si>
    <t>ZEKE &amp; JUDYS MOBILE HOME PARK</t>
  </si>
  <si>
    <t>1 MILLERS LN</t>
  </si>
  <si>
    <t>CHINOOK MOBILE HOME PARK</t>
  </si>
  <si>
    <t>12829 HIGHWAY 99</t>
  </si>
  <si>
    <t>SUN COUNTRY PARK</t>
  </si>
  <si>
    <t>501 SELKIRK</t>
  </si>
  <si>
    <t>2300 RIVER RD # 20</t>
  </si>
  <si>
    <t>MIDLAND MEADOWS MOBILE HOME PARK</t>
  </si>
  <si>
    <t>9803 12TH AVE CT E</t>
  </si>
  <si>
    <t>LOGANBERRY MOBILE HOME PARK</t>
  </si>
  <si>
    <t>9931 18TH AVE W</t>
  </si>
  <si>
    <t>PO BOX 985</t>
  </si>
  <si>
    <t>MEAD PARK</t>
  </si>
  <si>
    <t>3925 E FARWELL RD</t>
  </si>
  <si>
    <t>500 W GOLDFIELD</t>
  </si>
  <si>
    <t>YERINGTON</t>
  </si>
  <si>
    <t>GOLDEN MOBILE HOME PARK</t>
  </si>
  <si>
    <t>8760 STATE HIGHWAY 303 NE</t>
  </si>
  <si>
    <t>CEDAR CREST MOBILE HOME PARK</t>
  </si>
  <si>
    <t>9717 156TH ST E</t>
  </si>
  <si>
    <t>6648 PUGET BEACH RD NE</t>
  </si>
  <si>
    <t>SILVERCREST MHP</t>
  </si>
  <si>
    <t>23501 MOUNTAIN HWY</t>
  </si>
  <si>
    <t>PO BOX 349</t>
  </si>
  <si>
    <t>GOLDSBOROUGH GROUP PARK</t>
  </si>
  <si>
    <t>411 GROVE ST</t>
  </si>
  <si>
    <t>PO BOX 1760</t>
  </si>
  <si>
    <t>COULEE VIEW MOBILE HOME PARK</t>
  </si>
  <si>
    <t>216 JACKSON ST</t>
  </si>
  <si>
    <t>ELECTRIC CITY</t>
  </si>
  <si>
    <t>PO BOX 574</t>
  </si>
  <si>
    <t>CHERRY HILL MOBILE HOME COURT</t>
  </si>
  <si>
    <t>1135 20TH AVE</t>
  </si>
  <si>
    <t>3825 SWALLOWS NEST CT</t>
  </si>
  <si>
    <t>EASTGATE MOBILE HOME PARK</t>
  </si>
  <si>
    <t>2306 BEACON AVE E</t>
  </si>
  <si>
    <t>ATTN DIANE GULEY</t>
  </si>
  <si>
    <t>70 KEYS RD W</t>
  </si>
  <si>
    <t>LOVELAND MOBILE HOME PARK</t>
  </si>
  <si>
    <t>21105 MOUNTAIN HWY E</t>
  </si>
  <si>
    <t>223 TAYLOR AVE N STE 200</t>
  </si>
  <si>
    <t>KELLEY'S MOBILE HOME COURT</t>
  </si>
  <si>
    <t>302 W PORTLAND</t>
  </si>
  <si>
    <t>FAIRFIELD</t>
  </si>
  <si>
    <t>PO BOX 134</t>
  </si>
  <si>
    <t>HOLMES HARBOR MOBILE HOME PARK</t>
  </si>
  <si>
    <t>5406 S FREELAND AVE</t>
  </si>
  <si>
    <t>FREELAND</t>
  </si>
  <si>
    <t>PO BOX 10155</t>
  </si>
  <si>
    <t>JR'S TRAILER PARK</t>
  </si>
  <si>
    <t>7310 LITTLEROCK RD SW</t>
  </si>
  <si>
    <t>451 MEIER RD</t>
  </si>
  <si>
    <t>ROSEWOOD MOBILE HOME PARK</t>
  </si>
  <si>
    <t>1112 CENTRAL AVE S</t>
  </si>
  <si>
    <t>PO BOX 361</t>
  </si>
  <si>
    <t>SPACETTE 55+ MOBILE HOME COMMUNITY</t>
  </si>
  <si>
    <t>7028 208TH SW</t>
  </si>
  <si>
    <t>PO BOX 2156</t>
  </si>
  <si>
    <t>IDAHO FALLS</t>
  </si>
  <si>
    <t>GOLDEN ESTATES</t>
  </si>
  <si>
    <t>1918 HARRISON AVE</t>
  </si>
  <si>
    <t>114 BLANCHARD RD</t>
  </si>
  <si>
    <t>RIO VILLA</t>
  </si>
  <si>
    <t>1693 N SHEPHERD RD</t>
  </si>
  <si>
    <t>17760 S DICK DR</t>
  </si>
  <si>
    <t>OREGON CITY</t>
  </si>
  <si>
    <t>AYERS TRAILER COURT</t>
  </si>
  <si>
    <t>300 BURDIN</t>
  </si>
  <si>
    <t>PO BOX 637</t>
  </si>
  <si>
    <t>MERRI ACRES MOBILE HOME PARK</t>
  </si>
  <si>
    <t>915 N 15TH AVE</t>
  </si>
  <si>
    <t>8562 HAXTON CIR</t>
  </si>
  <si>
    <t>SAN RHEA DEVELOPMENT</t>
  </si>
  <si>
    <t>9011 220TH STREET CT E</t>
  </si>
  <si>
    <t>308 MARIETTA CT</t>
  </si>
  <si>
    <t>STEILACOOM</t>
  </si>
  <si>
    <t>MATTAWA MOBILE PARK</t>
  </si>
  <si>
    <t>102 N BOUNDARY</t>
  </si>
  <si>
    <t>1719 PICKENS LOOP</t>
  </si>
  <si>
    <t>GONZALEZ MOBILE HOME &amp; RV PARK</t>
  </si>
  <si>
    <t>2515 S GEIGER BLVD</t>
  </si>
  <si>
    <t>SEDRO-WOOLLEY MOBILE HOME PARK</t>
  </si>
  <si>
    <t>1121 CURTIS ST</t>
  </si>
  <si>
    <t>31 PINE ST APT 107</t>
  </si>
  <si>
    <t>WINCHESTER VILLAGE MOBILE HOME PARK</t>
  </si>
  <si>
    <t>514 165TH STREET CT E</t>
  </si>
  <si>
    <t>VALLEYBROOK VILLAGE MOBILE HOME PARK</t>
  </si>
  <si>
    <t>3021 28TH STREET CT E</t>
  </si>
  <si>
    <t>FAIRFIELD ESTATES MOBILE HOME PARK</t>
  </si>
  <si>
    <t>2902 93RD STREET CT S</t>
  </si>
  <si>
    <t>PENINSULA MOBILE PARK</t>
  </si>
  <si>
    <t>9111 66TH AVE NW</t>
  </si>
  <si>
    <t>2816 41ST ST NW</t>
  </si>
  <si>
    <t>LIBERTY VILLAGE MOBILE HOME PARK</t>
  </si>
  <si>
    <t>7508 47TH AVE NE</t>
  </si>
  <si>
    <t>4616 25TH AVE NE</t>
  </si>
  <si>
    <t>SUN TIDES</t>
  </si>
  <si>
    <t>451 PENCE RD</t>
  </si>
  <si>
    <t>MILL POND MOBILE MANOR</t>
  </si>
  <si>
    <t>2900 CANYON RD</t>
  </si>
  <si>
    <t>LACAMAS VILLAGE</t>
  </si>
  <si>
    <t>2828 NW EVERETT</t>
  </si>
  <si>
    <t>340 NW ILWACO CT</t>
  </si>
  <si>
    <t>FABER MOBILE MANOR</t>
  </si>
  <si>
    <t>126 SOAP LAKE WAY</t>
  </si>
  <si>
    <t>SOAP LAKE</t>
  </si>
  <si>
    <t>19136 OTHELLO PL NW</t>
  </si>
  <si>
    <t>COWLITZ VALLEY MOBILE HOME PARK</t>
  </si>
  <si>
    <t>268 COLLINS RD</t>
  </si>
  <si>
    <t>GOLDEN OAK MHC</t>
  </si>
  <si>
    <t>9400 MULLEN RD SE</t>
  </si>
  <si>
    <t>12322 VAIL CUT OFF RD SE</t>
  </si>
  <si>
    <t>WESTWIND MOBILE HOME PARK</t>
  </si>
  <si>
    <t>801 S WASHINGTON ST</t>
  </si>
  <si>
    <t>WARDEN</t>
  </si>
  <si>
    <t>12625 238TH SE</t>
  </si>
  <si>
    <t>BLUE SKY MOBILE HOME PARK</t>
  </si>
  <si>
    <t>410 D STREET SE</t>
  </si>
  <si>
    <t>12625 238TH ST SE</t>
  </si>
  <si>
    <t>HOLMGREN MOBILE HOME PARK</t>
  </si>
  <si>
    <t>3411 HARRISON AVE</t>
  </si>
  <si>
    <t>3411 HARRISON AVE UNIT 2</t>
  </si>
  <si>
    <t>L &amp; M MOBILE HOME PARK</t>
  </si>
  <si>
    <t>200 E WOODWORTH</t>
  </si>
  <si>
    <t>UNIONTOWN</t>
  </si>
  <si>
    <t>PO BOX 122</t>
  </si>
  <si>
    <t>WILLADUNE ESTATES</t>
  </si>
  <si>
    <t>1925 BAY AVE</t>
  </si>
  <si>
    <t>2713 344TH LN</t>
  </si>
  <si>
    <t>BRITTON RD TRAILER PARK</t>
  </si>
  <si>
    <t>3854 BRITTON RD</t>
  </si>
  <si>
    <t>2136 ERIE ST</t>
  </si>
  <si>
    <t>CARL ROWE MOBILE HOME PARK #2</t>
  </si>
  <si>
    <t>721 E RICHMOND AVE</t>
  </si>
  <si>
    <t>1109 S 4TH ST</t>
  </si>
  <si>
    <t>CARL ROWE MOBILE HOME PARK #3</t>
  </si>
  <si>
    <t>1210 S 2ND ST</t>
  </si>
  <si>
    <t>GOLDENDALE TRAILER COURT</t>
  </si>
  <si>
    <t>501 W BURGEN ST</t>
  </si>
  <si>
    <t>ATTN KEN HICK</t>
  </si>
  <si>
    <t>PO BOX 16756</t>
  </si>
  <si>
    <t>FAIRWAY MOBILE PARK</t>
  </si>
  <si>
    <t>1505 S GOLD ST</t>
  </si>
  <si>
    <t>PO BOX 307</t>
  </si>
  <si>
    <t>LITTLEROCK</t>
  </si>
  <si>
    <t>ROGER M CREECH CREDIT SHELTER TRUST MOBILE HOME PARK</t>
  </si>
  <si>
    <t>1184 SHERMAN AVE</t>
  </si>
  <si>
    <t>411 10TH AVE W</t>
  </si>
  <si>
    <t>CARSON VALLEY MOBILE PARK</t>
  </si>
  <si>
    <t>46592 HWY 14</t>
  </si>
  <si>
    <t>THE TREES RENTALS</t>
  </si>
  <si>
    <t>4701 E EVERGREEN BLVD</t>
  </si>
  <si>
    <t>GREEN ACRES ESTATES</t>
  </si>
  <si>
    <t>23656 30TH AVE S</t>
  </si>
  <si>
    <t>PARADISE ISLAND MOBILE HOME PARK</t>
  </si>
  <si>
    <t>4304 AHTANUM RD</t>
  </si>
  <si>
    <t>4304 9-A AHTANUM</t>
  </si>
  <si>
    <t>INDIAN VILLAGE MOBILE ESTATES</t>
  </si>
  <si>
    <t>196 JACOBSON RD</t>
  </si>
  <si>
    <t>12245 SE WINSTON RD</t>
  </si>
  <si>
    <t>DAMASCUS</t>
  </si>
  <si>
    <t>MERCADO RV/TRAILER PARK</t>
  </si>
  <si>
    <t>120 W 2ND ST</t>
  </si>
  <si>
    <t>PO BOX 922</t>
  </si>
  <si>
    <t>EVERETT TRAILER COURT</t>
  </si>
  <si>
    <t>819 N BROADWAY</t>
  </si>
  <si>
    <t>6926 GROVE ST</t>
  </si>
  <si>
    <t>MOBILE COUNTRY CLUB</t>
  </si>
  <si>
    <t>1415 84TH ST SE</t>
  </si>
  <si>
    <t>1415 84TH ST SE OFC</t>
  </si>
  <si>
    <t>ESPLANADE 55+ MOBILE HOME PARK</t>
  </si>
  <si>
    <t>15520 SE 116TH ST</t>
  </si>
  <si>
    <t>5 COLUMBIA DR</t>
  </si>
  <si>
    <t>TWO COLUMBIA DR</t>
  </si>
  <si>
    <t>HIDE-A-WAY MOBILE HOME PARK</t>
  </si>
  <si>
    <t>921 S 3RD AVE</t>
  </si>
  <si>
    <t>01816 SW PALATINE HILL RD</t>
  </si>
  <si>
    <t>PONDEROSA SENIOR MOBILE HOME PARK</t>
  </si>
  <si>
    <t>19419 MOUNTAIN HIGHWAY</t>
  </si>
  <si>
    <t>PO BOX 7471</t>
  </si>
  <si>
    <t>16080 RD 10.5 NW</t>
  </si>
  <si>
    <t>23821 RD 9.7 NW</t>
  </si>
  <si>
    <t>GUINNS MOBILE HOME PARK</t>
  </si>
  <si>
    <t>18301 31ST AVE NE</t>
  </si>
  <si>
    <t>1415 84TH ST SE OFFICE</t>
  </si>
  <si>
    <t>VALLEY VIEW MANOR</t>
  </si>
  <si>
    <t>4616 WILLAPA RD</t>
  </si>
  <si>
    <t>RAYMOND</t>
  </si>
  <si>
    <t>MENLO</t>
  </si>
  <si>
    <t>SPIRIT LAKE MOBILE HOME PARK</t>
  </si>
  <si>
    <t>1935 SPIRIT LAKE HWY</t>
  </si>
  <si>
    <t>7080 HIGHWAY 35</t>
  </si>
  <si>
    <t>MOUNT HOOD PARKDALE</t>
  </si>
  <si>
    <t>SEA HAVEN MOBILE HOME PARK</t>
  </si>
  <si>
    <t>6955 HOLEMAN AVE</t>
  </si>
  <si>
    <t>6190 CYPRESS ST</t>
  </si>
  <si>
    <t>VANCOUVER BC V6M 3S2</t>
  </si>
  <si>
    <t>HAZEL L COLE MOBILE HOME PARK</t>
  </si>
  <si>
    <t>122 N WEST BLVD</t>
  </si>
  <si>
    <t>MAYFIELD MEADOWS MOBILE HOME PARK</t>
  </si>
  <si>
    <t>321 WINSTON CREEK RD</t>
  </si>
  <si>
    <t>PO BOX 1355</t>
  </si>
  <si>
    <t>ORNAGE</t>
  </si>
  <si>
    <t>STERLING EASTGATE MOBILE HOME PARK</t>
  </si>
  <si>
    <t>2716 MELROSE ST</t>
  </si>
  <si>
    <t>CHEWELAH CREEK MOBILE HOME PARK</t>
  </si>
  <si>
    <t>2335 ALM RD</t>
  </si>
  <si>
    <t>2343 FLOWERY TRAIL RD</t>
  </si>
  <si>
    <t>TOWNE CENTRE PROPERTIES</t>
  </si>
  <si>
    <t>130 N 3RD AVE</t>
  </si>
  <si>
    <t>ATTN: KEMP &amp; CHERI CURTIS</t>
  </si>
  <si>
    <t>1053 WESTON PARKWAY</t>
  </si>
  <si>
    <t>SAND &amp; SURF TRAILER PARK</t>
  </si>
  <si>
    <t>111 SAND SURF LN W</t>
  </si>
  <si>
    <t>13783 34TH AVE S</t>
  </si>
  <si>
    <t>HARGROVE MOBILE HOME PARK</t>
  </si>
  <si>
    <t>506 N QUAIL AVE</t>
  </si>
  <si>
    <t>DUSTAN LOOP MOBILE HOME COURT</t>
  </si>
  <si>
    <t>1654 DUSTAN LOOP</t>
  </si>
  <si>
    <t>3605 MASTERS DR</t>
  </si>
  <si>
    <t>B &amp; J CITY MOBILE HOME COURT</t>
  </si>
  <si>
    <t>1445 ELM ST</t>
  </si>
  <si>
    <t>C/O LC PROP. MGMNT</t>
  </si>
  <si>
    <t>LYNNWOOD MOBILE MANOR</t>
  </si>
  <si>
    <t>2219 E ISAACS AVE</t>
  </si>
  <si>
    <t>172 PEARMAIN AVE</t>
  </si>
  <si>
    <t>PARK PLAZA MOBILE HOME PARK</t>
  </si>
  <si>
    <t>1345 BALTIMORE ST</t>
  </si>
  <si>
    <t>PO BOX 1217</t>
  </si>
  <si>
    <t>EL DORADO VILLAGE</t>
  </si>
  <si>
    <t>4050 OUTLOOK RD</t>
  </si>
  <si>
    <t>PO BOX 635</t>
  </si>
  <si>
    <t>OUTLOOK</t>
  </si>
  <si>
    <t>LITTLE LAKE MOBILE HOME PARK</t>
  </si>
  <si>
    <t>2528 342ND STREET CT S</t>
  </si>
  <si>
    <t>PO BOX 529</t>
  </si>
  <si>
    <t>MCKENNA</t>
  </si>
  <si>
    <t>MARINA MANOR</t>
  </si>
  <si>
    <t>1123 MARINA DR</t>
  </si>
  <si>
    <t>1004 ASHLEY WAY</t>
  </si>
  <si>
    <t>RONALD C SCHUTTIE MOBILE HOME PARK</t>
  </si>
  <si>
    <t>400 2ND ST W</t>
  </si>
  <si>
    <t>333 2ND ST W</t>
  </si>
  <si>
    <t>PO BOX 271</t>
  </si>
  <si>
    <t>15 CLOVER ISLAND DR</t>
  </si>
  <si>
    <t>PO BOX 7272</t>
  </si>
  <si>
    <t>PARKWEST MFGD. HOME COMMUNITY</t>
  </si>
  <si>
    <t>304 NW PARK WEST DR</t>
  </si>
  <si>
    <t>306 NW PARK WEST DR</t>
  </si>
  <si>
    <t>HILANDS MOBILE MANOR</t>
  </si>
  <si>
    <t>3612 NE 4TH ST</t>
  </si>
  <si>
    <t>PO BOX 12577</t>
  </si>
  <si>
    <t>TONYS 1</t>
  </si>
  <si>
    <t>6831 MARTIN WAY E</t>
  </si>
  <si>
    <t>2820 BENJAMIN CT SE</t>
  </si>
  <si>
    <t>TONYS II</t>
  </si>
  <si>
    <t>6845 MARTIN WAY E</t>
  </si>
  <si>
    <t>3 C'S MOBILE HOME PARK</t>
  </si>
  <si>
    <t>8809 STEILACOOM RD SE</t>
  </si>
  <si>
    <t>MOUNTAIN VALLEY MOBILE HOME PARK</t>
  </si>
  <si>
    <t>324 198TH STREET CT E</t>
  </si>
  <si>
    <t>SPANAWAY VILLAGE MOBILE HOME PARK</t>
  </si>
  <si>
    <t>1304 204TH ST E</t>
  </si>
  <si>
    <t>SCOTTY'S MOBILE HOME PARK</t>
  </si>
  <si>
    <t>4015 E ROWAN</t>
  </si>
  <si>
    <t>9907 N WOODRIDGE DR</t>
  </si>
  <si>
    <t>KEN'S MOBILE HOME PARK</t>
  </si>
  <si>
    <t>4328 E LONGFELLOW</t>
  </si>
  <si>
    <t>MILLER'S MOBILE PARK</t>
  </si>
  <si>
    <t>601 W RIDGE DR</t>
  </si>
  <si>
    <t>675 BAY VIEW DR</t>
  </si>
  <si>
    <t>BOULDER CITY</t>
  </si>
  <si>
    <t>TIMBERLANE MOBILE HOME PARK</t>
  </si>
  <si>
    <t>380 MINKLER RD</t>
  </si>
  <si>
    <t>4216 NW 118TH CIR</t>
  </si>
  <si>
    <t>ROCK GARDENS TRAILER PARK</t>
  </si>
  <si>
    <t>408 HWY 173</t>
  </si>
  <si>
    <t>O BOX 38</t>
  </si>
  <si>
    <t>BREWSTER</t>
  </si>
  <si>
    <t>J/C MOBILE HOME PARK</t>
  </si>
  <si>
    <t>1500 SHERIDAN AVE</t>
  </si>
  <si>
    <t>1324 N CLEVELAND ST</t>
  </si>
  <si>
    <t>GORDON W PENTECOST MOBILE HOME PARK</t>
  </si>
  <si>
    <t>542 MAIN ST</t>
  </si>
  <si>
    <t>205 KISER RD</t>
  </si>
  <si>
    <t>CLOVER CREEK ADDITION</t>
  </si>
  <si>
    <t>13925 1ST AVENUE CT E</t>
  </si>
  <si>
    <t>834 OLD SAMISH RD</t>
  </si>
  <si>
    <t>300 EL TOYONAL</t>
  </si>
  <si>
    <t>ORINDA</t>
  </si>
  <si>
    <t>HAMBROOK MOBILE HOME PARK</t>
  </si>
  <si>
    <t>5605 W METALINE AVE</t>
  </si>
  <si>
    <t>2902 W 46TH AVE</t>
  </si>
  <si>
    <t>JABY MOBILE HOME COURT</t>
  </si>
  <si>
    <t>901 S MONTESANO ST</t>
  </si>
  <si>
    <t>2542 1ST AVE W</t>
  </si>
  <si>
    <t>CAROLYN HARTILL MOBILE HOME PARK</t>
  </si>
  <si>
    <t>206 N RIDGE ST</t>
  </si>
  <si>
    <t>PO BOX 437</t>
  </si>
  <si>
    <t>4-U MOBILE HOME PARK</t>
  </si>
  <si>
    <t>214 HOLCOMB AVE</t>
  </si>
  <si>
    <t>PO BOX 789</t>
  </si>
  <si>
    <t>CLARKSON TWIN PINES MOBILE HOME PARK</t>
  </si>
  <si>
    <t>TWIN PINES PARK RD</t>
  </si>
  <si>
    <t>3 CLARKSON MILL RD</t>
  </si>
  <si>
    <t>CREEKSIDE SENIOR MOBILE HOME</t>
  </si>
  <si>
    <t>1057 COAL CREEK RD</t>
  </si>
  <si>
    <t>4048 NE FAIRVIEW LAKEWAY</t>
  </si>
  <si>
    <t>FAIRVIEW</t>
  </si>
  <si>
    <t>DRIFTWOOD MOBILE HOME PARK</t>
  </si>
  <si>
    <t>700 3RD AVE SW</t>
  </si>
  <si>
    <t>13TH AVE SW</t>
  </si>
  <si>
    <t>LONG HORN MOBILE HOME PARK</t>
  </si>
  <si>
    <t>216904 E SR 397</t>
  </si>
  <si>
    <t>216104 E SR 397</t>
  </si>
  <si>
    <t>WASANKARI MOBILE HOME PARK</t>
  </si>
  <si>
    <t>905 S FORKS AVE</t>
  </si>
  <si>
    <t>907 S FORKS AVE</t>
  </si>
  <si>
    <t>LEISURE HILL MOBILE HOME PARK</t>
  </si>
  <si>
    <t>LEISURE HILL DR</t>
  </si>
  <si>
    <t>PO BOX 402</t>
  </si>
  <si>
    <t>SUNSET HEIGHTS MOBILE HOME COURT</t>
  </si>
  <si>
    <t>2115 6TH AVE</t>
  </si>
  <si>
    <t>JUDY HANTS</t>
  </si>
  <si>
    <t>1190 W OLD KETTLE RD</t>
  </si>
  <si>
    <t>91323 SANDSTONE LN # 404</t>
  </si>
  <si>
    <t>COOS BAY</t>
  </si>
  <si>
    <t>WINKLEMAN HEIGHTS</t>
  </si>
  <si>
    <t>15 WINKLEMAN HEIGHTS LN</t>
  </si>
  <si>
    <t>3200 CAPITAL MALL DR SW #FF204</t>
  </si>
  <si>
    <t>LYLE MOBILE HOME PARK</t>
  </si>
  <si>
    <t>205 3RD ST</t>
  </si>
  <si>
    <t>LYLE</t>
  </si>
  <si>
    <t>807 JUNE ST</t>
  </si>
  <si>
    <t>HOOD RIVER</t>
  </si>
  <si>
    <t>GLEN OSBORNES MOBILE HOME PARK</t>
  </si>
  <si>
    <t>164 MOSSYROCK RD W</t>
  </si>
  <si>
    <t>PO BOX 378</t>
  </si>
  <si>
    <t>TERRACE COURT TRAILER PARK</t>
  </si>
  <si>
    <t>606 DIVISION ST</t>
  </si>
  <si>
    <t>804 E EDISON AVE</t>
  </si>
  <si>
    <t>WARDEN MOBILE HOME PARK</t>
  </si>
  <si>
    <t>311 W 2ND ST</t>
  </si>
  <si>
    <t>10144 WACO ST</t>
  </si>
  <si>
    <t>COMMERCE CITY</t>
  </si>
  <si>
    <t>CO</t>
  </si>
  <si>
    <t>3928 E LANE PARK RD</t>
  </si>
  <si>
    <t>14640 GAUANT FOX WAY</t>
  </si>
  <si>
    <t>CHERRY BLOSSOM ESTATES</t>
  </si>
  <si>
    <t>115 NIX LN</t>
  </si>
  <si>
    <t>PO BOX 1056</t>
  </si>
  <si>
    <t>SYRINGA HEIGHTS MOBILE HOME PARK</t>
  </si>
  <si>
    <t>26710 N YALE RD</t>
  </si>
  <si>
    <t>PO BOX 385</t>
  </si>
  <si>
    <t>FAIRFIELD ACRES MANUFACTURED HOME PARK</t>
  </si>
  <si>
    <t>227 US HWY 101</t>
  </si>
  <si>
    <t>23431 SE 192ND ST</t>
  </si>
  <si>
    <t>ROCKY POINT MOBILE HOME PARK</t>
  </si>
  <si>
    <t>2115 ROCKY POINT RD NW</t>
  </si>
  <si>
    <t>THE RIVER</t>
  </si>
  <si>
    <t>3611 I STREET NE</t>
  </si>
  <si>
    <t>POULSBO MOBILE HOME PARK</t>
  </si>
  <si>
    <t>1800 NE LINCOLN RD</t>
  </si>
  <si>
    <t>PO BOX 986</t>
  </si>
  <si>
    <t>TOLLEFSON'S MOBILE HOME PARK</t>
  </si>
  <si>
    <t>109 B &amp; O RD</t>
  </si>
  <si>
    <t>MALOTT</t>
  </si>
  <si>
    <t>PO BOX 53</t>
  </si>
  <si>
    <t>SPRING VALLEY MOBILE HOME PARK</t>
  </si>
  <si>
    <t>8323 PACIFIC HWY E</t>
  </si>
  <si>
    <t>LAZY ACRES MOBILE PARK</t>
  </si>
  <si>
    <t>3206 AHTANUM RD</t>
  </si>
  <si>
    <t>217 S 98TH AVE</t>
  </si>
  <si>
    <t>VESSEY PARK</t>
  </si>
  <si>
    <t>4 VESSEY LN</t>
  </si>
  <si>
    <t>JOHNSON'S TRAILER PARK</t>
  </si>
  <si>
    <t>18042 SARGENT RD SW</t>
  </si>
  <si>
    <t>7614 CREEKSIDE LN</t>
  </si>
  <si>
    <t>APPLE ALLEY TRAILER PARK</t>
  </si>
  <si>
    <t>100 APPLE ALLEY</t>
  </si>
  <si>
    <t>HATTON</t>
  </si>
  <si>
    <t>PO BOX 649</t>
  </si>
  <si>
    <t>BLUEBIRD TRAILER PARK</t>
  </si>
  <si>
    <t>101 S LANE ST</t>
  </si>
  <si>
    <t>BICKLETON</t>
  </si>
  <si>
    <t>LANE PARK VILLA</t>
  </si>
  <si>
    <t>4202 E LANE PARK RD</t>
  </si>
  <si>
    <t>NORMAN VILLA MOBILE HOME PARK</t>
  </si>
  <si>
    <t>1125 MCKITTRICK ST</t>
  </si>
  <si>
    <t>PO BOX 3041</t>
  </si>
  <si>
    <t>ORCHARD PARK MOBILE HOME PARK</t>
  </si>
  <si>
    <t>2306 N EASTERN RD</t>
  </si>
  <si>
    <t>1403 N GREENE ST STE 7</t>
  </si>
  <si>
    <t>WESTERN PLAZA MOBILE HOME PARK</t>
  </si>
  <si>
    <t>1841 TROSPER RD SW</t>
  </si>
  <si>
    <t>PO BOX 26368</t>
  </si>
  <si>
    <t>NORMANDY PARK</t>
  </si>
  <si>
    <t>EAGLE'S LANDING MOBILE HOME PARK</t>
  </si>
  <si>
    <t>2257 EAGLE LN SW</t>
  </si>
  <si>
    <t>974 MAHOGANY LN NW</t>
  </si>
  <si>
    <t>SILVERDALE</t>
  </si>
  <si>
    <t>MADRONA RIDGE MOBILE HOME PARK</t>
  </si>
  <si>
    <t>GOLDEN VILLA MOBILE HOME PARK</t>
  </si>
  <si>
    <t>18 W WASHINGTON AVE</t>
  </si>
  <si>
    <t>CHINOOK MOBILE COMMUNITY</t>
  </si>
  <si>
    <t>1724 W 45TH AVE</t>
  </si>
  <si>
    <t>CARLSBORG MOBILE ESTATES LLC</t>
  </si>
  <si>
    <t>491 MILL RD</t>
  </si>
  <si>
    <t>OAKS MOBILE AND RV PARK</t>
  </si>
  <si>
    <t>38308 LAKESHORE DR</t>
  </si>
  <si>
    <t>26218 NE GILLETTE RD</t>
  </si>
  <si>
    <t>YACOLT</t>
  </si>
  <si>
    <t>SMITH'S MOBILE HOME PARK</t>
  </si>
  <si>
    <t>1876 HWY 508</t>
  </si>
  <si>
    <t>PO BOX 277</t>
  </si>
  <si>
    <t>2802 BEAUDRY RD</t>
  </si>
  <si>
    <t>2115 SE SPRUCE AVE</t>
  </si>
  <si>
    <t>GRESHAM</t>
  </si>
  <si>
    <t>MAPLE STREET MOBILE HOME PARK</t>
  </si>
  <si>
    <t>1120 MAPLE ST</t>
  </si>
  <si>
    <t>2115 N ASHLAND</t>
  </si>
  <si>
    <t>CREEKSIDE MOBILE ESTATES</t>
  </si>
  <si>
    <t>5101 NE 121ST AVE UNIT 34</t>
  </si>
  <si>
    <t>QUIET MEADOWS MHC</t>
  </si>
  <si>
    <t>COMMONWEALTH REAL ESTATE</t>
  </si>
  <si>
    <t>SERVICES</t>
  </si>
  <si>
    <t>VIEWCREST MOBILE HOME PARK LLC</t>
  </si>
  <si>
    <t>1245 BRADLEY RD</t>
  </si>
  <si>
    <t>105 5TH ST STE 203</t>
  </si>
  <si>
    <t>NOOKSACK VALLEY MOBILE HOME PARK</t>
  </si>
  <si>
    <t>3352 E BADGER RD</t>
  </si>
  <si>
    <t>3354 E BADGER RD</t>
  </si>
  <si>
    <t>ROSEWOOD COMMUNITY</t>
  </si>
  <si>
    <t>1100 S ROSEWOOD DR</t>
  </si>
  <si>
    <t>109 BEAR CREEK LANE</t>
  </si>
  <si>
    <t>LAMBERT COURT</t>
  </si>
  <si>
    <t>1722 LAMBERT DR</t>
  </si>
  <si>
    <t>ATTN SHARON L BAKER</t>
  </si>
  <si>
    <t>1722 LAMBERT DR #1</t>
  </si>
  <si>
    <t>MOUNTAIN VIEW TRAILER COURT</t>
  </si>
  <si>
    <t>1230 HARRISON AVE</t>
  </si>
  <si>
    <t>314 BYRD ST</t>
  </si>
  <si>
    <t>CLEAR CREEK MOBILE PARK</t>
  </si>
  <si>
    <t>2958 NW MOUNTAIN VIEW RD</t>
  </si>
  <si>
    <t>17833 SUMMER AVE</t>
  </si>
  <si>
    <t>ARTESIA</t>
  </si>
  <si>
    <t>MAPLEWOOD MEADOWS</t>
  </si>
  <si>
    <t>8814 GILES RD</t>
  </si>
  <si>
    <t>EVERGREEN RETREAT</t>
  </si>
  <si>
    <t>2041 YEW STREET RD</t>
  </si>
  <si>
    <t>ESMERALDA NORTH MHP</t>
  </si>
  <si>
    <t>4004 E LONGFELLOW AVE</t>
  </si>
  <si>
    <t>1303 N ELLA RD</t>
  </si>
  <si>
    <t>PANORAMA MOBILE HOME PARK</t>
  </si>
  <si>
    <t>539 ORIN RICE RD</t>
  </si>
  <si>
    <t>WENLORE TRUST</t>
  </si>
  <si>
    <t>ATTN WENDELL JOHNSON</t>
  </si>
  <si>
    <t>COUNTRY CORNER</t>
  </si>
  <si>
    <t>17304 RD 9 NW</t>
  </si>
  <si>
    <t>PO BOX 2444</t>
  </si>
  <si>
    <t>BASIN ESTATES</t>
  </si>
  <si>
    <t>2480 BASIN ST SW</t>
  </si>
  <si>
    <t>ALPINE MOBILE PARK</t>
  </si>
  <si>
    <t>13119 17TH AVE W</t>
  </si>
  <si>
    <t>PO BOX 1294</t>
  </si>
  <si>
    <t>OAKRIDGE MANOR II FLP</t>
  </si>
  <si>
    <t>3823 233RD ST COURT E</t>
  </si>
  <si>
    <t>20912 90TH AVE CT E</t>
  </si>
  <si>
    <t>R &amp; TM MOBILE HOME PARK</t>
  </si>
  <si>
    <t>18721 BOONE AVE</t>
  </si>
  <si>
    <t>PO BOX 755</t>
  </si>
  <si>
    <t>RAINBOW TRAILER PARK</t>
  </si>
  <si>
    <t>13919 W 12TH ST</t>
  </si>
  <si>
    <t>PO BOX 18025</t>
  </si>
  <si>
    <t>PETERS COURT</t>
  </si>
  <si>
    <t>116 N LILAC AVE</t>
  </si>
  <si>
    <t>2948 E WALNUT ST</t>
  </si>
  <si>
    <t>EVERGREEN ACRES MOBILE HOME PARK</t>
  </si>
  <si>
    <t>21012 92ND AVE E</t>
  </si>
  <si>
    <t>21012 90TH AVENUE CT E</t>
  </si>
  <si>
    <t>YAKIMA TRAILER PARK</t>
  </si>
  <si>
    <t>715 TENNANT LN</t>
  </si>
  <si>
    <t>PO BOX 1091</t>
  </si>
  <si>
    <t>RIVER ROAD MOBILE HOME PARK</t>
  </si>
  <si>
    <t>502 HIGHWAY 7</t>
  </si>
  <si>
    <t>PO BOX 1680</t>
  </si>
  <si>
    <t>500 2ND ST</t>
  </si>
  <si>
    <t>630 VALLEY MALL PKWY #216</t>
  </si>
  <si>
    <t>TACOMA COUNTRY ESTATES MHC</t>
  </si>
  <si>
    <t>3116 36TH AVE</t>
  </si>
  <si>
    <t>SAMHC</t>
  </si>
  <si>
    <t>11408 242ND AVE CT E</t>
  </si>
  <si>
    <t>11505 243 RD AVE CT E</t>
  </si>
  <si>
    <t>TOTEM POLE MOBILE ESTATES</t>
  </si>
  <si>
    <t>3909 E FOURTH PLAIN BLVD</t>
  </si>
  <si>
    <t>SUNSET MOBILE HOME PARK</t>
  </si>
  <si>
    <t>2652 PULLMAN-ALBION RD</t>
  </si>
  <si>
    <t>10632 PARVIN RD</t>
  </si>
  <si>
    <t>PALOUSE</t>
  </si>
  <si>
    <t>AAA MOBILE HOME PARK</t>
  </si>
  <si>
    <t>2022 W BROADWAY AVE</t>
  </si>
  <si>
    <t>PO BOX 82762</t>
  </si>
  <si>
    <t>KITSAP LAKE MOBILE HOME PARK</t>
  </si>
  <si>
    <t>6201 PRICE RD NW</t>
  </si>
  <si>
    <t>1701 PRICE RD</t>
  </si>
  <si>
    <t>BLUE RIDGE MANUFACTURED HOME PARKS</t>
  </si>
  <si>
    <t>2815 E MELROSE ST</t>
  </si>
  <si>
    <t>1004 SOUTHVIEW DR</t>
  </si>
  <si>
    <t>A STREET WEST MANUFACTURED HOME PARK</t>
  </si>
  <si>
    <t>2525 W A ST</t>
  </si>
  <si>
    <t>PO BOX 2976</t>
  </si>
  <si>
    <t>MARTELL MANOR</t>
  </si>
  <si>
    <t>5673 BETHEL RD SE</t>
  </si>
  <si>
    <t>2311 N 45TH ST STE 111</t>
  </si>
  <si>
    <t>KARWAN MOBILE HOME COURT</t>
  </si>
  <si>
    <t>2621 84TH ST S</t>
  </si>
  <si>
    <t>638 S 298TH ST</t>
  </si>
  <si>
    <t>FAIRLANE TERRACE</t>
  </si>
  <si>
    <t>10606 18TH AVE S</t>
  </si>
  <si>
    <t>1314 B CENTER DR #426</t>
  </si>
  <si>
    <t>TRAILS WEST MOBILE HOME PARK</t>
  </si>
  <si>
    <t>100 VALLEY VIEW CT</t>
  </si>
  <si>
    <t>1702 BRYANT AVE</t>
  </si>
  <si>
    <t>PARKWOOD MANUFACTURED HOUSING COMMUNITY, LLC</t>
  </si>
  <si>
    <t>261520 HIGHWAY 101</t>
  </si>
  <si>
    <t>41 GREEN MEADOWS DR</t>
  </si>
  <si>
    <t>LAZY ACRES MHC, A COMMUNITY FOR PERSONS 55+</t>
  </si>
  <si>
    <t>9403 PIERCE LN</t>
  </si>
  <si>
    <t>868 ROSECRANS ST</t>
  </si>
  <si>
    <t>SAN DIEGO</t>
  </si>
  <si>
    <t>SONARY CREST MHC, LLC</t>
  </si>
  <si>
    <t>2015 6TH AVE</t>
  </si>
  <si>
    <t>DEER POINT MEADOWS INVESTMENTS</t>
  </si>
  <si>
    <t>10009 SE EVERGREEN HWY</t>
  </si>
  <si>
    <t>10818 NE COXLEY DR STE E</t>
  </si>
  <si>
    <t>RANCH MHP LLC</t>
  </si>
  <si>
    <t>1641 3RD AVE SE</t>
  </si>
  <si>
    <t>6204 8TH AVE NW</t>
  </si>
  <si>
    <t>SPANAPARK MOBILE HOME LODGE</t>
  </si>
  <si>
    <t>14411 PACIFIC AVE S</t>
  </si>
  <si>
    <t>PO BOX 44489</t>
  </si>
  <si>
    <t>KLAMATH COURT MHP</t>
  </si>
  <si>
    <t>812 W KLAMATH AVE</t>
  </si>
  <si>
    <t>1508 PROPERTIES, L.L.C.</t>
  </si>
  <si>
    <t>2500 SAMISH WAY</t>
  </si>
  <si>
    <t>PO BOX 30886</t>
  </si>
  <si>
    <t>12707 PIONEER WAY E</t>
  </si>
  <si>
    <t>MT. VIEW VILLA MHP</t>
  </si>
  <si>
    <t>21429 44TH AVE W</t>
  </si>
  <si>
    <t>PO BOX 4007</t>
  </si>
  <si>
    <t>SUBURBAN VILLA MOBILE HOME PARK</t>
  </si>
  <si>
    <t>1642 SW 114TH ST</t>
  </si>
  <si>
    <t>4701 SW ADMIRAL WAY # 202</t>
  </si>
  <si>
    <t>RESIDENT OWNED PARKS</t>
  </si>
  <si>
    <t>4414 BIRCH BAY LYNDEN RD</t>
  </si>
  <si>
    <t>7420 GREENHAVEN DR STE 125</t>
  </si>
  <si>
    <t>SACRAMENTO</t>
  </si>
  <si>
    <t>GOLDEN WEST ESTATES</t>
  </si>
  <si>
    <t>1425 JASPER ST</t>
  </si>
  <si>
    <t>304 S CONKLIN RD- OFC</t>
  </si>
  <si>
    <t>MILL CREEK PARK</t>
  </si>
  <si>
    <t>1331 W PINE ST</t>
  </si>
  <si>
    <t>3558 NOTTINGHAM DR</t>
  </si>
  <si>
    <t>3349 NOTTINGHAM DR</t>
  </si>
  <si>
    <t>SANDS MHP LLC</t>
  </si>
  <si>
    <t>1416 N 1ST AVE</t>
  </si>
  <si>
    <t>COOK FAMILY EAST</t>
  </si>
  <si>
    <t>915 N BOWMAN RD</t>
  </si>
  <si>
    <t>4035 OLD WESTBURY CT</t>
  </si>
  <si>
    <t>BOULDER</t>
  </si>
  <si>
    <t>PINE CREST MOBILE MANOR</t>
  </si>
  <si>
    <t>1617 S 108TH ST</t>
  </si>
  <si>
    <t>8206 BAIRD RD NE</t>
  </si>
  <si>
    <t>BROWN'S PARK</t>
  </si>
  <si>
    <t>344 MCCARVER RD</t>
  </si>
  <si>
    <t>263 HAWK RD</t>
  </si>
  <si>
    <t>MOUNTAIN MEADOWS COMMUNITY</t>
  </si>
  <si>
    <t>105 NOBLE FIR CIR</t>
  </si>
  <si>
    <t>FRANCIS COURT MOBILE HOME PARK</t>
  </si>
  <si>
    <t>3213 83RD ST S</t>
  </si>
  <si>
    <t>KNOLL MOBILE HOME PARK</t>
  </si>
  <si>
    <t>1106 NE 72ND ST</t>
  </si>
  <si>
    <t>6823 SW CANYON RD</t>
  </si>
  <si>
    <t>LAKE BOWMAN MOBILE HOME PARK</t>
  </si>
  <si>
    <t>19612 6TH STREET CT E</t>
  </si>
  <si>
    <t>PO BOX 264</t>
  </si>
  <si>
    <t>WHISPERING WINDS MOBILE HOME PARK</t>
  </si>
  <si>
    <t>2906 W 7TH AVE</t>
  </si>
  <si>
    <t>9220 SW BARBUR BLVD # 119-287</t>
  </si>
  <si>
    <t>SUNDANCE MOBILE HOME PARK</t>
  </si>
  <si>
    <t>925 N ELM AVE</t>
  </si>
  <si>
    <t>ALPINE MHC</t>
  </si>
  <si>
    <t>7300 32ND AVE NE</t>
  </si>
  <si>
    <t>LAKEPOINTE MOBILE HOME PARK</t>
  </si>
  <si>
    <t>936 S DIVISION ST</t>
  </si>
  <si>
    <t>6003 38TH AVE NE</t>
  </si>
  <si>
    <t>FORESTVIEW SENIOR COMMUNITY, LLC</t>
  </si>
  <si>
    <t>FOREST VIEW</t>
  </si>
  <si>
    <t>KENNARD MOBILE ESTATES</t>
  </si>
  <si>
    <t>2200 196TH ST SE</t>
  </si>
  <si>
    <t>1441 W BAY DR NW STE 102</t>
  </si>
  <si>
    <t>MAPLE LANE MOBILE ESTATES</t>
  </si>
  <si>
    <t>920 MAPLE LN</t>
  </si>
  <si>
    <t>11003 VILLA MONTE DR</t>
  </si>
  <si>
    <t>MEADOW PARK MOBILE HOME COURT</t>
  </si>
  <si>
    <t>23953 RD J SW</t>
  </si>
  <si>
    <t>23367 RD J SW</t>
  </si>
  <si>
    <t>STRATFORD TRAILER PARK</t>
  </si>
  <si>
    <t>9779 HARRIS RD NE</t>
  </si>
  <si>
    <t>3924 EVANS LN NE</t>
  </si>
  <si>
    <t>SEACOMA MOBILE HOME PARK</t>
  </si>
  <si>
    <t>1831 S 268TH ST</t>
  </si>
  <si>
    <t>DOGWOOD MHP</t>
  </si>
  <si>
    <t>13201 NE 44TH ST</t>
  </si>
  <si>
    <t>LONE PINE MHP</t>
  </si>
  <si>
    <t>8403 NE ST JOHNS RD</t>
  </si>
  <si>
    <t>SADDLEVIEW MHC</t>
  </si>
  <si>
    <t>1611 S METHOW ST</t>
  </si>
  <si>
    <t>PO BOX 25472</t>
  </si>
  <si>
    <t>SCENIC HILLS TRAILER PARK</t>
  </si>
  <si>
    <t>1505 ELM ST</t>
  </si>
  <si>
    <t>601 3RD ST # 426</t>
  </si>
  <si>
    <t>FERNDALE ESTATES</t>
  </si>
  <si>
    <t>2350 DOUGLAS RD</t>
  </si>
  <si>
    <t>650 CLARK AVE E</t>
  </si>
  <si>
    <t>2020 CENTER RD</t>
  </si>
  <si>
    <t>WEST BAY PARK RESORT</t>
  </si>
  <si>
    <t>3800 W BAY RD</t>
  </si>
  <si>
    <t>645 PACHECO BLVD</t>
  </si>
  <si>
    <t>LOS BANOS</t>
  </si>
  <si>
    <t>CHATTAROY VALLEY ESTATES</t>
  </si>
  <si>
    <t>3110 E CHATTAROY RD</t>
  </si>
  <si>
    <t>FROST ROAD PARK</t>
  </si>
  <si>
    <t>762 FROST RD</t>
  </si>
  <si>
    <t>1009 NW 199TH ST</t>
  </si>
  <si>
    <t>LINKSHIRE CENTER, LLC</t>
  </si>
  <si>
    <t>5609 OLY HWY</t>
  </si>
  <si>
    <t>TOTEM MHC LLC</t>
  </si>
  <si>
    <t>5615 BLACK LAKE BELMORE RD SW</t>
  </si>
  <si>
    <t>MAPLEWOOD MOBILE HOME PARK</t>
  </si>
  <si>
    <t>2625 W MAPLEWOOD AVE</t>
  </si>
  <si>
    <t>2610 CEDARWOOD AVE</t>
  </si>
  <si>
    <t>SKYLARK VILLAGE I</t>
  </si>
  <si>
    <t>900 29TH ST SE</t>
  </si>
  <si>
    <t>SKYLARK VILLAGE II</t>
  </si>
  <si>
    <t>3105 M ST SE</t>
  </si>
  <si>
    <t>POMEROY BLUE MOUNTAIN RV PARK</t>
  </si>
  <si>
    <t>2180 COLUMBIA ST</t>
  </si>
  <si>
    <t>POMEROY</t>
  </si>
  <si>
    <t>GARFIELD</t>
  </si>
  <si>
    <t>41 STARLIGHT DR</t>
  </si>
  <si>
    <t>GREENCASTLE</t>
  </si>
  <si>
    <t>PA</t>
  </si>
  <si>
    <t>CASCADE MOBILE VILLA LLC / CASCADE MOBILE VILLA</t>
  </si>
  <si>
    <t>15232 SE 272ND ST</t>
  </si>
  <si>
    <t>COLUMBIA DRIVE MOBILE HOME PARK, LLC</t>
  </si>
  <si>
    <t>217 E COLUMBIA DR</t>
  </si>
  <si>
    <t>1409 WOODBURY ST</t>
  </si>
  <si>
    <t>CENTRAL ESTATES, INC</t>
  </si>
  <si>
    <t>5820 E 4TH AVE</t>
  </si>
  <si>
    <t>MELODY PINES MOBILE ESTATES, LLC</t>
  </si>
  <si>
    <t>9011 OLD HIGHWAY 99 SE</t>
  </si>
  <si>
    <t>PO BOX 5184</t>
  </si>
  <si>
    <t>THE KUNSELMAN FARM, LLC</t>
  </si>
  <si>
    <t>22027 OLD HIGHWAY 99 SW</t>
  </si>
  <si>
    <t>33008 176TH AVE SE</t>
  </si>
  <si>
    <t>COLUMBIA NORTH MOBILE HOME PARK</t>
  </si>
  <si>
    <t>14204 NE 10TH AVE</t>
  </si>
  <si>
    <t>16209 QUEMADA RD</t>
  </si>
  <si>
    <t>ENCINO</t>
  </si>
  <si>
    <t>MCMILLIN MEADOWS MOBILE HOME PARK</t>
  </si>
  <si>
    <t>16201 E INDIANA AVE STE 2600</t>
  </si>
  <si>
    <t>PO BOX 13115</t>
  </si>
  <si>
    <t>LITTLE MOUNTAIN ESTATES MHC, LLC</t>
  </si>
  <si>
    <t>2610 E SECTION ST UNIT 47</t>
  </si>
  <si>
    <t>ERLAND POINT MHP, LLC</t>
  </si>
  <si>
    <t>2800 ERLANDS POINT RD NW</t>
  </si>
  <si>
    <t>MARTIN'S MOBILE LLC</t>
  </si>
  <si>
    <t>7018 180TH AVE NE</t>
  </si>
  <si>
    <t>PO BOX 15546</t>
  </si>
  <si>
    <t>SHADY GLEN LLC</t>
  </si>
  <si>
    <t>4620 164TH ST SW</t>
  </si>
  <si>
    <t>SWIFTWATER TRAILER PARK, LLC</t>
  </si>
  <si>
    <t>1020 MCDONALD RD</t>
  </si>
  <si>
    <t>COUNTRY MEADOWS ESTATES</t>
  </si>
  <si>
    <t>ONE HAWKEYE PARK</t>
  </si>
  <si>
    <t>4640 S DISCOVERY RD</t>
  </si>
  <si>
    <t>HIDEAWAY HOMES, L.L.C</t>
  </si>
  <si>
    <t>ARJAY MOBILE HOME PARK</t>
  </si>
  <si>
    <t>19221 E BUCKEYE</t>
  </si>
  <si>
    <t>KOOTENAI</t>
  </si>
  <si>
    <t>MOON LAKE, LLC DBA TIMBERLANE MOBILE ESTATES</t>
  </si>
  <si>
    <t>4707 BLACK LAKE BELMORE RD SW</t>
  </si>
  <si>
    <t>COLONIAL ESTATES, LLC</t>
  </si>
  <si>
    <t>3601 18TH AVE SE</t>
  </si>
  <si>
    <t>SKYLINE ESTATES, LLC</t>
  </si>
  <si>
    <t>COUNTRY PROPERTIES LLC</t>
  </si>
  <si>
    <t>FAITHFUL WELL VILLAGE</t>
  </si>
  <si>
    <t>1523 LILLY RD NE</t>
  </si>
  <si>
    <t>369 LAKE LOUISE AVE SW</t>
  </si>
  <si>
    <t>BROOKHOLLOW MHC, LLC</t>
  </si>
  <si>
    <t>2500 ALLEN ST</t>
  </si>
  <si>
    <t>PORTAL WAY MOBILE VILLAGE</t>
  </si>
  <si>
    <t>1870 TRIGG RD</t>
  </si>
  <si>
    <t>1730 LABOUNTY DR STE 3-328</t>
  </si>
  <si>
    <t>YOUNG'S MOBILE HOME PARK</t>
  </si>
  <si>
    <t>24222 54TH AVE W</t>
  </si>
  <si>
    <t>2146 SOUNDVIEW DR</t>
  </si>
  <si>
    <t>CAMANO ISLAND</t>
  </si>
  <si>
    <t>CPT. RON'S</t>
  </si>
  <si>
    <t>6993 U RD</t>
  </si>
  <si>
    <t>4814 RD W SE</t>
  </si>
  <si>
    <t>WOODLAND ESTATES MHP LLC</t>
  </si>
  <si>
    <t>18921 74TH AVE E</t>
  </si>
  <si>
    <t>C/O DAVID MELMAN</t>
  </si>
  <si>
    <t>2847 AVENIDA VALERA</t>
  </si>
  <si>
    <t>CARLSBAD</t>
  </si>
  <si>
    <t>WHITE RIVER ESTATES</t>
  </si>
  <si>
    <t>4248 A ST SE</t>
  </si>
  <si>
    <t>MCLAUGHLIN 4TH STREET ESTATES, L.L.C.</t>
  </si>
  <si>
    <t>11100 4TH AVE W</t>
  </si>
  <si>
    <t>733 LAKEWOOD RD</t>
  </si>
  <si>
    <t>KAPOWSIN COUNTRY PARK LLC</t>
  </si>
  <si>
    <t>30114 ORVILLE RD E</t>
  </si>
  <si>
    <t>413 STATE ROUTE 702 E</t>
  </si>
  <si>
    <t>CHERRY HILL ESTATES HKN, LLC</t>
  </si>
  <si>
    <t>212 OLD OWEN RD</t>
  </si>
  <si>
    <t>PO BOX 625</t>
  </si>
  <si>
    <t>MARINER VILLAGE PARK, LLC</t>
  </si>
  <si>
    <t>815 124TH ST SW</t>
  </si>
  <si>
    <t>SUMMIT PROPERTIES CASTLEVALE, LLC</t>
  </si>
  <si>
    <t>1304 BABS AVE</t>
  </si>
  <si>
    <t>3001 RIVERBEND DR</t>
  </si>
  <si>
    <t>WESTVIEW ESTATES MHP LLC</t>
  </si>
  <si>
    <t>704 87TH AVE NE</t>
  </si>
  <si>
    <t>C/O WEST COAST MHP</t>
  </si>
  <si>
    <t>VIP RIDGE ACRES, LLC</t>
  </si>
  <si>
    <t>23121 EDMONDS WAY</t>
  </si>
  <si>
    <t>BAY RIDGE ESTATES</t>
  </si>
  <si>
    <t>18607 W WILLIAMS LAKE RD</t>
  </si>
  <si>
    <t>BROOKSIDE RESIDENTIAL, LLC</t>
  </si>
  <si>
    <t>1800 SUNSET HWY</t>
  </si>
  <si>
    <t>1920 5TH ST</t>
  </si>
  <si>
    <t>BROOKSIDE RESIDENTIAL LLC</t>
  </si>
  <si>
    <t>2330 YAKIMA VALLEY HWY</t>
  </si>
  <si>
    <t>2335 EAST EDISON</t>
  </si>
  <si>
    <t>RICHLAND MHP, LP</t>
  </si>
  <si>
    <t>35 APOLLO BLVD</t>
  </si>
  <si>
    <t>210-1571 BELLEVUE AVE</t>
  </si>
  <si>
    <t>WEST VANCOUVER BC V7V 1A6</t>
  </si>
  <si>
    <t>BASIN PROPERTIES-SPORTSMAN, LLC</t>
  </si>
  <si>
    <t>370 S REYNOLDS</t>
  </si>
  <si>
    <t>UPPER LAKE SHORE MOBILE HOME PARK</t>
  </si>
  <si>
    <t>1903 W MARINA DR</t>
  </si>
  <si>
    <t>2900 W BROADWAY</t>
  </si>
  <si>
    <t>HILLCREST MHP</t>
  </si>
  <si>
    <t>905 W CASCADE CT UNIT 100</t>
  </si>
  <si>
    <t>TURTLE TOWN TWO LLC</t>
  </si>
  <si>
    <t>2564 SPARKS RD</t>
  </si>
  <si>
    <t>EASTON</t>
  </si>
  <si>
    <t>SUNRISE ESTATES MHP</t>
  </si>
  <si>
    <t>2201 BASIN ST SW</t>
  </si>
  <si>
    <t>VEKOMMEN MOBILE HOME PARK</t>
  </si>
  <si>
    <t>2535 70TH AVE SW</t>
  </si>
  <si>
    <t>KELLY ESTATES ONE</t>
  </si>
  <si>
    <t>218406 E SR 397</t>
  </si>
  <si>
    <t>WEST WIND MOBILE HOME PARK</t>
  </si>
  <si>
    <t>9890 HWY 12</t>
  </si>
  <si>
    <t>NACHES</t>
  </si>
  <si>
    <t>2121 6TH AVE APT S419</t>
  </si>
  <si>
    <t>NACHES MOBILE COURT</t>
  </si>
  <si>
    <t>401 MOXEE AVE</t>
  </si>
  <si>
    <t>WOODLAND LAKE</t>
  </si>
  <si>
    <t>2008 N 1ST ST</t>
  </si>
  <si>
    <t>6 S 2ND ST STE 415</t>
  </si>
  <si>
    <t>DAN ELE'S MOBILE HOME COURT</t>
  </si>
  <si>
    <t>2322 TACOMA RD E</t>
  </si>
  <si>
    <t>2944 S FRANCINE LN</t>
  </si>
  <si>
    <t>MERIDIAN</t>
  </si>
  <si>
    <t>SEATTLE HEIGHTS MOBILE HOME PARK</t>
  </si>
  <si>
    <t>20810 HIGHWAY 99 OFC</t>
  </si>
  <si>
    <t>EXIT 276, LLC</t>
  </si>
  <si>
    <t>3809 S GEIGER BLVD</t>
  </si>
  <si>
    <t>PO BOX 19226</t>
  </si>
  <si>
    <t>PLEASANT VIEW MHC, LLC</t>
  </si>
  <si>
    <t>22105 E WELLESLEY</t>
  </si>
  <si>
    <t>NORTH LAKE RV PARK AND CAMPGROUND</t>
  </si>
  <si>
    <t>20 ROOSEVELT RD</t>
  </si>
  <si>
    <t>PO BOX 964</t>
  </si>
  <si>
    <t>LAKE LAWRENCE MOBILE HOME PARK, LLC</t>
  </si>
  <si>
    <t>17114 153RD AVE SE TRLR 17</t>
  </si>
  <si>
    <t>13618 165TH ST E</t>
  </si>
  <si>
    <t>AMERICANA MHP-MINI STORAGE</t>
  </si>
  <si>
    <t>102 SALAL WAY</t>
  </si>
  <si>
    <t>INDIAN CANYON MOBILE HOME PARK</t>
  </si>
  <si>
    <t>3803 W GREENWOOD RD</t>
  </si>
  <si>
    <t>INGLEWOOD EAST SHORES</t>
  </si>
  <si>
    <t>7301 NE 175TH ST</t>
  </si>
  <si>
    <t>VALLEY VIEW</t>
  </si>
  <si>
    <t>700 N REED ST</t>
  </si>
  <si>
    <t>APPLEWAY PARK ESTATES</t>
  </si>
  <si>
    <t>205 S PARK RD</t>
  </si>
  <si>
    <t>7720 192ND PL NE</t>
  </si>
  <si>
    <t>GREENWOOD MHC, LLC</t>
  </si>
  <si>
    <t>238TH S MERIDIAN</t>
  </si>
  <si>
    <t>OAK ACRE ESTATES</t>
  </si>
  <si>
    <t>SUMMIT GLEN MANOR</t>
  </si>
  <si>
    <t>6722 94TH ST E</t>
  </si>
  <si>
    <t>1718 18TH ST PLC SE</t>
  </si>
  <si>
    <t>DRYDEN INDEPENDENT PLAZA &amp; RV</t>
  </si>
  <si>
    <t>8650 FRONTAGE RD</t>
  </si>
  <si>
    <t>DRYDEN</t>
  </si>
  <si>
    <t>2105 CHIWAWA CT</t>
  </si>
  <si>
    <t>PINE GROVE ESTATES</t>
  </si>
  <si>
    <t>TOWN &amp; COUNTRY ESTATES</t>
  </si>
  <si>
    <t>2205 S 18TH ST</t>
  </si>
  <si>
    <t>VOLLAND ESTATES</t>
  </si>
  <si>
    <t>706 N VOLLAND ST</t>
  </si>
  <si>
    <t>PO BOX 4413</t>
  </si>
  <si>
    <t>CEDAR SPRINGS</t>
  </si>
  <si>
    <t>6420 OLD PACIFIC HWY S</t>
  </si>
  <si>
    <t>6100 NE HIGHWAY 99</t>
  </si>
  <si>
    <t>SOUTH BEND RV PARK</t>
  </si>
  <si>
    <t>524 CENTRAL ST</t>
  </si>
  <si>
    <t>PO BOX 14294</t>
  </si>
  <si>
    <t>L&amp;M MOBILE COURT</t>
  </si>
  <si>
    <t>102 E CALIFORNIA ST</t>
  </si>
  <si>
    <t>2121 6TH AVE S 419</t>
  </si>
  <si>
    <t>MCDONALD MHP, LLC</t>
  </si>
  <si>
    <t>4105 N MCDONALD RD</t>
  </si>
  <si>
    <t>1301 W WHITE RD</t>
  </si>
  <si>
    <t>NOMAD COMMUNITY, LLC</t>
  </si>
  <si>
    <t>10505 NE 53RD AVE</t>
  </si>
  <si>
    <t>1314B CENTER DR # 426</t>
  </si>
  <si>
    <t>COUNTRY LANE MHC, LLC</t>
  </si>
  <si>
    <t>104 MADISON AVE E</t>
  </si>
  <si>
    <t>COUNTRY CABINS AND MOBILE PARK, LLC</t>
  </si>
  <si>
    <t>3601 SELFS RD</t>
  </si>
  <si>
    <t>11470 FREUND CANYON RD</t>
  </si>
  <si>
    <t>HIGHLINE PARK</t>
  </si>
  <si>
    <t>31813 21ST AVE SW</t>
  </si>
  <si>
    <t>PO BOX 48301</t>
  </si>
  <si>
    <t>ANWEILER, LLP</t>
  </si>
  <si>
    <t>23254 HIGHWAY 20</t>
  </si>
  <si>
    <t>PO BOX 1787</t>
  </si>
  <si>
    <t>PENFOLD ESTATES, LLC</t>
  </si>
  <si>
    <t>1199 NEW PENFOLD CT</t>
  </si>
  <si>
    <t>19518 BING RD</t>
  </si>
  <si>
    <t>CRYSTAL VISTA MHP, LLC</t>
  </si>
  <si>
    <t>111 99TH ST S</t>
  </si>
  <si>
    <t>CRYSTAL SPRINGS MHP, LLC</t>
  </si>
  <si>
    <t>15708 ELM ST E</t>
  </si>
  <si>
    <t>SANDY POINT MOBILE HOME PARK, LLC</t>
  </si>
  <si>
    <t>5943 RD J SE</t>
  </si>
  <si>
    <t>ATTN: DAVID &amp; PATSY MURRAY</t>
  </si>
  <si>
    <t>DETRAY'S PARK, LLC</t>
  </si>
  <si>
    <t>SILVER SHORES MHP, LLC</t>
  </si>
  <si>
    <t>11622 SILVER LAKE RD</t>
  </si>
  <si>
    <t>RIVERSIDE ESTATES</t>
  </si>
  <si>
    <t>755 K ST</t>
  </si>
  <si>
    <t>PO BOX 41</t>
  </si>
  <si>
    <t>SUROCK MOBILE HOME PARK</t>
  </si>
  <si>
    <t>30 SUN ROCK DR</t>
  </si>
  <si>
    <t>BRINNON</t>
  </si>
  <si>
    <t>PO BOX 671</t>
  </si>
  <si>
    <t>KENMORE VILLAGE MHP, LLC</t>
  </si>
  <si>
    <t>7614 NE BOTHELL WAY</t>
  </si>
  <si>
    <t>PO BOX 60185</t>
  </si>
  <si>
    <t>NORTH PEARL MOBILE HOME PARK LLC</t>
  </si>
  <si>
    <t>2515 N PEARL ST</t>
  </si>
  <si>
    <t>1825 GRAY LYNN DR</t>
  </si>
  <si>
    <t>WILDWOOD PARK</t>
  </si>
  <si>
    <t>11753 ST RR 105</t>
  </si>
  <si>
    <t>4145 LORNA CT SE</t>
  </si>
  <si>
    <t>LAZY WHEELS MOBILE HOME PARK</t>
  </si>
  <si>
    <t>10515 WOODINVILLE DR</t>
  </si>
  <si>
    <t>PO BOX 13315</t>
  </si>
  <si>
    <t>WEST VALLEY PLACE MHP, LLC</t>
  </si>
  <si>
    <t>0955961 B.C. LTD.</t>
  </si>
  <si>
    <t>7186 FARIS RD</t>
  </si>
  <si>
    <t>8738 166B ST</t>
  </si>
  <si>
    <t>SURREY BC V4N 5B2</t>
  </si>
  <si>
    <t>SCANDIALAND LLC</t>
  </si>
  <si>
    <t>2829 RUCKER AVE</t>
  </si>
  <si>
    <t>PO BOX 851</t>
  </si>
  <si>
    <t>MAPLE LEAF VILLAGE</t>
  </si>
  <si>
    <t>4621 EAST ST TRLR 9</t>
  </si>
  <si>
    <t>INDIAN CREEK PARK</t>
  </si>
  <si>
    <t>64 LAKE ALDWELL RD</t>
  </si>
  <si>
    <t>SOUTHTOWN MOBILE RANCH, LLC</t>
  </si>
  <si>
    <t>1060 S MAIN ST</t>
  </si>
  <si>
    <t>5711 E NANCY LN</t>
  </si>
  <si>
    <t>WAGON WHEEL COURT, LLC</t>
  </si>
  <si>
    <t>1010 DOUGLAS AVE</t>
  </si>
  <si>
    <t>PO BOX 1165</t>
  </si>
  <si>
    <t>CASCADE MOBILE PARK LLC</t>
  </si>
  <si>
    <t>4306 186TH ST SW</t>
  </si>
  <si>
    <t>SOAP LAKE MOBILE HOME COURT</t>
  </si>
  <si>
    <t>510 5TH AVE SE</t>
  </si>
  <si>
    <t>PO BOX 312</t>
  </si>
  <si>
    <t>CIRCLE J MOBILE HOME PARK</t>
  </si>
  <si>
    <t>7800 E ALKI AVE</t>
  </si>
  <si>
    <t>1001 E SHERMAN AVE</t>
  </si>
  <si>
    <t>DELPHI MHC, LLC</t>
  </si>
  <si>
    <t>10324 DELPHI RD SW</t>
  </si>
  <si>
    <t>2120 STATE AVE NE STE 101</t>
  </si>
  <si>
    <t>PACE MANOR INVESTMENTS LLC.</t>
  </si>
  <si>
    <t>4243 APRIL DR</t>
  </si>
  <si>
    <t>HANSON MH COMMUNITY</t>
  </si>
  <si>
    <t>1615 SCHEUBER RD N</t>
  </si>
  <si>
    <t>PO BOX 69</t>
  </si>
  <si>
    <t>6688 NORTHWEST DRIVE MOBILE HOME PARK</t>
  </si>
  <si>
    <t>536 W HEMMI RD</t>
  </si>
  <si>
    <t>100 228TH ST SE</t>
  </si>
  <si>
    <t>RIVERVIEW MOBILE HOME AND RV COURT</t>
  </si>
  <si>
    <t>305 W 4TH ST</t>
  </si>
  <si>
    <t>ROYAL COACHMAN MOBILE HOME PARK, LLC</t>
  </si>
  <si>
    <t>133 CATALPA AVE NE</t>
  </si>
  <si>
    <t>MOORE'S MOBILE MANOR</t>
  </si>
  <si>
    <t>6411 STATE RT 20</t>
  </si>
  <si>
    <t>7112 SE LEGRAND ST</t>
  </si>
  <si>
    <t>ROLL-IN MOBILE HOME PARK</t>
  </si>
  <si>
    <t>43 ROLL INN PARK DR</t>
  </si>
  <si>
    <t>OLIA MEADOWS</t>
  </si>
  <si>
    <t>1212 S GROVE RD</t>
  </si>
  <si>
    <t>2121 SOUTH D</t>
  </si>
  <si>
    <t>PANTERA NUEVOS, LLC</t>
  </si>
  <si>
    <t>11329 SE 208TH ST</t>
  </si>
  <si>
    <t>PANTERA NUEVOS</t>
  </si>
  <si>
    <t>EASY ACRES MOBILE HOME VILLAGE LLC</t>
  </si>
  <si>
    <t>4911 N FLORIDA ST</t>
  </si>
  <si>
    <t>62855 WAUGH RD</t>
  </si>
  <si>
    <t>BEND</t>
  </si>
  <si>
    <t>COUNTRY CLUB SENIOR MOBILE PARK</t>
  </si>
  <si>
    <t>23708 LOCUST WAY</t>
  </si>
  <si>
    <t>VALLEY BREEZE MHP</t>
  </si>
  <si>
    <t>6300 E 2ND AVE</t>
  </si>
  <si>
    <t>PO BOX 2087</t>
  </si>
  <si>
    <t>CATHLAMET CHEVRON AND RV PARK</t>
  </si>
  <si>
    <t>266 E STATE RT 4</t>
  </si>
  <si>
    <t>PO BOX 266</t>
  </si>
  <si>
    <t>CVP LLC</t>
  </si>
  <si>
    <t>5810 FLEMING ST</t>
  </si>
  <si>
    <t>PINE STREET MOBILE COURT</t>
  </si>
  <si>
    <t>1131 PINE ST</t>
  </si>
  <si>
    <t>24224 47TH AVE NE</t>
  </si>
  <si>
    <t>WEST PRAIRIE VILLAGE MHP, LLC</t>
  </si>
  <si>
    <t>2201 N CRAIG RD</t>
  </si>
  <si>
    <t>SUNRISE VISTA MHP, LLC</t>
  </si>
  <si>
    <t>1502 W YELM AVE TRLR 12</t>
  </si>
  <si>
    <t>JAWBONE FLATS RV PARK</t>
  </si>
  <si>
    <t>1325 LIBBY ST TRLR 5</t>
  </si>
  <si>
    <t>SHADY HILLS ESTATES TTP, LLC</t>
  </si>
  <si>
    <t>30901 116TH AVE SE</t>
  </si>
  <si>
    <t>614 TIMBER CREEK DR NW</t>
  </si>
  <si>
    <t>ELMA MOBILE PARK LLC</t>
  </si>
  <si>
    <t>94 SCHOUWEILER RD</t>
  </si>
  <si>
    <t>TIMBERLAND MHP LLC</t>
  </si>
  <si>
    <t>1050 HOWARD ST</t>
  </si>
  <si>
    <t>MOBILE SQUARE, LLC</t>
  </si>
  <si>
    <t>310 N MAIN ST</t>
  </si>
  <si>
    <t>PO BOX 996</t>
  </si>
  <si>
    <t>LAKE WASHINGTON BEACH, LLC</t>
  </si>
  <si>
    <t>11326 RAINIER AVE S OFC</t>
  </si>
  <si>
    <t>TELL PROPERTIES LLC</t>
  </si>
  <si>
    <t>337 ALADDIN RD</t>
  </si>
  <si>
    <t>PO BOX 9004</t>
  </si>
  <si>
    <t>PARKWOOD MHP LLC</t>
  </si>
  <si>
    <t>700 NW CROSBY AVE</t>
  </si>
  <si>
    <t>GROVE TERRACE MOBILE HOME PARK TWO, LLC</t>
  </si>
  <si>
    <t>9998 MAPLE DR NE</t>
  </si>
  <si>
    <t>ATTN: BRYAN FIJOLEK</t>
  </si>
  <si>
    <t>6940 MARTIN WAY E</t>
  </si>
  <si>
    <t>MOUNT TACOMA, LLC</t>
  </si>
  <si>
    <t>4301 S PINE ST STE 140</t>
  </si>
  <si>
    <t>DASCH INC</t>
  </si>
  <si>
    <t>930 TROSPER RD SW # 13700</t>
  </si>
  <si>
    <t>1148 ALPINE RD STE 100</t>
  </si>
  <si>
    <t>CLK PROPERTIES, LLC</t>
  </si>
  <si>
    <t>220 EAST N ST</t>
  </si>
  <si>
    <t>3233 168TH PL SE</t>
  </si>
  <si>
    <t>FRUITLAND GARDEN MOBILE HOME ADULT PARK LLC</t>
  </si>
  <si>
    <t>6204 155TH ST E</t>
  </si>
  <si>
    <t>HALF MOON BAY</t>
  </si>
  <si>
    <t>SCRANO MOBILE HOME PARK</t>
  </si>
  <si>
    <t>8610 E HARRINGTON AVE</t>
  </si>
  <si>
    <t>3501 BATTLEFIELD COVER</t>
  </si>
  <si>
    <t>CORINTH</t>
  </si>
  <si>
    <t>MS</t>
  </si>
  <si>
    <t>VIETZKE VILLAGE</t>
  </si>
  <si>
    <t>2011 S CRAIG RD</t>
  </si>
  <si>
    <t>VISTA VILLAGE MOBILE COMMUNITY</t>
  </si>
  <si>
    <t>157 ALLMAN RD</t>
  </si>
  <si>
    <t>JAMBO TRADING LLC</t>
  </si>
  <si>
    <t>15415 73RD STREET CT E</t>
  </si>
  <si>
    <t>4004 NE 4TH ST STE 107-375</t>
  </si>
  <si>
    <t>RAINIER MH PARKS LLC</t>
  </si>
  <si>
    <t>1918 8TH AVE STE 3400</t>
  </si>
  <si>
    <t>1700 7TH AVE STE 116 PMB 264</t>
  </si>
  <si>
    <t>SEA BREEZE PARK</t>
  </si>
  <si>
    <t>545 HENDRICKS ST</t>
  </si>
  <si>
    <t>12334 NORTHUP WAY STE C</t>
  </si>
  <si>
    <t>RIVERSIDE VILLA MOBILE HOME PARK, LLC</t>
  </si>
  <si>
    <t>7114 RIVER RD E</t>
  </si>
  <si>
    <t>C/O J.C. HIGGINS &amp; ASSOCIATE</t>
  </si>
  <si>
    <t>PO BOX 731029</t>
  </si>
  <si>
    <t>ROCK CUT RV PARK AND CAMPGROUND</t>
  </si>
  <si>
    <t>26430 HIGHWAY 395 N</t>
  </si>
  <si>
    <t>KINGSTON RV</t>
  </si>
  <si>
    <t>6205 NE HWY 104</t>
  </si>
  <si>
    <t>PO BOX 896</t>
  </si>
  <si>
    <t>SUQUAMISH</t>
  </si>
  <si>
    <t>MOUNTAIN ROAD MOBILE HOME PARK</t>
  </si>
  <si>
    <t>262 MOSSYROCK RD W</t>
  </si>
  <si>
    <t>15174 S LAV CT</t>
  </si>
  <si>
    <t>CARRIAGE ESTATES MH 55 + LLC</t>
  </si>
  <si>
    <t>24531 STATE ROUTE 20</t>
  </si>
  <si>
    <t>PO BOX 1774</t>
  </si>
  <si>
    <t>HOLLY DRIVE TRAILER PARK, LLC</t>
  </si>
  <si>
    <t>10830 HOLLY DR</t>
  </si>
  <si>
    <t>9657 RICHMOND ST</t>
  </si>
  <si>
    <t>MANASSAS</t>
  </si>
  <si>
    <t>VA</t>
  </si>
  <si>
    <t>SHADY REST MOBILE HOME PARK</t>
  </si>
  <si>
    <t>214 E GRAND AVE</t>
  </si>
  <si>
    <t>523 WETZEL ST</t>
  </si>
  <si>
    <t>BEAR VALLEY INVESTMENTS LLC</t>
  </si>
  <si>
    <t>309 E 2ND AVE</t>
  </si>
  <si>
    <t>EMERALD CREST</t>
  </si>
  <si>
    <t>201 UNION AVE SE OFC</t>
  </si>
  <si>
    <t>EXPLORER MOBILE HOME PARK</t>
  </si>
  <si>
    <t>7715 W WESTBOW BLVD</t>
  </si>
  <si>
    <t>PO BOX 454</t>
  </si>
  <si>
    <t>ISLAND PARK MOBILE HOME PARK LLC</t>
  </si>
  <si>
    <t>3240 LODGEPOLE LN</t>
  </si>
  <si>
    <t>4580 KLAHANIE DR SE PMB 304</t>
  </si>
  <si>
    <t>RUSTEMEYER MOBILE HOME PARK</t>
  </si>
  <si>
    <t>17 RUSTEMEYER RD</t>
  </si>
  <si>
    <t>4050 UPPER DR</t>
  </si>
  <si>
    <t>LAKE OSWEGO</t>
  </si>
  <si>
    <t>ANGUS KERMIT LLC, DBA GAMA MHP</t>
  </si>
  <si>
    <t>18902 MARINE VIEW DR SW</t>
  </si>
  <si>
    <t>PO BOX 834</t>
  </si>
  <si>
    <t>SEAHURST</t>
  </si>
  <si>
    <t>CHATTAROY HILLS MOBILE HOME PARK, LLC</t>
  </si>
  <si>
    <t>4001 E DENISON CHATTAROY RD</t>
  </si>
  <si>
    <t>PO BOX 1107</t>
  </si>
  <si>
    <t>ALLYN VIEW ESTATES</t>
  </si>
  <si>
    <t>18289 E STATE ROUTE 3</t>
  </si>
  <si>
    <t>ALLYN</t>
  </si>
  <si>
    <t>PO BOX 2035</t>
  </si>
  <si>
    <t>WESTERN MANOR</t>
  </si>
  <si>
    <t>8008 NE 179TH ST</t>
  </si>
  <si>
    <t>10013 NE HAZEL DELL AVE # 273</t>
  </si>
  <si>
    <t>COLUMBIA PLACE, LLC</t>
  </si>
  <si>
    <t>NORTHWEST MANAGEMENT PROPERTY IV LLC</t>
  </si>
  <si>
    <t>WEST AIRE MHP LLC</t>
  </si>
  <si>
    <t>1816 S MELBOURNE ST #17</t>
  </si>
  <si>
    <t>16714 E GUNSIGHT DR UNIT 138</t>
  </si>
  <si>
    <t>FOUNTAIN HILLS</t>
  </si>
  <si>
    <t>BEL-AIRE TRAILER PARK</t>
  </si>
  <si>
    <t>2240 PEACE PORTAL DR</t>
  </si>
  <si>
    <t>VANCOUVER MOBILE TERRACE</t>
  </si>
  <si>
    <t>3921 E FOURTH PLAIN BLVD</t>
  </si>
  <si>
    <t>LAKESIDE TERRACE MOBILE HOME PARK</t>
  </si>
  <si>
    <t>13224 42ND AVE NE</t>
  </si>
  <si>
    <t>KINGS G ASSOCIATES</t>
  </si>
  <si>
    <t>4706 E 1ST AVE</t>
  </si>
  <si>
    <t>11320 N NEWPORT HWY</t>
  </si>
  <si>
    <t>WEST HILL MHP LLC</t>
  </si>
  <si>
    <t>2424 S 260TH ST</t>
  </si>
  <si>
    <t>235 MONTGOMERY ST STE 1160</t>
  </si>
  <si>
    <t>10400 AMERICANA, L.L.C</t>
  </si>
  <si>
    <t>10400 160TH STREET CT E</t>
  </si>
  <si>
    <t>MAYFIELD RV PARK</t>
  </si>
  <si>
    <t>2914 US HIGHWAY 12</t>
  </si>
  <si>
    <t>SILVER CREEK</t>
  </si>
  <si>
    <t>704 228TH AVE NE # 134</t>
  </si>
  <si>
    <t>PINE ACRES MHP LLC</t>
  </si>
  <si>
    <t>107 S HOWARD ST STE 500</t>
  </si>
  <si>
    <t>COLONIAL MOBILE HOME PARK</t>
  </si>
  <si>
    <t>2600 E DIVISION ST OFC 124</t>
  </si>
  <si>
    <t>3003 SHERMAN AVE</t>
  </si>
  <si>
    <t>BELMOR MOBILE HOME PARK, L.P.</t>
  </si>
  <si>
    <t>LILAC TERRACE MOBILE HOME PARK</t>
  </si>
  <si>
    <t>2002 S INLAND EMPIRE WAY</t>
  </si>
  <si>
    <t>PO BOX 4342</t>
  </si>
  <si>
    <t>TUALATIN</t>
  </si>
  <si>
    <t>NYLANDIA PARK</t>
  </si>
  <si>
    <t>1422 HARRISON AVE</t>
  </si>
  <si>
    <t>6409 49TH ST W</t>
  </si>
  <si>
    <t>TOWN &amp; COUNTRY ESTATES MHC LLC</t>
  </si>
  <si>
    <t>1205 MARION ST 109 HALIDAY RD</t>
  </si>
  <si>
    <t>MT. LINTON R.V. &amp; TRAILER PARK LLC</t>
  </si>
  <si>
    <t>103 W. METALINE ST.</t>
  </si>
  <si>
    <t>PO BOX 14</t>
  </si>
  <si>
    <t>ANCHOR COVE PARK, LLC</t>
  </si>
  <si>
    <t>17611 E APPLEWAY AVE</t>
  </si>
  <si>
    <t>PO BOX 1402</t>
  </si>
  <si>
    <t>POST FALLS</t>
  </si>
  <si>
    <t>ELMWOOD MOBILE HOME PARK</t>
  </si>
  <si>
    <t>29TH ST PL &amp; W STEWART</t>
  </si>
  <si>
    <t>1109 29TH STREET PL NW</t>
  </si>
  <si>
    <t>BROOKSIDE MOBILE HOME PARK</t>
  </si>
  <si>
    <t>43209 NE 285TH AVE</t>
  </si>
  <si>
    <t>PO BOX 1390</t>
  </si>
  <si>
    <t>HONEY CREEK ESTATES</t>
  </si>
  <si>
    <t>5325 NE SUNSET BLVD</t>
  </si>
  <si>
    <t>33016 SE 76TH ST</t>
  </si>
  <si>
    <t>A &amp; J MOBILE PARK &amp; RV L.L.C.</t>
  </si>
  <si>
    <t>24375 SELLKIRK AVE SW</t>
  </si>
  <si>
    <t>PO BOX 1578</t>
  </si>
  <si>
    <t>HIDDEN FOREST ESTATES</t>
  </si>
  <si>
    <t>112 176TH AVE E</t>
  </si>
  <si>
    <t>PO BOX 2115</t>
  </si>
  <si>
    <t>NORBERTO CHACON</t>
  </si>
  <si>
    <t>1415 COLUMBIA AVE</t>
  </si>
  <si>
    <t>PO BOX 1065</t>
  </si>
  <si>
    <t>MERIDIAN TERRACE MHC LLC</t>
  </si>
  <si>
    <t>9816 193RD ST E</t>
  </si>
  <si>
    <t>HAYFORD VILLAGE LLC</t>
  </si>
  <si>
    <t>10510 W HAYFORD RD UNIT 1</t>
  </si>
  <si>
    <t>LAKESIDE VILLA MHP</t>
  </si>
  <si>
    <t>6200 FAIR OAKS RD SE</t>
  </si>
  <si>
    <t>3079 SKYVIEW LN</t>
  </si>
  <si>
    <t>GLACIER VIEW MHP</t>
  </si>
  <si>
    <t>7138 ENGLEWOOD DR SE</t>
  </si>
  <si>
    <t>CHERRY HILL TRAILER PARK LLC</t>
  </si>
  <si>
    <t>1000 16TH ST</t>
  </si>
  <si>
    <t>4 CRYSTAL PL E</t>
  </si>
  <si>
    <t>FRUITVALE MOBILE PARK, LLC</t>
  </si>
  <si>
    <t>1609 FRUITVALE BLVD</t>
  </si>
  <si>
    <t>ALPINE ESTATES LAKEWOOD, LLC.</t>
  </si>
  <si>
    <t>6622 146TH ST SW</t>
  </si>
  <si>
    <t>HIDDEN VILLAGE LLC</t>
  </si>
  <si>
    <t>10918 NE HIGHWAY 99</t>
  </si>
  <si>
    <t>16420 SE MCGILLIVRAY BLVD PMB</t>
  </si>
  <si>
    <t>PUGET VIEW MOBILE PARK</t>
  </si>
  <si>
    <t>10900 NE 8TH ST STE 1200</t>
  </si>
  <si>
    <t>DEER SPRINGS MOBILE PARK</t>
  </si>
  <si>
    <t>2719 S 219TH ST</t>
  </si>
  <si>
    <t>109900 NE 8TH STE 1200</t>
  </si>
  <si>
    <t>DESERT OASIS MHP</t>
  </si>
  <si>
    <t>4000 LONGVIEW ST NE</t>
  </si>
  <si>
    <t>14785 SW BELL RD</t>
  </si>
  <si>
    <t>SHERWOOD</t>
  </si>
  <si>
    <t>OLYMPIC VILLAGE MHP, LLC</t>
  </si>
  <si>
    <t>6062 STATE ROUTE 20</t>
  </si>
  <si>
    <t>PO BOX 9</t>
  </si>
  <si>
    <t>OCEAN VIEW MHP, LLC</t>
  </si>
  <si>
    <t>1323 MCDONALD ST</t>
  </si>
  <si>
    <t>EDGEWATER ESTATES</t>
  </si>
  <si>
    <t>214 CHAPMAN RD</t>
  </si>
  <si>
    <t>18150 SE BOONES FERRY RD</t>
  </si>
  <si>
    <t>FULL COUNT INVESTMENTS, LLC</t>
  </si>
  <si>
    <t>239 F CIR SE</t>
  </si>
  <si>
    <t>HOOD AVENUE MOBILE HOME PARK</t>
  </si>
  <si>
    <t>3407 W HOOD AVE</t>
  </si>
  <si>
    <t>8309 W 10TH AVE</t>
  </si>
  <si>
    <t>CONTEMPO MOBILE HOME PARK</t>
  </si>
  <si>
    <t>1205 E LYONS AVE OFC</t>
  </si>
  <si>
    <t>MEADOWBROOK MHP LLC</t>
  </si>
  <si>
    <t>300 PARK AVE</t>
  </si>
  <si>
    <t>11626 AVONDALE PL NE</t>
  </si>
  <si>
    <t>CRAINS MOBILE HOME PARK LLC</t>
  </si>
  <si>
    <t>15620 272ND AVE E</t>
  </si>
  <si>
    <t>27713 153RD ST E</t>
  </si>
  <si>
    <t>CIRCLE RV PARK</t>
  </si>
  <si>
    <t>15772 HIGHWAY 31</t>
  </si>
  <si>
    <t>METALINE FALLS</t>
  </si>
  <si>
    <t>CIRCLE J LLC</t>
  </si>
  <si>
    <t>218 S HUSSEY ST</t>
  </si>
  <si>
    <t>10531 176TH AVE SW</t>
  </si>
  <si>
    <t>PO BOX 446</t>
  </si>
  <si>
    <t>LAUREL LANE MHC</t>
  </si>
  <si>
    <t>MOUNTAIN VIEW TRAILER PARK LLC</t>
  </si>
  <si>
    <t>165 CYPRESS AVE</t>
  </si>
  <si>
    <t>GOLDIE LLC</t>
  </si>
  <si>
    <t>HIDDEN HAVEN MOBILE HOME PARK</t>
  </si>
  <si>
    <t>1702 E SHELTON SPRINGS RD</t>
  </si>
  <si>
    <t>MOXIE COMMUNITY LLC</t>
  </si>
  <si>
    <t>SEDRO WOOLLEY MHP, LLC</t>
  </si>
  <si>
    <t>CROWFOOT PROPERTIES LLC</t>
  </si>
  <si>
    <t>4695 PARK ACRES DR</t>
  </si>
  <si>
    <t>PO BOX 702</t>
  </si>
  <si>
    <t>HIDEAWAY COMMUNITY LLC</t>
  </si>
  <si>
    <t>4315 S CHEATHAM RD</t>
  </si>
  <si>
    <t>B.A.I. PROPERTIES</t>
  </si>
  <si>
    <t>1800 GARFIELD AVE</t>
  </si>
  <si>
    <t>3050 14TH AVE W APT 305</t>
  </si>
  <si>
    <t>105 E PATRICK AVENUE</t>
  </si>
  <si>
    <t>PO BOX 829</t>
  </si>
  <si>
    <t>232 W JONATHON AVE</t>
  </si>
  <si>
    <t>PO BOX M</t>
  </si>
  <si>
    <t>BONA VISTA MANUFACTURED HOME COMMUNITY</t>
  </si>
  <si>
    <t>21725 E WELLESLEY AVE OFC</t>
  </si>
  <si>
    <t>FAIRCHILD COMMUNITY LLC</t>
  </si>
  <si>
    <t xml:space="preserve">Park Name </t>
  </si>
  <si>
    <t>Park Physical Address</t>
  </si>
  <si>
    <t>Park Mailing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</si>
</sst>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9"/>
  <sheetViews>
    <sheetView tabSelected="1" topLeftCell="I1" workbookViewId="0">
      <pane ySplit="1" topLeftCell="A1345" activePane="bottomLeft" state="frozen"/>
      <selection activeCell="I1" sqref="I1"/>
      <selection pane="bottomLeft" activeCell="R9" sqref="R9"/>
    </sheetView>
  </sheetViews>
  <sheetFormatPr defaultRowHeight="15" x14ac:dyDescent="0.25"/>
  <cols>
    <col min="1" max="1" width="56.140625" bestFit="1" customWidth="1"/>
    <col min="2" max="2" width="32" bestFit="1" customWidth="1"/>
    <col min="3" max="4" width="9.28515625" customWidth="1"/>
    <col min="6" max="6" width="14.7109375" bestFit="1" customWidth="1"/>
    <col min="7" max="7" width="35.42578125" bestFit="1" customWidth="1"/>
    <col min="8" max="8" width="28.85546875" bestFit="1" customWidth="1"/>
    <col min="9" max="9" width="24.42578125" bestFit="1" customWidth="1"/>
    <col min="12" max="12" width="24.5703125" bestFit="1" customWidth="1"/>
    <col min="13" max="13" width="20" bestFit="1" customWidth="1"/>
    <col min="14" max="14" width="9.7109375" bestFit="1" customWidth="1"/>
  </cols>
  <sheetData>
    <row r="1" spans="1:14" s="1" customFormat="1" x14ac:dyDescent="0.25">
      <c r="A1" s="1" t="s">
        <v>4080</v>
      </c>
      <c r="B1" s="1" t="s">
        <v>4081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4082</v>
      </c>
      <c r="H1" s="1" t="s">
        <v>4082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</row>
    <row r="2" spans="1:14" x14ac:dyDescent="0.25">
      <c r="A2" t="s">
        <v>3261</v>
      </c>
      <c r="B2" t="s">
        <v>3262</v>
      </c>
      <c r="C2" t="s">
        <v>3263</v>
      </c>
      <c r="D2" t="s">
        <v>13</v>
      </c>
      <c r="E2" t="str">
        <f>"99344"</f>
        <v>99344</v>
      </c>
      <c r="F2" t="s">
        <v>155</v>
      </c>
      <c r="G2" t="s">
        <v>3264</v>
      </c>
      <c r="I2" t="s">
        <v>154</v>
      </c>
      <c r="J2" t="s">
        <v>13</v>
      </c>
      <c r="K2" t="str">
        <f>"99344"</f>
        <v>99344</v>
      </c>
      <c r="L2">
        <v>6</v>
      </c>
      <c r="M2">
        <v>2</v>
      </c>
      <c r="N2">
        <v>4</v>
      </c>
    </row>
    <row r="3" spans="1:14" x14ac:dyDescent="0.25">
      <c r="A3" t="s">
        <v>3633</v>
      </c>
      <c r="B3" t="s">
        <v>3634</v>
      </c>
      <c r="C3" t="s">
        <v>154</v>
      </c>
      <c r="D3" t="s">
        <v>13</v>
      </c>
      <c r="E3" t="str">
        <f>"99344"</f>
        <v>99344</v>
      </c>
      <c r="F3" t="s">
        <v>155</v>
      </c>
      <c r="G3" t="s">
        <v>2541</v>
      </c>
      <c r="I3" t="s">
        <v>3573</v>
      </c>
      <c r="J3" t="s">
        <v>1270</v>
      </c>
      <c r="K3" t="str">
        <f>"83840"</f>
        <v>83840</v>
      </c>
      <c r="L3">
        <v>65</v>
      </c>
      <c r="M3">
        <v>65</v>
      </c>
      <c r="N3">
        <v>0</v>
      </c>
    </row>
    <row r="4" spans="1:14" x14ac:dyDescent="0.25">
      <c r="A4" t="s">
        <v>594</v>
      </c>
      <c r="B4" t="s">
        <v>595</v>
      </c>
      <c r="C4" t="s">
        <v>154</v>
      </c>
      <c r="D4" t="s">
        <v>13</v>
      </c>
      <c r="E4" t="str">
        <f>"99344"</f>
        <v>99344</v>
      </c>
      <c r="F4" t="s">
        <v>155</v>
      </c>
      <c r="G4" t="s">
        <v>595</v>
      </c>
      <c r="I4" t="s">
        <v>154</v>
      </c>
      <c r="J4" t="s">
        <v>13</v>
      </c>
      <c r="K4" t="str">
        <f>"99344"</f>
        <v>99344</v>
      </c>
      <c r="L4">
        <v>20</v>
      </c>
      <c r="M4">
        <v>20</v>
      </c>
      <c r="N4">
        <v>0</v>
      </c>
    </row>
    <row r="5" spans="1:14" x14ac:dyDescent="0.25">
      <c r="A5" t="s">
        <v>2761</v>
      </c>
      <c r="B5" t="s">
        <v>2762</v>
      </c>
      <c r="C5" t="s">
        <v>154</v>
      </c>
      <c r="D5" t="s">
        <v>13</v>
      </c>
      <c r="E5" t="str">
        <f>"99344"</f>
        <v>99344</v>
      </c>
      <c r="F5" t="s">
        <v>155</v>
      </c>
      <c r="G5" t="s">
        <v>2763</v>
      </c>
      <c r="H5" t="s">
        <v>2764</v>
      </c>
      <c r="I5" t="s">
        <v>2765</v>
      </c>
      <c r="J5" t="s">
        <v>433</v>
      </c>
      <c r="K5" t="str">
        <f>"92078"</f>
        <v>92078</v>
      </c>
      <c r="L5">
        <v>70</v>
      </c>
      <c r="M5">
        <v>70</v>
      </c>
      <c r="N5">
        <v>0</v>
      </c>
    </row>
    <row r="6" spans="1:14" x14ac:dyDescent="0.25">
      <c r="A6" t="s">
        <v>2426</v>
      </c>
      <c r="B6" t="s">
        <v>2427</v>
      </c>
      <c r="C6" t="s">
        <v>154</v>
      </c>
      <c r="D6" t="s">
        <v>13</v>
      </c>
      <c r="E6" t="str">
        <f>"99344"</f>
        <v>99344</v>
      </c>
      <c r="F6" t="s">
        <v>155</v>
      </c>
      <c r="G6" t="s">
        <v>2424</v>
      </c>
      <c r="I6" t="s">
        <v>2425</v>
      </c>
      <c r="J6" t="s">
        <v>13</v>
      </c>
      <c r="K6" t="str">
        <f>"99343"</f>
        <v>99343</v>
      </c>
      <c r="L6">
        <v>38</v>
      </c>
      <c r="M6">
        <v>38</v>
      </c>
      <c r="N6">
        <v>0</v>
      </c>
    </row>
    <row r="7" spans="1:14" x14ac:dyDescent="0.25">
      <c r="A7" t="s">
        <v>1691</v>
      </c>
      <c r="B7" t="s">
        <v>1692</v>
      </c>
      <c r="C7" t="s">
        <v>154</v>
      </c>
      <c r="D7" t="s">
        <v>13</v>
      </c>
      <c r="E7" t="str">
        <f>"99344"</f>
        <v>99344</v>
      </c>
      <c r="F7" t="s">
        <v>155</v>
      </c>
      <c r="G7" t="s">
        <v>1693</v>
      </c>
      <c r="I7" t="s">
        <v>692</v>
      </c>
      <c r="J7" t="s">
        <v>13</v>
      </c>
      <c r="K7" t="str">
        <f>"99301"</f>
        <v>99301</v>
      </c>
      <c r="L7">
        <v>151</v>
      </c>
      <c r="M7">
        <v>150</v>
      </c>
      <c r="N7">
        <v>1</v>
      </c>
    </row>
    <row r="8" spans="1:14" x14ac:dyDescent="0.25">
      <c r="A8" t="s">
        <v>243</v>
      </c>
      <c r="B8" t="s">
        <v>244</v>
      </c>
      <c r="C8" t="s">
        <v>154</v>
      </c>
      <c r="D8" t="s">
        <v>13</v>
      </c>
      <c r="E8" t="str">
        <f>"99344"</f>
        <v>99344</v>
      </c>
      <c r="F8" t="s">
        <v>155</v>
      </c>
      <c r="G8" t="s">
        <v>245</v>
      </c>
      <c r="I8" t="s">
        <v>154</v>
      </c>
      <c r="J8" t="s">
        <v>13</v>
      </c>
      <c r="K8" t="str">
        <f>"99344"</f>
        <v>99344</v>
      </c>
      <c r="L8">
        <v>16</v>
      </c>
      <c r="M8">
        <v>16</v>
      </c>
      <c r="N8">
        <v>0</v>
      </c>
    </row>
    <row r="9" spans="1:14" x14ac:dyDescent="0.25">
      <c r="A9" t="s">
        <v>243</v>
      </c>
      <c r="B9" t="s">
        <v>244</v>
      </c>
      <c r="C9" t="s">
        <v>154</v>
      </c>
      <c r="D9" t="s">
        <v>13</v>
      </c>
      <c r="E9" t="str">
        <f>"99344"</f>
        <v>99344</v>
      </c>
      <c r="F9" t="s">
        <v>155</v>
      </c>
      <c r="G9" t="s">
        <v>4067</v>
      </c>
      <c r="I9" t="s">
        <v>154</v>
      </c>
      <c r="J9" t="s">
        <v>13</v>
      </c>
      <c r="K9" t="str">
        <f>"99344"</f>
        <v>99344</v>
      </c>
      <c r="L9">
        <v>19</v>
      </c>
      <c r="M9">
        <v>17</v>
      </c>
      <c r="N9">
        <v>2</v>
      </c>
    </row>
    <row r="10" spans="1:14" x14ac:dyDescent="0.25">
      <c r="A10" t="s">
        <v>2522</v>
      </c>
      <c r="B10" t="s">
        <v>2523</v>
      </c>
      <c r="C10" t="s">
        <v>154</v>
      </c>
      <c r="D10" t="s">
        <v>13</v>
      </c>
      <c r="E10" t="str">
        <f>"99344"</f>
        <v>99344</v>
      </c>
      <c r="F10" t="s">
        <v>155</v>
      </c>
      <c r="G10" t="s">
        <v>2524</v>
      </c>
      <c r="I10" t="s">
        <v>2282</v>
      </c>
      <c r="J10" t="s">
        <v>433</v>
      </c>
      <c r="K10" t="str">
        <f>"91320"</f>
        <v>91320</v>
      </c>
      <c r="L10">
        <v>75</v>
      </c>
      <c r="M10">
        <v>72</v>
      </c>
      <c r="N10">
        <v>3</v>
      </c>
    </row>
    <row r="11" spans="1:14" x14ac:dyDescent="0.25">
      <c r="A11" t="s">
        <v>1279</v>
      </c>
      <c r="B11" t="s">
        <v>1280</v>
      </c>
      <c r="C11" t="s">
        <v>154</v>
      </c>
      <c r="D11" t="s">
        <v>13</v>
      </c>
      <c r="E11" t="str">
        <f>"99344"</f>
        <v>99344</v>
      </c>
      <c r="F11" t="s">
        <v>155</v>
      </c>
      <c r="G11" t="s">
        <v>1281</v>
      </c>
      <c r="I11" t="s">
        <v>681</v>
      </c>
      <c r="J11" t="s">
        <v>13</v>
      </c>
      <c r="K11" t="str">
        <f>"98003"</f>
        <v>98003</v>
      </c>
      <c r="L11">
        <v>18</v>
      </c>
      <c r="M11">
        <v>18</v>
      </c>
      <c r="N11">
        <v>0</v>
      </c>
    </row>
    <row r="12" spans="1:14" x14ac:dyDescent="0.25">
      <c r="A12" t="s">
        <v>152</v>
      </c>
      <c r="B12" t="s">
        <v>153</v>
      </c>
      <c r="C12" t="s">
        <v>154</v>
      </c>
      <c r="D12" t="s">
        <v>13</v>
      </c>
      <c r="E12" t="str">
        <f>"99344"</f>
        <v>99344</v>
      </c>
      <c r="F12" t="s">
        <v>155</v>
      </c>
      <c r="G12" t="s">
        <v>156</v>
      </c>
      <c r="I12" t="s">
        <v>154</v>
      </c>
      <c r="J12" t="s">
        <v>13</v>
      </c>
      <c r="K12" t="str">
        <f>"99344"</f>
        <v>99344</v>
      </c>
      <c r="L12">
        <v>280</v>
      </c>
      <c r="M12">
        <v>11</v>
      </c>
      <c r="N12">
        <v>269</v>
      </c>
    </row>
    <row r="13" spans="1:14" x14ac:dyDescent="0.25">
      <c r="A13" t="s">
        <v>688</v>
      </c>
      <c r="B13" t="s">
        <v>689</v>
      </c>
      <c r="C13" t="s">
        <v>154</v>
      </c>
      <c r="D13" t="s">
        <v>13</v>
      </c>
      <c r="E13" t="str">
        <f>"99344"</f>
        <v>99344</v>
      </c>
      <c r="F13" t="s">
        <v>155</v>
      </c>
      <c r="G13" t="s">
        <v>689</v>
      </c>
      <c r="I13" t="s">
        <v>154</v>
      </c>
      <c r="J13" t="s">
        <v>13</v>
      </c>
      <c r="K13" t="str">
        <f>"99344"</f>
        <v>99344</v>
      </c>
      <c r="L13">
        <v>45</v>
      </c>
      <c r="M13">
        <v>45</v>
      </c>
      <c r="N13">
        <v>0</v>
      </c>
    </row>
    <row r="14" spans="1:14" x14ac:dyDescent="0.25">
      <c r="A14" t="s">
        <v>3103</v>
      </c>
      <c r="B14" t="s">
        <v>3104</v>
      </c>
      <c r="C14" t="s">
        <v>189</v>
      </c>
      <c r="D14" t="s">
        <v>13</v>
      </c>
      <c r="E14" t="str">
        <f>"99403"</f>
        <v>99403</v>
      </c>
      <c r="F14" t="s">
        <v>190</v>
      </c>
      <c r="G14" t="s">
        <v>3105</v>
      </c>
      <c r="H14" t="s">
        <v>2185</v>
      </c>
      <c r="I14" t="s">
        <v>2186</v>
      </c>
      <c r="J14" t="s">
        <v>1270</v>
      </c>
      <c r="K14" t="str">
        <f>"83501"</f>
        <v>83501</v>
      </c>
      <c r="L14">
        <v>14</v>
      </c>
      <c r="M14">
        <v>14</v>
      </c>
      <c r="N14">
        <v>0</v>
      </c>
    </row>
    <row r="15" spans="1:14" x14ac:dyDescent="0.25">
      <c r="A15" t="s">
        <v>2914</v>
      </c>
      <c r="B15" t="s">
        <v>2915</v>
      </c>
      <c r="C15" t="s">
        <v>189</v>
      </c>
      <c r="D15" t="s">
        <v>13</v>
      </c>
      <c r="E15" t="str">
        <f>"99403"</f>
        <v>99403</v>
      </c>
      <c r="F15" t="s">
        <v>190</v>
      </c>
      <c r="G15" t="s">
        <v>2916</v>
      </c>
      <c r="I15" t="s">
        <v>189</v>
      </c>
      <c r="J15" t="s">
        <v>13</v>
      </c>
      <c r="K15" t="str">
        <f>"99403"</f>
        <v>99403</v>
      </c>
      <c r="L15">
        <v>11</v>
      </c>
      <c r="M15">
        <v>11</v>
      </c>
      <c r="N15">
        <v>0</v>
      </c>
    </row>
    <row r="16" spans="1:14" x14ac:dyDescent="0.25">
      <c r="A16" t="s">
        <v>3100</v>
      </c>
      <c r="B16" t="s">
        <v>3101</v>
      </c>
      <c r="C16" t="s">
        <v>189</v>
      </c>
      <c r="D16" t="s">
        <v>13</v>
      </c>
      <c r="E16" t="str">
        <f>"99403"</f>
        <v>99403</v>
      </c>
      <c r="F16" t="s">
        <v>190</v>
      </c>
      <c r="G16" t="s">
        <v>3102</v>
      </c>
      <c r="I16" t="s">
        <v>189</v>
      </c>
      <c r="J16" t="s">
        <v>13</v>
      </c>
      <c r="K16" t="str">
        <f>"99403"</f>
        <v>99403</v>
      </c>
      <c r="L16">
        <v>19</v>
      </c>
      <c r="M16">
        <v>19</v>
      </c>
      <c r="N16">
        <v>0</v>
      </c>
    </row>
    <row r="17" spans="1:14" x14ac:dyDescent="0.25">
      <c r="A17" t="s">
        <v>1370</v>
      </c>
      <c r="B17" t="s">
        <v>1371</v>
      </c>
      <c r="C17" t="s">
        <v>189</v>
      </c>
      <c r="D17" t="s">
        <v>13</v>
      </c>
      <c r="E17" t="str">
        <f>"99403"</f>
        <v>99403</v>
      </c>
      <c r="F17" t="s">
        <v>190</v>
      </c>
      <c r="G17" t="s">
        <v>249</v>
      </c>
      <c r="I17" t="s">
        <v>189</v>
      </c>
      <c r="J17" t="s">
        <v>13</v>
      </c>
      <c r="K17" t="str">
        <f>"99403"</f>
        <v>99403</v>
      </c>
      <c r="L17">
        <v>28</v>
      </c>
      <c r="M17">
        <v>26</v>
      </c>
      <c r="N17">
        <v>2</v>
      </c>
    </row>
    <row r="18" spans="1:14" x14ac:dyDescent="0.25">
      <c r="A18" t="s">
        <v>1397</v>
      </c>
      <c r="B18" t="s">
        <v>2286</v>
      </c>
      <c r="C18" t="s">
        <v>190</v>
      </c>
      <c r="D18" t="s">
        <v>13</v>
      </c>
      <c r="E18" t="str">
        <f>"99402"</f>
        <v>99402</v>
      </c>
      <c r="F18" t="s">
        <v>190</v>
      </c>
      <c r="G18" t="s">
        <v>2287</v>
      </c>
      <c r="I18" t="s">
        <v>189</v>
      </c>
      <c r="J18" t="s">
        <v>13</v>
      </c>
      <c r="K18" t="str">
        <f>"99403"</f>
        <v>99403</v>
      </c>
      <c r="L18">
        <v>26</v>
      </c>
      <c r="M18">
        <v>26</v>
      </c>
      <c r="N18">
        <v>0</v>
      </c>
    </row>
    <row r="19" spans="1:14" x14ac:dyDescent="0.25">
      <c r="A19" t="s">
        <v>3833</v>
      </c>
      <c r="B19" t="s">
        <v>3834</v>
      </c>
      <c r="C19" t="s">
        <v>189</v>
      </c>
      <c r="D19" t="s">
        <v>13</v>
      </c>
      <c r="E19" t="str">
        <f>"99403"</f>
        <v>99403</v>
      </c>
      <c r="F19" t="s">
        <v>190</v>
      </c>
      <c r="G19" t="s">
        <v>3834</v>
      </c>
      <c r="I19" t="s">
        <v>189</v>
      </c>
      <c r="J19" t="s">
        <v>13</v>
      </c>
      <c r="K19" t="str">
        <f>"99403"</f>
        <v>99403</v>
      </c>
      <c r="L19">
        <v>2</v>
      </c>
      <c r="M19">
        <v>2</v>
      </c>
      <c r="N19">
        <v>0</v>
      </c>
    </row>
    <row r="20" spans="1:14" x14ac:dyDescent="0.25">
      <c r="A20" t="s">
        <v>3318</v>
      </c>
      <c r="B20" t="s">
        <v>3319</v>
      </c>
      <c r="C20" t="s">
        <v>189</v>
      </c>
      <c r="D20" t="s">
        <v>13</v>
      </c>
      <c r="E20" t="str">
        <f>"99403"</f>
        <v>99403</v>
      </c>
      <c r="F20" t="s">
        <v>190</v>
      </c>
      <c r="G20" t="s">
        <v>3320</v>
      </c>
      <c r="H20" t="s">
        <v>3321</v>
      </c>
      <c r="I20" t="s">
        <v>189</v>
      </c>
      <c r="J20" t="s">
        <v>13</v>
      </c>
      <c r="K20" t="str">
        <f>"99403"</f>
        <v>99403</v>
      </c>
      <c r="L20">
        <v>14</v>
      </c>
      <c r="M20">
        <v>4</v>
      </c>
      <c r="N20">
        <v>10</v>
      </c>
    </row>
    <row r="21" spans="1:14" x14ac:dyDescent="0.25">
      <c r="A21" t="s">
        <v>2182</v>
      </c>
      <c r="B21" t="s">
        <v>2183</v>
      </c>
      <c r="C21" t="s">
        <v>189</v>
      </c>
      <c r="D21" t="s">
        <v>13</v>
      </c>
      <c r="E21" t="str">
        <f>"99403"</f>
        <v>99403</v>
      </c>
      <c r="F21" t="s">
        <v>190</v>
      </c>
      <c r="G21" t="s">
        <v>2184</v>
      </c>
      <c r="H21" t="s">
        <v>2185</v>
      </c>
      <c r="I21" t="s">
        <v>2186</v>
      </c>
      <c r="J21" t="s">
        <v>1270</v>
      </c>
      <c r="K21" t="str">
        <f>"83501"</f>
        <v>83501</v>
      </c>
      <c r="L21">
        <v>30</v>
      </c>
      <c r="M21">
        <v>18</v>
      </c>
      <c r="N21">
        <v>12</v>
      </c>
    </row>
    <row r="22" spans="1:14" x14ac:dyDescent="0.25">
      <c r="A22" t="s">
        <v>3502</v>
      </c>
      <c r="B22" t="s">
        <v>3503</v>
      </c>
      <c r="C22" t="s">
        <v>189</v>
      </c>
      <c r="D22" t="s">
        <v>13</v>
      </c>
      <c r="E22" t="str">
        <f>"99403"</f>
        <v>99403</v>
      </c>
      <c r="F22" t="s">
        <v>190</v>
      </c>
      <c r="G22" t="s">
        <v>3504</v>
      </c>
      <c r="I22" t="s">
        <v>189</v>
      </c>
      <c r="J22" t="s">
        <v>13</v>
      </c>
      <c r="K22" t="str">
        <f>"99403"</f>
        <v>99403</v>
      </c>
      <c r="L22">
        <v>23</v>
      </c>
      <c r="M22">
        <v>23</v>
      </c>
      <c r="N22">
        <v>0</v>
      </c>
    </row>
    <row r="23" spans="1:14" x14ac:dyDescent="0.25">
      <c r="A23" t="s">
        <v>1105</v>
      </c>
      <c r="B23" t="s">
        <v>1106</v>
      </c>
      <c r="C23" t="s">
        <v>189</v>
      </c>
      <c r="D23" t="s">
        <v>13</v>
      </c>
      <c r="E23" t="str">
        <f>"99403"</f>
        <v>99403</v>
      </c>
      <c r="F23" t="s">
        <v>190</v>
      </c>
      <c r="G23" t="s">
        <v>1107</v>
      </c>
      <c r="I23" t="s">
        <v>189</v>
      </c>
      <c r="J23" t="s">
        <v>13</v>
      </c>
      <c r="K23" t="str">
        <f>"99403"</f>
        <v>99403</v>
      </c>
      <c r="L23">
        <v>6</v>
      </c>
      <c r="M23">
        <v>6</v>
      </c>
      <c r="N23">
        <v>0</v>
      </c>
    </row>
    <row r="24" spans="1:14" x14ac:dyDescent="0.25">
      <c r="A24" t="s">
        <v>3413</v>
      </c>
      <c r="B24" t="s">
        <v>3414</v>
      </c>
      <c r="C24" t="s">
        <v>189</v>
      </c>
      <c r="D24" t="s">
        <v>13</v>
      </c>
      <c r="E24" t="str">
        <f>"99403"</f>
        <v>99403</v>
      </c>
      <c r="F24" t="s">
        <v>190</v>
      </c>
      <c r="G24" t="s">
        <v>2206</v>
      </c>
      <c r="I24" t="s">
        <v>1343</v>
      </c>
      <c r="J24" t="s">
        <v>433</v>
      </c>
      <c r="K24" t="str">
        <f>"92626"</f>
        <v>92626</v>
      </c>
      <c r="L24">
        <v>107</v>
      </c>
      <c r="M24">
        <v>107</v>
      </c>
      <c r="N24">
        <v>0</v>
      </c>
    </row>
    <row r="25" spans="1:14" x14ac:dyDescent="0.25">
      <c r="A25" t="s">
        <v>3204</v>
      </c>
      <c r="B25" t="s">
        <v>3205</v>
      </c>
      <c r="C25" t="s">
        <v>189</v>
      </c>
      <c r="D25" t="s">
        <v>13</v>
      </c>
      <c r="E25" t="str">
        <f>"99403"</f>
        <v>99403</v>
      </c>
      <c r="F25" t="s">
        <v>190</v>
      </c>
      <c r="G25" t="s">
        <v>2206</v>
      </c>
      <c r="I25" t="s">
        <v>1343</v>
      </c>
      <c r="J25" t="s">
        <v>433</v>
      </c>
      <c r="K25" t="str">
        <f>"92626"</f>
        <v>92626</v>
      </c>
      <c r="L25">
        <v>97</v>
      </c>
      <c r="M25">
        <v>95</v>
      </c>
      <c r="N25">
        <v>2</v>
      </c>
    </row>
    <row r="26" spans="1:14" x14ac:dyDescent="0.25">
      <c r="A26" t="s">
        <v>187</v>
      </c>
      <c r="B26" t="s">
        <v>188</v>
      </c>
      <c r="C26" t="s">
        <v>189</v>
      </c>
      <c r="D26" t="s">
        <v>13</v>
      </c>
      <c r="E26" t="str">
        <f>"99403"</f>
        <v>99403</v>
      </c>
      <c r="F26" t="s">
        <v>190</v>
      </c>
      <c r="G26" t="s">
        <v>191</v>
      </c>
      <c r="I26" t="s">
        <v>189</v>
      </c>
      <c r="J26" t="s">
        <v>13</v>
      </c>
      <c r="K26" t="str">
        <f>"99403"</f>
        <v>99403</v>
      </c>
      <c r="L26">
        <v>31</v>
      </c>
      <c r="M26">
        <v>20</v>
      </c>
      <c r="N26">
        <v>11</v>
      </c>
    </row>
    <row r="27" spans="1:14" x14ac:dyDescent="0.25">
      <c r="A27" t="s">
        <v>327</v>
      </c>
      <c r="B27" t="s">
        <v>328</v>
      </c>
      <c r="C27" t="s">
        <v>283</v>
      </c>
      <c r="D27" t="s">
        <v>13</v>
      </c>
      <c r="E27" t="str">
        <f>"99350"</f>
        <v>99350</v>
      </c>
      <c r="F27" t="s">
        <v>284</v>
      </c>
      <c r="G27" t="s">
        <v>328</v>
      </c>
      <c r="I27" t="s">
        <v>283</v>
      </c>
      <c r="J27" t="s">
        <v>13</v>
      </c>
      <c r="K27" t="str">
        <f>"99350"</f>
        <v>99350</v>
      </c>
      <c r="L27">
        <v>2</v>
      </c>
      <c r="M27">
        <v>1</v>
      </c>
      <c r="N27">
        <v>1</v>
      </c>
    </row>
    <row r="28" spans="1:14" x14ac:dyDescent="0.25">
      <c r="A28" t="s">
        <v>881</v>
      </c>
      <c r="B28" t="s">
        <v>882</v>
      </c>
      <c r="C28" t="s">
        <v>883</v>
      </c>
      <c r="D28" t="s">
        <v>13</v>
      </c>
      <c r="E28" t="str">
        <f>"99354"</f>
        <v>99354</v>
      </c>
      <c r="F28" t="s">
        <v>284</v>
      </c>
      <c r="G28" t="s">
        <v>884</v>
      </c>
      <c r="H28" t="s">
        <v>885</v>
      </c>
      <c r="I28" t="s">
        <v>886</v>
      </c>
      <c r="K28" t="str">
        <f>"     "</f>
        <v xml:space="preserve">     </v>
      </c>
      <c r="L28">
        <v>126</v>
      </c>
      <c r="M28">
        <v>126</v>
      </c>
      <c r="N28">
        <v>0</v>
      </c>
    </row>
    <row r="29" spans="1:14" x14ac:dyDescent="0.25">
      <c r="A29" t="s">
        <v>3287</v>
      </c>
      <c r="B29" t="s">
        <v>3288</v>
      </c>
      <c r="C29" t="s">
        <v>16</v>
      </c>
      <c r="D29" t="s">
        <v>13</v>
      </c>
      <c r="E29" t="str">
        <f>"99337"</f>
        <v>99337</v>
      </c>
      <c r="F29" t="s">
        <v>284</v>
      </c>
      <c r="G29" t="s">
        <v>1853</v>
      </c>
      <c r="I29" t="s">
        <v>1646</v>
      </c>
      <c r="J29" t="s">
        <v>13</v>
      </c>
      <c r="K29" t="str">
        <f>"98936"</f>
        <v>98936</v>
      </c>
      <c r="L29">
        <v>63</v>
      </c>
      <c r="M29">
        <v>63</v>
      </c>
      <c r="N29">
        <v>0</v>
      </c>
    </row>
    <row r="30" spans="1:14" x14ac:dyDescent="0.25">
      <c r="A30" t="s">
        <v>3538</v>
      </c>
      <c r="B30" t="s">
        <v>3539</v>
      </c>
      <c r="C30" t="s">
        <v>16</v>
      </c>
      <c r="D30" t="s">
        <v>13</v>
      </c>
      <c r="E30" t="str">
        <f>"99336"</f>
        <v>99336</v>
      </c>
      <c r="F30" t="s">
        <v>284</v>
      </c>
      <c r="G30" t="s">
        <v>3540</v>
      </c>
      <c r="I30" t="s">
        <v>883</v>
      </c>
      <c r="J30" t="s">
        <v>13</v>
      </c>
      <c r="K30" t="str">
        <f>"99354"</f>
        <v>99354</v>
      </c>
      <c r="L30">
        <v>37</v>
      </c>
      <c r="M30">
        <v>24</v>
      </c>
      <c r="N30">
        <v>13</v>
      </c>
    </row>
    <row r="31" spans="1:14" x14ac:dyDescent="0.25">
      <c r="A31" t="s">
        <v>3937</v>
      </c>
      <c r="B31" t="s">
        <v>3648</v>
      </c>
      <c r="C31" t="s">
        <v>16</v>
      </c>
      <c r="D31" t="s">
        <v>13</v>
      </c>
      <c r="E31" t="str">
        <f>"99337"</f>
        <v>99337</v>
      </c>
      <c r="F31" t="s">
        <v>284</v>
      </c>
      <c r="G31" t="s">
        <v>2318</v>
      </c>
      <c r="I31" t="s">
        <v>890</v>
      </c>
      <c r="J31" t="s">
        <v>821</v>
      </c>
      <c r="K31" t="str">
        <f>"97218"</f>
        <v>97218</v>
      </c>
      <c r="L31">
        <v>50</v>
      </c>
      <c r="M31">
        <v>43</v>
      </c>
      <c r="N31">
        <v>7</v>
      </c>
    </row>
    <row r="32" spans="1:14" x14ac:dyDescent="0.25">
      <c r="A32" t="s">
        <v>2822</v>
      </c>
      <c r="B32" t="s">
        <v>2823</v>
      </c>
      <c r="C32" t="s">
        <v>979</v>
      </c>
      <c r="D32" t="s">
        <v>13</v>
      </c>
      <c r="E32" t="str">
        <f>"99353"</f>
        <v>99353</v>
      </c>
      <c r="F32" t="s">
        <v>284</v>
      </c>
      <c r="G32" t="s">
        <v>2824</v>
      </c>
      <c r="I32" t="s">
        <v>1600</v>
      </c>
      <c r="J32" t="s">
        <v>13</v>
      </c>
      <c r="K32" t="str">
        <f>"98642"</f>
        <v>98642</v>
      </c>
      <c r="L32">
        <v>16</v>
      </c>
      <c r="M32">
        <v>16</v>
      </c>
      <c r="N32">
        <v>0</v>
      </c>
    </row>
    <row r="33" spans="1:14" x14ac:dyDescent="0.25">
      <c r="A33" t="s">
        <v>740</v>
      </c>
      <c r="B33" t="s">
        <v>741</v>
      </c>
      <c r="C33" t="s">
        <v>16</v>
      </c>
      <c r="D33" t="s">
        <v>13</v>
      </c>
      <c r="E33" t="str">
        <f>"99336"</f>
        <v>99336</v>
      </c>
      <c r="F33" t="s">
        <v>284</v>
      </c>
      <c r="G33" t="s">
        <v>326</v>
      </c>
      <c r="I33" t="s">
        <v>107</v>
      </c>
      <c r="J33" t="s">
        <v>13</v>
      </c>
      <c r="K33" t="str">
        <f>"98105"</f>
        <v>98105</v>
      </c>
      <c r="L33">
        <v>116</v>
      </c>
      <c r="M33">
        <v>109</v>
      </c>
      <c r="N33">
        <v>7</v>
      </c>
    </row>
    <row r="34" spans="1:14" x14ac:dyDescent="0.25">
      <c r="A34" t="s">
        <v>1901</v>
      </c>
      <c r="B34" t="s">
        <v>1902</v>
      </c>
      <c r="C34" t="s">
        <v>979</v>
      </c>
      <c r="D34" t="s">
        <v>13</v>
      </c>
      <c r="E34" t="str">
        <f>"99353"</f>
        <v>99353</v>
      </c>
      <c r="F34" t="s">
        <v>284</v>
      </c>
      <c r="G34" t="s">
        <v>1514</v>
      </c>
      <c r="I34" t="s">
        <v>1515</v>
      </c>
      <c r="J34" t="s">
        <v>1270</v>
      </c>
      <c r="K34" t="str">
        <f>"83616"</f>
        <v>83616</v>
      </c>
      <c r="L34">
        <v>423</v>
      </c>
      <c r="M34">
        <v>344</v>
      </c>
      <c r="N34">
        <v>79</v>
      </c>
    </row>
    <row r="35" spans="1:14" x14ac:dyDescent="0.25">
      <c r="A35" t="s">
        <v>281</v>
      </c>
      <c r="B35" t="s">
        <v>282</v>
      </c>
      <c r="C35" t="s">
        <v>283</v>
      </c>
      <c r="D35" t="s">
        <v>13</v>
      </c>
      <c r="E35" t="str">
        <f>"99350"</f>
        <v>99350</v>
      </c>
      <c r="F35" t="s">
        <v>284</v>
      </c>
      <c r="G35" t="s">
        <v>285</v>
      </c>
      <c r="I35" t="s">
        <v>100</v>
      </c>
      <c r="J35" t="s">
        <v>13</v>
      </c>
      <c r="K35" t="str">
        <f>"98902"</f>
        <v>98902</v>
      </c>
      <c r="L35">
        <v>59</v>
      </c>
      <c r="M35">
        <v>57</v>
      </c>
      <c r="N35">
        <v>2</v>
      </c>
    </row>
    <row r="36" spans="1:14" x14ac:dyDescent="0.25">
      <c r="A36" t="s">
        <v>2101</v>
      </c>
      <c r="B36" t="s">
        <v>2102</v>
      </c>
      <c r="C36" t="s">
        <v>1071</v>
      </c>
      <c r="D36" t="s">
        <v>13</v>
      </c>
      <c r="E36" t="str">
        <f>"99320"</f>
        <v>99320</v>
      </c>
      <c r="F36" t="s">
        <v>284</v>
      </c>
      <c r="G36" t="s">
        <v>2103</v>
      </c>
      <c r="I36" t="s">
        <v>605</v>
      </c>
      <c r="J36" t="s">
        <v>13</v>
      </c>
      <c r="K36" t="str">
        <f>"98008"</f>
        <v>98008</v>
      </c>
      <c r="L36">
        <v>65</v>
      </c>
      <c r="M36">
        <v>29</v>
      </c>
      <c r="N36">
        <v>36</v>
      </c>
    </row>
    <row r="37" spans="1:14" x14ac:dyDescent="0.25">
      <c r="A37" t="s">
        <v>1783</v>
      </c>
      <c r="B37" t="s">
        <v>1784</v>
      </c>
      <c r="C37" t="s">
        <v>16</v>
      </c>
      <c r="D37" t="s">
        <v>13</v>
      </c>
      <c r="E37" t="str">
        <f>"99336"</f>
        <v>99336</v>
      </c>
      <c r="F37" t="s">
        <v>284</v>
      </c>
      <c r="G37" t="s">
        <v>1785</v>
      </c>
      <c r="I37" t="s">
        <v>16</v>
      </c>
      <c r="J37" t="s">
        <v>13</v>
      </c>
      <c r="K37" t="str">
        <f>"99338"</f>
        <v>99338</v>
      </c>
      <c r="L37">
        <v>103</v>
      </c>
      <c r="M37">
        <v>102</v>
      </c>
      <c r="N37">
        <v>1</v>
      </c>
    </row>
    <row r="38" spans="1:14" x14ac:dyDescent="0.25">
      <c r="A38" t="s">
        <v>3173</v>
      </c>
      <c r="B38" t="s">
        <v>3174</v>
      </c>
      <c r="C38" t="s">
        <v>16</v>
      </c>
      <c r="D38" t="s">
        <v>13</v>
      </c>
      <c r="E38" t="str">
        <f>"99336"</f>
        <v>99336</v>
      </c>
      <c r="F38" t="s">
        <v>284</v>
      </c>
      <c r="G38" t="s">
        <v>3175</v>
      </c>
      <c r="I38" t="s">
        <v>16</v>
      </c>
      <c r="J38" t="s">
        <v>13</v>
      </c>
      <c r="K38" t="str">
        <f>"99337"</f>
        <v>99337</v>
      </c>
      <c r="L38">
        <v>17</v>
      </c>
      <c r="M38">
        <v>17</v>
      </c>
      <c r="N38">
        <v>0</v>
      </c>
    </row>
    <row r="39" spans="1:14" x14ac:dyDescent="0.25">
      <c r="A39" t="s">
        <v>2393</v>
      </c>
      <c r="B39" t="s">
        <v>2394</v>
      </c>
      <c r="C39" t="s">
        <v>283</v>
      </c>
      <c r="D39" t="s">
        <v>13</v>
      </c>
      <c r="E39" t="str">
        <f>"99350"</f>
        <v>99350</v>
      </c>
      <c r="F39" t="s">
        <v>284</v>
      </c>
      <c r="G39" t="s">
        <v>1853</v>
      </c>
      <c r="I39" t="s">
        <v>1646</v>
      </c>
      <c r="J39" t="s">
        <v>13</v>
      </c>
      <c r="K39" t="str">
        <f>"98936"</f>
        <v>98936</v>
      </c>
      <c r="L39">
        <v>50</v>
      </c>
      <c r="M39">
        <v>50</v>
      </c>
      <c r="N39">
        <v>0</v>
      </c>
    </row>
    <row r="40" spans="1:14" x14ac:dyDescent="0.25">
      <c r="A40" t="s">
        <v>1433</v>
      </c>
      <c r="B40" t="s">
        <v>1434</v>
      </c>
      <c r="C40" t="s">
        <v>1071</v>
      </c>
      <c r="D40" t="s">
        <v>13</v>
      </c>
      <c r="E40" t="str">
        <f>"99320"</f>
        <v>99320</v>
      </c>
      <c r="F40" t="s">
        <v>284</v>
      </c>
      <c r="G40" t="s">
        <v>1435</v>
      </c>
      <c r="I40" t="s">
        <v>77</v>
      </c>
      <c r="J40" t="s">
        <v>13</v>
      </c>
      <c r="K40" t="str">
        <f>"98233"</f>
        <v>98233</v>
      </c>
      <c r="L40">
        <v>50</v>
      </c>
      <c r="M40">
        <v>50</v>
      </c>
      <c r="N40">
        <v>0</v>
      </c>
    </row>
    <row r="41" spans="1:14" x14ac:dyDescent="0.25">
      <c r="A41" t="s">
        <v>828</v>
      </c>
      <c r="B41" t="s">
        <v>2160</v>
      </c>
      <c r="C41" t="s">
        <v>16</v>
      </c>
      <c r="D41" t="s">
        <v>13</v>
      </c>
      <c r="E41" t="str">
        <f>"99337"</f>
        <v>99337</v>
      </c>
      <c r="F41" t="s">
        <v>284</v>
      </c>
      <c r="G41" t="s">
        <v>2161</v>
      </c>
      <c r="I41" t="s">
        <v>1475</v>
      </c>
      <c r="J41" t="s">
        <v>433</v>
      </c>
      <c r="K41" t="str">
        <f>"92647"</f>
        <v>92647</v>
      </c>
      <c r="L41">
        <v>102</v>
      </c>
      <c r="M41">
        <v>96</v>
      </c>
      <c r="N41">
        <v>6</v>
      </c>
    </row>
    <row r="42" spans="1:14" x14ac:dyDescent="0.25">
      <c r="A42" t="s">
        <v>4039</v>
      </c>
      <c r="B42" t="s">
        <v>4040</v>
      </c>
      <c r="C42" t="s">
        <v>16</v>
      </c>
      <c r="D42" t="s">
        <v>13</v>
      </c>
      <c r="E42" t="str">
        <f>"99336"</f>
        <v>99336</v>
      </c>
      <c r="F42" t="s">
        <v>284</v>
      </c>
      <c r="G42" t="s">
        <v>4041</v>
      </c>
      <c r="I42" t="s">
        <v>16</v>
      </c>
      <c r="J42" t="s">
        <v>13</v>
      </c>
      <c r="K42" t="str">
        <f>"99336"</f>
        <v>99336</v>
      </c>
      <c r="L42">
        <v>33</v>
      </c>
      <c r="M42">
        <v>31</v>
      </c>
      <c r="N42">
        <v>2</v>
      </c>
    </row>
    <row r="43" spans="1:14" x14ac:dyDescent="0.25">
      <c r="A43" t="s">
        <v>3162</v>
      </c>
      <c r="B43" t="s">
        <v>3163</v>
      </c>
      <c r="C43" t="s">
        <v>283</v>
      </c>
      <c r="D43" t="s">
        <v>13</v>
      </c>
      <c r="E43" t="str">
        <f>"99350"</f>
        <v>99350</v>
      </c>
      <c r="F43" t="s">
        <v>284</v>
      </c>
      <c r="G43" t="s">
        <v>3164</v>
      </c>
      <c r="I43" t="s">
        <v>16</v>
      </c>
      <c r="J43" t="s">
        <v>13</v>
      </c>
      <c r="K43" t="str">
        <f>"99336"</f>
        <v>99336</v>
      </c>
      <c r="L43">
        <v>4</v>
      </c>
      <c r="M43">
        <v>4</v>
      </c>
      <c r="N43">
        <v>0</v>
      </c>
    </row>
    <row r="44" spans="1:14" x14ac:dyDescent="0.25">
      <c r="A44" t="s">
        <v>3647</v>
      </c>
      <c r="B44" t="s">
        <v>3648</v>
      </c>
      <c r="C44" t="s">
        <v>16</v>
      </c>
      <c r="D44" t="s">
        <v>13</v>
      </c>
      <c r="E44" t="str">
        <f>"99337"</f>
        <v>99337</v>
      </c>
      <c r="F44" t="s">
        <v>284</v>
      </c>
      <c r="G44" t="s">
        <v>1571</v>
      </c>
      <c r="I44" t="s">
        <v>1012</v>
      </c>
      <c r="J44" t="s">
        <v>821</v>
      </c>
      <c r="K44" t="str">
        <f>"97048"</f>
        <v>97048</v>
      </c>
      <c r="L44">
        <v>4</v>
      </c>
      <c r="M44">
        <v>4</v>
      </c>
      <c r="N44">
        <v>0</v>
      </c>
    </row>
    <row r="45" spans="1:14" x14ac:dyDescent="0.25">
      <c r="A45" t="s">
        <v>1979</v>
      </c>
      <c r="B45" t="s">
        <v>1980</v>
      </c>
      <c r="C45" t="s">
        <v>1071</v>
      </c>
      <c r="D45" t="s">
        <v>13</v>
      </c>
      <c r="E45" t="str">
        <f>"99320"</f>
        <v>99320</v>
      </c>
      <c r="F45" t="s">
        <v>284</v>
      </c>
      <c r="G45" t="s">
        <v>1332</v>
      </c>
      <c r="I45" t="s">
        <v>93</v>
      </c>
      <c r="J45" t="s">
        <v>13</v>
      </c>
      <c r="K45" t="str">
        <f>"98503"</f>
        <v>98503</v>
      </c>
      <c r="L45">
        <v>28</v>
      </c>
      <c r="M45">
        <v>3</v>
      </c>
      <c r="N45">
        <v>25</v>
      </c>
    </row>
    <row r="46" spans="1:14" x14ac:dyDescent="0.25">
      <c r="A46" t="s">
        <v>3424</v>
      </c>
      <c r="B46" t="s">
        <v>3425</v>
      </c>
      <c r="C46" t="s">
        <v>16</v>
      </c>
      <c r="D46" t="s">
        <v>13</v>
      </c>
      <c r="E46" t="str">
        <f>"99336"</f>
        <v>99336</v>
      </c>
      <c r="F46" t="s">
        <v>284</v>
      </c>
      <c r="G46" t="s">
        <v>2053</v>
      </c>
      <c r="I46" t="s">
        <v>1277</v>
      </c>
      <c r="J46" t="s">
        <v>13</v>
      </c>
      <c r="K46" t="str">
        <f>"98043"</f>
        <v>98043</v>
      </c>
      <c r="L46">
        <v>24</v>
      </c>
      <c r="M46">
        <v>20</v>
      </c>
      <c r="N46">
        <v>4</v>
      </c>
    </row>
    <row r="47" spans="1:14" x14ac:dyDescent="0.25">
      <c r="A47" t="s">
        <v>1863</v>
      </c>
      <c r="B47" t="s">
        <v>1864</v>
      </c>
      <c r="C47" t="s">
        <v>16</v>
      </c>
      <c r="D47" t="s">
        <v>13</v>
      </c>
      <c r="E47" t="str">
        <f>"99337"</f>
        <v>99337</v>
      </c>
      <c r="F47" t="s">
        <v>284</v>
      </c>
      <c r="G47" t="s">
        <v>1865</v>
      </c>
      <c r="I47" t="s">
        <v>96</v>
      </c>
      <c r="J47" t="s">
        <v>13</v>
      </c>
      <c r="K47" t="str">
        <f>"99362"</f>
        <v>99362</v>
      </c>
      <c r="L47">
        <v>61</v>
      </c>
      <c r="M47">
        <v>61</v>
      </c>
      <c r="N47">
        <v>0</v>
      </c>
    </row>
    <row r="48" spans="1:14" x14ac:dyDescent="0.25">
      <c r="A48" t="s">
        <v>3195</v>
      </c>
      <c r="B48" t="s">
        <v>3196</v>
      </c>
      <c r="C48" t="s">
        <v>16</v>
      </c>
      <c r="D48" t="s">
        <v>13</v>
      </c>
      <c r="E48" t="str">
        <f>"99337"</f>
        <v>99337</v>
      </c>
      <c r="F48" t="s">
        <v>284</v>
      </c>
      <c r="G48" t="s">
        <v>3197</v>
      </c>
      <c r="I48" t="s">
        <v>16</v>
      </c>
      <c r="J48" t="s">
        <v>13</v>
      </c>
      <c r="K48" t="str">
        <f>"99337"</f>
        <v>99337</v>
      </c>
      <c r="L48">
        <v>5</v>
      </c>
      <c r="M48">
        <v>5</v>
      </c>
      <c r="N48">
        <v>0</v>
      </c>
    </row>
    <row r="49" spans="1:14" x14ac:dyDescent="0.25">
      <c r="A49" t="s">
        <v>2057</v>
      </c>
      <c r="B49" t="s">
        <v>2058</v>
      </c>
      <c r="C49" t="s">
        <v>283</v>
      </c>
      <c r="D49" t="s">
        <v>13</v>
      </c>
      <c r="E49" t="str">
        <f>"99350"</f>
        <v>99350</v>
      </c>
      <c r="F49" t="s">
        <v>284</v>
      </c>
      <c r="G49" t="s">
        <v>2058</v>
      </c>
      <c r="I49" t="s">
        <v>283</v>
      </c>
      <c r="J49" t="s">
        <v>13</v>
      </c>
      <c r="K49" t="str">
        <f>"99350"</f>
        <v>99350</v>
      </c>
      <c r="L49">
        <v>10</v>
      </c>
      <c r="M49">
        <v>10</v>
      </c>
      <c r="N49">
        <v>0</v>
      </c>
    </row>
    <row r="50" spans="1:14" x14ac:dyDescent="0.25">
      <c r="A50" t="s">
        <v>2581</v>
      </c>
      <c r="B50" t="s">
        <v>2582</v>
      </c>
      <c r="C50" t="s">
        <v>16</v>
      </c>
      <c r="D50" t="s">
        <v>13</v>
      </c>
      <c r="E50" t="str">
        <f>"99336"</f>
        <v>99336</v>
      </c>
      <c r="F50" t="s">
        <v>284</v>
      </c>
      <c r="G50" t="s">
        <v>1852</v>
      </c>
      <c r="I50" t="s">
        <v>1782</v>
      </c>
      <c r="J50" t="s">
        <v>13</v>
      </c>
      <c r="K50" t="str">
        <f>"98467"</f>
        <v>98467</v>
      </c>
      <c r="L50">
        <v>10</v>
      </c>
      <c r="M50">
        <v>10</v>
      </c>
      <c r="N50">
        <v>0</v>
      </c>
    </row>
    <row r="51" spans="1:14" x14ac:dyDescent="0.25">
      <c r="A51" t="s">
        <v>354</v>
      </c>
      <c r="B51" t="s">
        <v>355</v>
      </c>
      <c r="C51" t="s">
        <v>16</v>
      </c>
      <c r="D51" t="s">
        <v>13</v>
      </c>
      <c r="E51" t="str">
        <f>"99336"</f>
        <v>99336</v>
      </c>
      <c r="F51" t="s">
        <v>284</v>
      </c>
      <c r="G51" t="s">
        <v>356</v>
      </c>
      <c r="I51" t="s">
        <v>16</v>
      </c>
      <c r="J51" t="s">
        <v>13</v>
      </c>
      <c r="K51" t="str">
        <f>"99336"</f>
        <v>99336</v>
      </c>
      <c r="L51">
        <v>54</v>
      </c>
      <c r="M51">
        <v>30</v>
      </c>
      <c r="N51">
        <v>24</v>
      </c>
    </row>
    <row r="52" spans="1:14" x14ac:dyDescent="0.25">
      <c r="A52" t="s">
        <v>2323</v>
      </c>
      <c r="B52" t="s">
        <v>2324</v>
      </c>
      <c r="C52" t="s">
        <v>16</v>
      </c>
      <c r="D52" t="s">
        <v>13</v>
      </c>
      <c r="E52" t="str">
        <f>"99337"</f>
        <v>99337</v>
      </c>
      <c r="F52" t="s">
        <v>284</v>
      </c>
      <c r="G52" t="s">
        <v>2325</v>
      </c>
      <c r="I52" t="s">
        <v>16</v>
      </c>
      <c r="J52" t="s">
        <v>13</v>
      </c>
      <c r="K52" t="str">
        <f>"99336"</f>
        <v>99336</v>
      </c>
      <c r="L52">
        <v>17</v>
      </c>
      <c r="M52">
        <v>15</v>
      </c>
      <c r="N52">
        <v>2</v>
      </c>
    </row>
    <row r="53" spans="1:14" x14ac:dyDescent="0.25">
      <c r="A53" t="s">
        <v>3629</v>
      </c>
      <c r="B53" t="s">
        <v>3630</v>
      </c>
      <c r="C53" t="s">
        <v>883</v>
      </c>
      <c r="D53" t="s">
        <v>13</v>
      </c>
      <c r="E53" t="str">
        <f>"99354"</f>
        <v>99354</v>
      </c>
      <c r="F53" t="s">
        <v>284</v>
      </c>
      <c r="G53" t="s">
        <v>3631</v>
      </c>
      <c r="H53" t="s">
        <v>3632</v>
      </c>
      <c r="I53" t="s">
        <v>886</v>
      </c>
      <c r="K53" t="str">
        <f>"     "</f>
        <v xml:space="preserve">     </v>
      </c>
      <c r="L53">
        <v>311</v>
      </c>
      <c r="M53">
        <v>311</v>
      </c>
      <c r="N53">
        <v>0</v>
      </c>
    </row>
    <row r="54" spans="1:14" x14ac:dyDescent="0.25">
      <c r="A54" t="s">
        <v>2638</v>
      </c>
      <c r="B54" t="s">
        <v>3614</v>
      </c>
      <c r="C54" t="s">
        <v>1071</v>
      </c>
      <c r="D54" t="s">
        <v>13</v>
      </c>
      <c r="E54" t="str">
        <f>"99320"</f>
        <v>99320</v>
      </c>
      <c r="F54" t="s">
        <v>284</v>
      </c>
      <c r="G54" t="s">
        <v>3615</v>
      </c>
      <c r="I54" t="s">
        <v>883</v>
      </c>
      <c r="J54" t="s">
        <v>13</v>
      </c>
      <c r="K54" t="str">
        <f>"99354"</f>
        <v>99354</v>
      </c>
      <c r="L54">
        <v>14</v>
      </c>
      <c r="M54">
        <v>7</v>
      </c>
      <c r="N54">
        <v>7</v>
      </c>
    </row>
    <row r="55" spans="1:14" x14ac:dyDescent="0.25">
      <c r="A55" t="s">
        <v>1049</v>
      </c>
      <c r="B55" t="s">
        <v>3127</v>
      </c>
      <c r="C55" t="s">
        <v>16</v>
      </c>
      <c r="D55" t="s">
        <v>13</v>
      </c>
      <c r="E55" t="str">
        <f>"99336"</f>
        <v>99336</v>
      </c>
      <c r="F55" t="s">
        <v>284</v>
      </c>
      <c r="G55" t="s">
        <v>3128</v>
      </c>
      <c r="I55" t="s">
        <v>16</v>
      </c>
      <c r="J55" t="s">
        <v>13</v>
      </c>
      <c r="K55" t="str">
        <f>"99336"</f>
        <v>99336</v>
      </c>
      <c r="L55">
        <v>42</v>
      </c>
      <c r="M55">
        <v>42</v>
      </c>
      <c r="N55">
        <v>0</v>
      </c>
    </row>
    <row r="56" spans="1:14" x14ac:dyDescent="0.25">
      <c r="A56" t="s">
        <v>1447</v>
      </c>
      <c r="B56" t="s">
        <v>1448</v>
      </c>
      <c r="C56" t="s">
        <v>979</v>
      </c>
      <c r="D56" t="s">
        <v>13</v>
      </c>
      <c r="E56" t="str">
        <f>"99353"</f>
        <v>99353</v>
      </c>
      <c r="F56" t="s">
        <v>284</v>
      </c>
      <c r="G56" t="s">
        <v>1444</v>
      </c>
      <c r="I56" t="s">
        <v>100</v>
      </c>
      <c r="J56" t="s">
        <v>13</v>
      </c>
      <c r="K56" t="str">
        <f>"98903"</f>
        <v>98903</v>
      </c>
      <c r="L56">
        <v>41</v>
      </c>
      <c r="M56">
        <v>40</v>
      </c>
      <c r="N56">
        <v>1</v>
      </c>
    </row>
    <row r="57" spans="1:14" x14ac:dyDescent="0.25">
      <c r="A57" t="s">
        <v>1228</v>
      </c>
      <c r="B57" t="s">
        <v>1229</v>
      </c>
      <c r="C57" t="s">
        <v>16</v>
      </c>
      <c r="D57" t="s">
        <v>13</v>
      </c>
      <c r="E57" t="str">
        <f>"99336"</f>
        <v>99336</v>
      </c>
      <c r="F57" t="s">
        <v>284</v>
      </c>
      <c r="G57" t="s">
        <v>1230</v>
      </c>
      <c r="I57" t="s">
        <v>1231</v>
      </c>
      <c r="J57" t="s">
        <v>433</v>
      </c>
      <c r="K57" t="str">
        <f>"92711"</f>
        <v>92711</v>
      </c>
      <c r="L57">
        <v>175</v>
      </c>
      <c r="M57">
        <v>167</v>
      </c>
      <c r="N57">
        <v>8</v>
      </c>
    </row>
    <row r="58" spans="1:14" x14ac:dyDescent="0.25">
      <c r="A58" t="s">
        <v>616</v>
      </c>
      <c r="B58" t="s">
        <v>617</v>
      </c>
      <c r="C58" t="s">
        <v>16</v>
      </c>
      <c r="D58" t="s">
        <v>13</v>
      </c>
      <c r="E58" t="str">
        <f>"99336"</f>
        <v>99336</v>
      </c>
      <c r="F58" t="s">
        <v>284</v>
      </c>
      <c r="G58" t="s">
        <v>618</v>
      </c>
      <c r="I58" t="s">
        <v>366</v>
      </c>
      <c r="J58" t="s">
        <v>13</v>
      </c>
      <c r="K58" t="str">
        <f>"98367"</f>
        <v>98367</v>
      </c>
      <c r="L58">
        <v>39</v>
      </c>
      <c r="M58">
        <v>39</v>
      </c>
      <c r="N58">
        <v>0</v>
      </c>
    </row>
    <row r="59" spans="1:14" x14ac:dyDescent="0.25">
      <c r="A59" t="s">
        <v>1658</v>
      </c>
      <c r="B59" t="s">
        <v>1659</v>
      </c>
      <c r="C59" t="s">
        <v>16</v>
      </c>
      <c r="D59" t="s">
        <v>13</v>
      </c>
      <c r="E59" t="str">
        <f>"99338"</f>
        <v>99338</v>
      </c>
      <c r="F59" t="s">
        <v>284</v>
      </c>
      <c r="G59" t="s">
        <v>1660</v>
      </c>
      <c r="I59" t="s">
        <v>1661</v>
      </c>
      <c r="J59" t="s">
        <v>433</v>
      </c>
      <c r="K59" t="str">
        <f>"95759"</f>
        <v>95759</v>
      </c>
      <c r="L59">
        <v>190</v>
      </c>
      <c r="M59">
        <v>163</v>
      </c>
      <c r="N59">
        <v>27</v>
      </c>
    </row>
    <row r="60" spans="1:14" x14ac:dyDescent="0.25">
      <c r="A60" t="s">
        <v>2191</v>
      </c>
      <c r="B60" t="s">
        <v>2192</v>
      </c>
      <c r="C60" t="s">
        <v>883</v>
      </c>
      <c r="D60" t="s">
        <v>13</v>
      </c>
      <c r="E60" t="str">
        <f>"99352"</f>
        <v>99352</v>
      </c>
      <c r="F60" t="s">
        <v>284</v>
      </c>
      <c r="G60" t="s">
        <v>1954</v>
      </c>
      <c r="I60" t="s">
        <v>1498</v>
      </c>
      <c r="J60" t="s">
        <v>13</v>
      </c>
      <c r="K60" t="str">
        <f>"98045"</f>
        <v>98045</v>
      </c>
      <c r="L60">
        <v>277</v>
      </c>
      <c r="M60">
        <v>277</v>
      </c>
      <c r="N60">
        <v>0</v>
      </c>
    </row>
    <row r="61" spans="1:14" x14ac:dyDescent="0.25">
      <c r="A61" t="s">
        <v>984</v>
      </c>
      <c r="B61" t="s">
        <v>985</v>
      </c>
      <c r="C61" t="s">
        <v>16</v>
      </c>
      <c r="D61" t="s">
        <v>13</v>
      </c>
      <c r="E61" t="str">
        <f>"99336"</f>
        <v>99336</v>
      </c>
      <c r="F61" t="s">
        <v>284</v>
      </c>
      <c r="G61" t="s">
        <v>986</v>
      </c>
      <c r="I61" t="s">
        <v>605</v>
      </c>
      <c r="J61" t="s">
        <v>13</v>
      </c>
      <c r="K61" t="str">
        <f>"98008"</f>
        <v>98008</v>
      </c>
      <c r="L61">
        <v>8</v>
      </c>
      <c r="M61">
        <v>8</v>
      </c>
      <c r="N61">
        <v>0</v>
      </c>
    </row>
    <row r="62" spans="1:14" x14ac:dyDescent="0.25">
      <c r="A62" t="s">
        <v>977</v>
      </c>
      <c r="B62" t="s">
        <v>978</v>
      </c>
      <c r="C62" t="s">
        <v>979</v>
      </c>
      <c r="D62" t="s">
        <v>13</v>
      </c>
      <c r="E62" t="str">
        <f>"99353"</f>
        <v>99353</v>
      </c>
      <c r="F62" t="s">
        <v>284</v>
      </c>
      <c r="G62" t="s">
        <v>980</v>
      </c>
      <c r="I62" t="s">
        <v>979</v>
      </c>
      <c r="J62" t="s">
        <v>13</v>
      </c>
      <c r="K62" t="str">
        <f>"99353"</f>
        <v>99353</v>
      </c>
      <c r="L62">
        <v>14</v>
      </c>
      <c r="M62">
        <v>11</v>
      </c>
      <c r="N62">
        <v>3</v>
      </c>
    </row>
    <row r="63" spans="1:14" x14ac:dyDescent="0.25">
      <c r="A63" t="s">
        <v>1217</v>
      </c>
      <c r="B63" t="s">
        <v>1218</v>
      </c>
      <c r="C63" t="s">
        <v>979</v>
      </c>
      <c r="D63" t="s">
        <v>13</v>
      </c>
      <c r="E63" t="str">
        <f>"99353"</f>
        <v>99353</v>
      </c>
      <c r="F63" t="s">
        <v>284</v>
      </c>
      <c r="G63" t="s">
        <v>1218</v>
      </c>
      <c r="I63" t="s">
        <v>979</v>
      </c>
      <c r="J63" t="s">
        <v>13</v>
      </c>
      <c r="K63" t="str">
        <f>"99353"</f>
        <v>99353</v>
      </c>
      <c r="L63">
        <v>4</v>
      </c>
      <c r="M63">
        <v>4</v>
      </c>
      <c r="N63">
        <v>0</v>
      </c>
    </row>
    <row r="64" spans="1:14" x14ac:dyDescent="0.25">
      <c r="A64" t="s">
        <v>3699</v>
      </c>
      <c r="B64" t="s">
        <v>3700</v>
      </c>
      <c r="C64" t="s">
        <v>16</v>
      </c>
      <c r="D64" t="s">
        <v>13</v>
      </c>
      <c r="E64" t="str">
        <f>"99336"</f>
        <v>99336</v>
      </c>
      <c r="F64" t="s">
        <v>284</v>
      </c>
      <c r="G64" t="s">
        <v>3701</v>
      </c>
      <c r="I64" t="s">
        <v>1419</v>
      </c>
      <c r="J64" t="s">
        <v>13</v>
      </c>
      <c r="K64" t="str">
        <f>"98250"</f>
        <v>98250</v>
      </c>
      <c r="L64">
        <v>10</v>
      </c>
      <c r="M64">
        <v>10</v>
      </c>
      <c r="N64">
        <v>0</v>
      </c>
    </row>
    <row r="65" spans="1:14" x14ac:dyDescent="0.25">
      <c r="A65" t="s">
        <v>1709</v>
      </c>
      <c r="B65" t="s">
        <v>1710</v>
      </c>
      <c r="C65" t="s">
        <v>16</v>
      </c>
      <c r="D65" t="s">
        <v>13</v>
      </c>
      <c r="E65" t="str">
        <f>"99336"</f>
        <v>99336</v>
      </c>
      <c r="F65" t="s">
        <v>284</v>
      </c>
      <c r="G65" t="s">
        <v>1711</v>
      </c>
      <c r="I65" t="s">
        <v>146</v>
      </c>
      <c r="J65" t="s">
        <v>13</v>
      </c>
      <c r="K65" t="str">
        <f>"98373"</f>
        <v>98373</v>
      </c>
      <c r="L65">
        <v>21</v>
      </c>
      <c r="M65">
        <v>21</v>
      </c>
      <c r="N65">
        <v>0</v>
      </c>
    </row>
    <row r="66" spans="1:14" x14ac:dyDescent="0.25">
      <c r="A66" t="s">
        <v>1714</v>
      </c>
      <c r="B66" t="s">
        <v>1715</v>
      </c>
      <c r="C66" t="s">
        <v>979</v>
      </c>
      <c r="D66" t="s">
        <v>13</v>
      </c>
      <c r="E66" t="str">
        <f>"99353"</f>
        <v>99353</v>
      </c>
      <c r="F66" t="s">
        <v>284</v>
      </c>
      <c r="G66" t="s">
        <v>1716</v>
      </c>
      <c r="I66" t="s">
        <v>979</v>
      </c>
      <c r="J66" t="s">
        <v>13</v>
      </c>
      <c r="K66" t="str">
        <f>"99353"</f>
        <v>99353</v>
      </c>
      <c r="L66">
        <v>13</v>
      </c>
      <c r="M66">
        <v>13</v>
      </c>
      <c r="N66">
        <v>0</v>
      </c>
    </row>
    <row r="67" spans="1:14" x14ac:dyDescent="0.25">
      <c r="A67" t="s">
        <v>1069</v>
      </c>
      <c r="B67" t="s">
        <v>1070</v>
      </c>
      <c r="C67" t="s">
        <v>1071</v>
      </c>
      <c r="D67" t="s">
        <v>13</v>
      </c>
      <c r="E67" t="str">
        <f>"99320"</f>
        <v>99320</v>
      </c>
      <c r="F67" t="s">
        <v>284</v>
      </c>
      <c r="G67" t="s">
        <v>1072</v>
      </c>
      <c r="I67" t="s">
        <v>883</v>
      </c>
      <c r="J67" t="s">
        <v>13</v>
      </c>
      <c r="K67" t="str">
        <f>"99354"</f>
        <v>99354</v>
      </c>
      <c r="L67">
        <v>27</v>
      </c>
      <c r="M67">
        <v>22</v>
      </c>
      <c r="N67">
        <v>5</v>
      </c>
    </row>
    <row r="68" spans="1:14" x14ac:dyDescent="0.25">
      <c r="A68" t="s">
        <v>3469</v>
      </c>
      <c r="B68" t="s">
        <v>3470</v>
      </c>
      <c r="C68" t="s">
        <v>16</v>
      </c>
      <c r="D68" t="s">
        <v>13</v>
      </c>
      <c r="E68" t="str">
        <f>"99336"</f>
        <v>99336</v>
      </c>
      <c r="F68" t="s">
        <v>284</v>
      </c>
      <c r="G68" t="s">
        <v>3471</v>
      </c>
      <c r="I68" t="s">
        <v>890</v>
      </c>
      <c r="J68" t="s">
        <v>821</v>
      </c>
      <c r="K68" t="str">
        <f>"97219"</f>
        <v>97219</v>
      </c>
      <c r="L68">
        <v>82</v>
      </c>
      <c r="M68">
        <v>74</v>
      </c>
      <c r="N68">
        <v>8</v>
      </c>
    </row>
    <row r="69" spans="1:14" x14ac:dyDescent="0.25">
      <c r="A69" t="s">
        <v>1713</v>
      </c>
      <c r="B69" t="s">
        <v>1321</v>
      </c>
      <c r="C69" t="s">
        <v>283</v>
      </c>
      <c r="D69" t="s">
        <v>13</v>
      </c>
      <c r="E69" t="str">
        <f>"99350"</f>
        <v>99350</v>
      </c>
      <c r="F69" t="s">
        <v>284</v>
      </c>
      <c r="G69" t="s">
        <v>1711</v>
      </c>
      <c r="I69" t="s">
        <v>146</v>
      </c>
      <c r="J69" t="s">
        <v>13</v>
      </c>
      <c r="K69" t="str">
        <f>"98374"</f>
        <v>98374</v>
      </c>
      <c r="L69">
        <v>63</v>
      </c>
      <c r="M69">
        <v>63</v>
      </c>
      <c r="N69">
        <v>0</v>
      </c>
    </row>
    <row r="70" spans="1:14" x14ac:dyDescent="0.25">
      <c r="A70" t="s">
        <v>1320</v>
      </c>
      <c r="B70" t="s">
        <v>1321</v>
      </c>
      <c r="C70" t="s">
        <v>283</v>
      </c>
      <c r="D70" t="s">
        <v>13</v>
      </c>
      <c r="E70" t="str">
        <f>"99350"</f>
        <v>99350</v>
      </c>
      <c r="F70" t="s">
        <v>284</v>
      </c>
      <c r="G70" t="s">
        <v>1322</v>
      </c>
      <c r="I70" t="s">
        <v>283</v>
      </c>
      <c r="J70" t="s">
        <v>13</v>
      </c>
      <c r="K70" t="str">
        <f>"99350"</f>
        <v>99350</v>
      </c>
      <c r="L70">
        <v>4</v>
      </c>
      <c r="M70">
        <v>3</v>
      </c>
      <c r="N70">
        <v>1</v>
      </c>
    </row>
    <row r="71" spans="1:14" x14ac:dyDescent="0.25">
      <c r="A71" t="s">
        <v>1526</v>
      </c>
      <c r="B71" t="s">
        <v>1527</v>
      </c>
      <c r="C71" t="s">
        <v>20</v>
      </c>
      <c r="D71" t="s">
        <v>13</v>
      </c>
      <c r="E71" t="str">
        <f>"98816"</f>
        <v>98816</v>
      </c>
      <c r="F71" t="s">
        <v>20</v>
      </c>
      <c r="G71" t="s">
        <v>1528</v>
      </c>
      <c r="H71" t="s">
        <v>1529</v>
      </c>
      <c r="I71" t="s">
        <v>501</v>
      </c>
      <c r="J71" t="s">
        <v>13</v>
      </c>
      <c r="K71" t="str">
        <f>"98052"</f>
        <v>98052</v>
      </c>
      <c r="L71">
        <v>66</v>
      </c>
      <c r="M71">
        <v>66</v>
      </c>
      <c r="N71">
        <v>0</v>
      </c>
    </row>
    <row r="72" spans="1:14" x14ac:dyDescent="0.25">
      <c r="A72" t="s">
        <v>864</v>
      </c>
      <c r="B72" t="s">
        <v>865</v>
      </c>
      <c r="C72" t="s">
        <v>22</v>
      </c>
      <c r="D72" t="s">
        <v>13</v>
      </c>
      <c r="E72" t="str">
        <f>"98801"</f>
        <v>98801</v>
      </c>
      <c r="F72" t="s">
        <v>20</v>
      </c>
      <c r="G72" t="s">
        <v>863</v>
      </c>
      <c r="I72" t="s">
        <v>859</v>
      </c>
      <c r="J72" t="s">
        <v>13</v>
      </c>
      <c r="K72" t="str">
        <f>"98802"</f>
        <v>98802</v>
      </c>
      <c r="L72">
        <v>31</v>
      </c>
      <c r="M72">
        <v>31</v>
      </c>
      <c r="N72">
        <v>0</v>
      </c>
    </row>
    <row r="73" spans="1:14" x14ac:dyDescent="0.25">
      <c r="A73" t="s">
        <v>866</v>
      </c>
      <c r="B73" t="s">
        <v>867</v>
      </c>
      <c r="C73" t="s">
        <v>22</v>
      </c>
      <c r="D73" t="s">
        <v>13</v>
      </c>
      <c r="E73" t="str">
        <f>"98801"</f>
        <v>98801</v>
      </c>
      <c r="F73" t="s">
        <v>20</v>
      </c>
      <c r="G73" t="s">
        <v>863</v>
      </c>
      <c r="I73" t="s">
        <v>859</v>
      </c>
      <c r="J73" t="s">
        <v>13</v>
      </c>
      <c r="K73" t="str">
        <f>"98802"</f>
        <v>98802</v>
      </c>
      <c r="L73">
        <v>31</v>
      </c>
      <c r="M73">
        <v>31</v>
      </c>
      <c r="N73">
        <v>0</v>
      </c>
    </row>
    <row r="74" spans="1:14" x14ac:dyDescent="0.25">
      <c r="A74" t="s">
        <v>3719</v>
      </c>
      <c r="B74" t="s">
        <v>3720</v>
      </c>
      <c r="C74" t="s">
        <v>1840</v>
      </c>
      <c r="D74" t="s">
        <v>13</v>
      </c>
      <c r="E74" t="str">
        <f>"98815"</f>
        <v>98815</v>
      </c>
      <c r="F74" t="s">
        <v>20</v>
      </c>
      <c r="G74" t="s">
        <v>3721</v>
      </c>
      <c r="I74" t="s">
        <v>524</v>
      </c>
      <c r="J74" t="s">
        <v>13</v>
      </c>
      <c r="K74" t="str">
        <f>"98826"</f>
        <v>98826</v>
      </c>
      <c r="L74">
        <v>15</v>
      </c>
      <c r="M74">
        <v>9</v>
      </c>
      <c r="N74">
        <v>6</v>
      </c>
    </row>
    <row r="75" spans="1:14" x14ac:dyDescent="0.25">
      <c r="A75" t="s">
        <v>2656</v>
      </c>
      <c r="B75" t="s">
        <v>2657</v>
      </c>
      <c r="C75" t="s">
        <v>1840</v>
      </c>
      <c r="D75" t="s">
        <v>13</v>
      </c>
      <c r="E75" t="str">
        <f>"98815"</f>
        <v>98815</v>
      </c>
      <c r="F75" t="s">
        <v>20</v>
      </c>
      <c r="G75" t="s">
        <v>2658</v>
      </c>
      <c r="I75" t="s">
        <v>1840</v>
      </c>
      <c r="J75" t="s">
        <v>13</v>
      </c>
      <c r="K75" t="str">
        <f>"98815"</f>
        <v>98815</v>
      </c>
      <c r="L75">
        <v>35</v>
      </c>
      <c r="M75">
        <v>34</v>
      </c>
      <c r="N75">
        <v>1</v>
      </c>
    </row>
    <row r="76" spans="1:14" x14ac:dyDescent="0.25">
      <c r="A76" t="s">
        <v>3692</v>
      </c>
      <c r="B76" t="s">
        <v>3693</v>
      </c>
      <c r="C76" t="s">
        <v>3694</v>
      </c>
      <c r="D76" t="s">
        <v>13</v>
      </c>
      <c r="E76" t="str">
        <f>"98821"</f>
        <v>98821</v>
      </c>
      <c r="F76" t="s">
        <v>20</v>
      </c>
      <c r="G76" t="s">
        <v>3695</v>
      </c>
      <c r="I76" t="s">
        <v>524</v>
      </c>
      <c r="J76" t="s">
        <v>13</v>
      </c>
      <c r="K76" t="str">
        <f>"98826"</f>
        <v>98826</v>
      </c>
      <c r="L76">
        <v>7</v>
      </c>
      <c r="M76">
        <v>7</v>
      </c>
      <c r="N76">
        <v>0</v>
      </c>
    </row>
    <row r="77" spans="1:14" x14ac:dyDescent="0.25">
      <c r="A77" t="s">
        <v>2857</v>
      </c>
      <c r="B77" t="s">
        <v>2858</v>
      </c>
      <c r="C77" t="s">
        <v>1840</v>
      </c>
      <c r="D77" t="s">
        <v>13</v>
      </c>
      <c r="E77" t="str">
        <f>"98815"</f>
        <v>98815</v>
      </c>
      <c r="F77" t="s">
        <v>20</v>
      </c>
      <c r="G77" t="s">
        <v>53</v>
      </c>
      <c r="I77" t="s">
        <v>22</v>
      </c>
      <c r="J77" t="s">
        <v>13</v>
      </c>
      <c r="K77" t="str">
        <f>"98807"</f>
        <v>98807</v>
      </c>
      <c r="L77">
        <v>12</v>
      </c>
      <c r="M77">
        <v>8</v>
      </c>
      <c r="N77">
        <v>4</v>
      </c>
    </row>
    <row r="78" spans="1:14" x14ac:dyDescent="0.25">
      <c r="A78" t="s">
        <v>1838</v>
      </c>
      <c r="B78" t="s">
        <v>1839</v>
      </c>
      <c r="C78" t="s">
        <v>1840</v>
      </c>
      <c r="D78" t="s">
        <v>13</v>
      </c>
      <c r="E78" t="str">
        <f>"98815"</f>
        <v>98815</v>
      </c>
      <c r="F78" t="s">
        <v>20</v>
      </c>
      <c r="G78" t="s">
        <v>1841</v>
      </c>
      <c r="I78" t="s">
        <v>1840</v>
      </c>
      <c r="J78" t="s">
        <v>13</v>
      </c>
      <c r="K78" t="str">
        <f>"98815"</f>
        <v>98815</v>
      </c>
      <c r="L78">
        <v>23</v>
      </c>
      <c r="M78">
        <v>23</v>
      </c>
      <c r="N78">
        <v>0</v>
      </c>
    </row>
    <row r="79" spans="1:14" x14ac:dyDescent="0.25">
      <c r="A79" t="s">
        <v>1894</v>
      </c>
      <c r="B79" t="s">
        <v>1895</v>
      </c>
      <c r="C79" t="s">
        <v>22</v>
      </c>
      <c r="D79" t="s">
        <v>13</v>
      </c>
      <c r="E79" t="str">
        <f>"98801"</f>
        <v>98801</v>
      </c>
      <c r="F79" t="s">
        <v>20</v>
      </c>
      <c r="G79" t="s">
        <v>1802</v>
      </c>
      <c r="I79" t="s">
        <v>524</v>
      </c>
      <c r="J79" t="s">
        <v>13</v>
      </c>
      <c r="K79" t="str">
        <f>"98826"</f>
        <v>98826</v>
      </c>
      <c r="L79">
        <v>37</v>
      </c>
      <c r="M79">
        <v>37</v>
      </c>
      <c r="N79">
        <v>0</v>
      </c>
    </row>
    <row r="80" spans="1:14" x14ac:dyDescent="0.25">
      <c r="A80" t="s">
        <v>742</v>
      </c>
      <c r="B80" t="s">
        <v>743</v>
      </c>
      <c r="C80" t="s">
        <v>22</v>
      </c>
      <c r="D80" t="s">
        <v>13</v>
      </c>
      <c r="E80" t="str">
        <f>"98801"</f>
        <v>98801</v>
      </c>
      <c r="F80" t="s">
        <v>20</v>
      </c>
      <c r="G80" t="s">
        <v>744</v>
      </c>
      <c r="I80" t="s">
        <v>14</v>
      </c>
      <c r="J80" t="s">
        <v>13</v>
      </c>
      <c r="K80" t="str">
        <f>"98296"</f>
        <v>98296</v>
      </c>
      <c r="L80">
        <v>14</v>
      </c>
      <c r="M80">
        <v>14</v>
      </c>
      <c r="N80">
        <v>0</v>
      </c>
    </row>
    <row r="81" spans="1:14" x14ac:dyDescent="0.25">
      <c r="A81" t="s">
        <v>3301</v>
      </c>
      <c r="B81" t="s">
        <v>3302</v>
      </c>
      <c r="C81" t="s">
        <v>22</v>
      </c>
      <c r="D81" t="s">
        <v>13</v>
      </c>
      <c r="E81" t="str">
        <f>"98801"</f>
        <v>98801</v>
      </c>
      <c r="F81" t="s">
        <v>20</v>
      </c>
      <c r="G81" t="s">
        <v>3303</v>
      </c>
      <c r="I81" t="s">
        <v>859</v>
      </c>
      <c r="J81" t="s">
        <v>13</v>
      </c>
      <c r="K81" t="str">
        <f>"98802"</f>
        <v>98802</v>
      </c>
      <c r="L81">
        <v>10</v>
      </c>
      <c r="M81">
        <v>10</v>
      </c>
      <c r="N81">
        <v>0</v>
      </c>
    </row>
    <row r="82" spans="1:14" x14ac:dyDescent="0.25">
      <c r="A82" t="s">
        <v>1800</v>
      </c>
      <c r="B82" t="s">
        <v>1801</v>
      </c>
      <c r="C82" t="s">
        <v>22</v>
      </c>
      <c r="D82" t="s">
        <v>13</v>
      </c>
      <c r="E82" t="str">
        <f>"98801"</f>
        <v>98801</v>
      </c>
      <c r="F82" t="s">
        <v>20</v>
      </c>
      <c r="G82" t="s">
        <v>1802</v>
      </c>
      <c r="I82" t="s">
        <v>524</v>
      </c>
      <c r="J82" t="s">
        <v>13</v>
      </c>
      <c r="K82" t="str">
        <f>"98826"</f>
        <v>98826</v>
      </c>
      <c r="L82">
        <v>54</v>
      </c>
      <c r="M82">
        <v>54</v>
      </c>
      <c r="N82">
        <v>0</v>
      </c>
    </row>
    <row r="83" spans="1:14" x14ac:dyDescent="0.25">
      <c r="A83" t="s">
        <v>522</v>
      </c>
      <c r="B83" t="s">
        <v>523</v>
      </c>
      <c r="C83" t="s">
        <v>524</v>
      </c>
      <c r="D83" t="s">
        <v>13</v>
      </c>
      <c r="E83" t="str">
        <f>"98826"</f>
        <v>98826</v>
      </c>
      <c r="F83" t="s">
        <v>20</v>
      </c>
      <c r="G83" t="s">
        <v>523</v>
      </c>
      <c r="I83" t="s">
        <v>524</v>
      </c>
      <c r="J83" t="s">
        <v>13</v>
      </c>
      <c r="K83" t="str">
        <f>"98826"</f>
        <v>98826</v>
      </c>
      <c r="L83">
        <v>4</v>
      </c>
      <c r="M83">
        <v>4</v>
      </c>
      <c r="N83">
        <v>0</v>
      </c>
    </row>
    <row r="84" spans="1:14" x14ac:dyDescent="0.25">
      <c r="A84" t="s">
        <v>3270</v>
      </c>
      <c r="B84" t="s">
        <v>3271</v>
      </c>
      <c r="C84" t="s">
        <v>22</v>
      </c>
      <c r="D84" t="s">
        <v>13</v>
      </c>
      <c r="E84" t="str">
        <f>"98801"</f>
        <v>98801</v>
      </c>
      <c r="F84" t="s">
        <v>20</v>
      </c>
      <c r="G84" t="s">
        <v>3272</v>
      </c>
      <c r="I84" t="s">
        <v>22</v>
      </c>
      <c r="J84" t="s">
        <v>13</v>
      </c>
      <c r="K84" t="str">
        <f>"98807"</f>
        <v>98807</v>
      </c>
      <c r="L84">
        <v>61</v>
      </c>
      <c r="M84">
        <v>60</v>
      </c>
      <c r="N84">
        <v>1</v>
      </c>
    </row>
    <row r="85" spans="1:14" x14ac:dyDescent="0.25">
      <c r="A85" t="s">
        <v>3789</v>
      </c>
      <c r="B85" t="s">
        <v>3790</v>
      </c>
      <c r="C85" t="s">
        <v>22</v>
      </c>
      <c r="D85" t="s">
        <v>13</v>
      </c>
      <c r="E85" t="str">
        <f>"98801"</f>
        <v>98801</v>
      </c>
      <c r="F85" t="s">
        <v>20</v>
      </c>
      <c r="G85" t="s">
        <v>3790</v>
      </c>
      <c r="I85" t="s">
        <v>22</v>
      </c>
      <c r="J85" t="s">
        <v>13</v>
      </c>
      <c r="K85" t="str">
        <f>"98801"</f>
        <v>98801</v>
      </c>
      <c r="L85">
        <v>62</v>
      </c>
      <c r="M85">
        <v>62</v>
      </c>
      <c r="N85">
        <v>0</v>
      </c>
    </row>
    <row r="86" spans="1:14" x14ac:dyDescent="0.25">
      <c r="A86" t="s">
        <v>1896</v>
      </c>
      <c r="B86" t="s">
        <v>1897</v>
      </c>
      <c r="C86" t="s">
        <v>22</v>
      </c>
      <c r="D86" t="s">
        <v>13</v>
      </c>
      <c r="E86" t="str">
        <f>"98801"</f>
        <v>98801</v>
      </c>
      <c r="F86" t="s">
        <v>20</v>
      </c>
      <c r="G86" t="s">
        <v>1802</v>
      </c>
      <c r="I86" t="s">
        <v>524</v>
      </c>
      <c r="J86" t="s">
        <v>13</v>
      </c>
      <c r="K86" t="str">
        <f>"98826"</f>
        <v>98826</v>
      </c>
      <c r="L86">
        <v>31</v>
      </c>
      <c r="M86">
        <v>31</v>
      </c>
      <c r="N86">
        <v>0</v>
      </c>
    </row>
    <row r="87" spans="1:14" x14ac:dyDescent="0.25">
      <c r="A87" t="s">
        <v>2311</v>
      </c>
      <c r="B87" t="s">
        <v>2312</v>
      </c>
      <c r="C87" t="s">
        <v>1840</v>
      </c>
      <c r="D87" t="s">
        <v>13</v>
      </c>
      <c r="E87" t="str">
        <f>"98815"</f>
        <v>98815</v>
      </c>
      <c r="F87" t="s">
        <v>20</v>
      </c>
      <c r="G87" t="s">
        <v>2313</v>
      </c>
      <c r="I87" t="s">
        <v>100</v>
      </c>
      <c r="J87" t="s">
        <v>13</v>
      </c>
      <c r="K87" t="str">
        <f>"98901"</f>
        <v>98901</v>
      </c>
      <c r="L87">
        <v>26</v>
      </c>
      <c r="M87">
        <v>26</v>
      </c>
      <c r="N87">
        <v>0</v>
      </c>
    </row>
    <row r="88" spans="1:14" x14ac:dyDescent="0.25">
      <c r="A88" t="s">
        <v>3499</v>
      </c>
      <c r="B88" t="s">
        <v>3500</v>
      </c>
      <c r="C88" t="s">
        <v>22</v>
      </c>
      <c r="D88" t="s">
        <v>13</v>
      </c>
      <c r="E88" t="str">
        <f>"98801"</f>
        <v>98801</v>
      </c>
      <c r="F88" t="s">
        <v>20</v>
      </c>
      <c r="G88" t="s">
        <v>3501</v>
      </c>
      <c r="I88" t="s">
        <v>681</v>
      </c>
      <c r="J88" t="s">
        <v>13</v>
      </c>
      <c r="K88" t="str">
        <f>"98093"</f>
        <v>98093</v>
      </c>
      <c r="L88">
        <v>55</v>
      </c>
      <c r="M88">
        <v>55</v>
      </c>
      <c r="N88">
        <v>0</v>
      </c>
    </row>
    <row r="89" spans="1:14" x14ac:dyDescent="0.25">
      <c r="A89" t="s">
        <v>619</v>
      </c>
      <c r="B89" t="s">
        <v>620</v>
      </c>
      <c r="C89" t="s">
        <v>22</v>
      </c>
      <c r="D89" t="s">
        <v>13</v>
      </c>
      <c r="E89" t="str">
        <f>"98801"</f>
        <v>98801</v>
      </c>
      <c r="F89" t="s">
        <v>20</v>
      </c>
      <c r="G89" t="s">
        <v>618</v>
      </c>
      <c r="I89" t="s">
        <v>366</v>
      </c>
      <c r="J89" t="s">
        <v>13</v>
      </c>
      <c r="K89" t="str">
        <f>"98367"</f>
        <v>98367</v>
      </c>
      <c r="L89">
        <v>39</v>
      </c>
      <c r="M89">
        <v>39</v>
      </c>
      <c r="N89">
        <v>0</v>
      </c>
    </row>
    <row r="90" spans="1:14" x14ac:dyDescent="0.25">
      <c r="A90" t="s">
        <v>17</v>
      </c>
      <c r="B90" t="s">
        <v>18</v>
      </c>
      <c r="C90" t="s">
        <v>19</v>
      </c>
      <c r="D90" t="s">
        <v>13</v>
      </c>
      <c r="E90" t="str">
        <f>"98828"</f>
        <v>98828</v>
      </c>
      <c r="F90" t="s">
        <v>20</v>
      </c>
      <c r="G90" t="s">
        <v>21</v>
      </c>
      <c r="I90" t="s">
        <v>22</v>
      </c>
      <c r="J90" t="s">
        <v>13</v>
      </c>
      <c r="K90" t="str">
        <f>"98807"</f>
        <v>98807</v>
      </c>
      <c r="L90">
        <v>9</v>
      </c>
      <c r="M90">
        <v>9</v>
      </c>
      <c r="N90">
        <v>0</v>
      </c>
    </row>
    <row r="91" spans="1:14" x14ac:dyDescent="0.25">
      <c r="A91" t="s">
        <v>1892</v>
      </c>
      <c r="B91" t="s">
        <v>1893</v>
      </c>
      <c r="C91" t="s">
        <v>22</v>
      </c>
      <c r="D91" t="s">
        <v>13</v>
      </c>
      <c r="E91" t="str">
        <f>"98801"</f>
        <v>98801</v>
      </c>
      <c r="F91" t="s">
        <v>20</v>
      </c>
      <c r="G91" t="s">
        <v>1802</v>
      </c>
      <c r="I91" t="s">
        <v>524</v>
      </c>
      <c r="J91" t="s">
        <v>13</v>
      </c>
      <c r="K91" t="str">
        <f>"98826"</f>
        <v>98826</v>
      </c>
      <c r="L91">
        <v>38</v>
      </c>
      <c r="M91">
        <v>37</v>
      </c>
      <c r="N91">
        <v>1</v>
      </c>
    </row>
    <row r="92" spans="1:14" x14ac:dyDescent="0.25">
      <c r="A92" t="s">
        <v>2759</v>
      </c>
      <c r="B92" t="s">
        <v>2760</v>
      </c>
      <c r="C92" t="s">
        <v>1840</v>
      </c>
      <c r="D92" t="s">
        <v>13</v>
      </c>
      <c r="E92" t="str">
        <f>"98815"</f>
        <v>98815</v>
      </c>
      <c r="F92" t="s">
        <v>20</v>
      </c>
      <c r="G92" t="s">
        <v>69</v>
      </c>
      <c r="I92" t="s">
        <v>1840</v>
      </c>
      <c r="J92" t="s">
        <v>13</v>
      </c>
      <c r="K92" t="str">
        <f>"98815"</f>
        <v>98815</v>
      </c>
      <c r="L92">
        <v>16</v>
      </c>
      <c r="M92">
        <v>16</v>
      </c>
      <c r="N92">
        <v>0</v>
      </c>
    </row>
    <row r="93" spans="1:14" x14ac:dyDescent="0.25">
      <c r="A93" t="s">
        <v>460</v>
      </c>
      <c r="B93" t="s">
        <v>461</v>
      </c>
      <c r="C93" t="s">
        <v>22</v>
      </c>
      <c r="D93" t="s">
        <v>13</v>
      </c>
      <c r="E93" t="str">
        <f>"98801"</f>
        <v>98801</v>
      </c>
      <c r="F93" t="s">
        <v>20</v>
      </c>
      <c r="G93" t="s">
        <v>461</v>
      </c>
      <c r="I93" t="s">
        <v>22</v>
      </c>
      <c r="J93" t="s">
        <v>13</v>
      </c>
      <c r="K93" t="str">
        <f>"98801"</f>
        <v>98801</v>
      </c>
      <c r="L93">
        <v>87</v>
      </c>
      <c r="M93">
        <v>87</v>
      </c>
      <c r="N93">
        <v>0</v>
      </c>
    </row>
    <row r="94" spans="1:14" x14ac:dyDescent="0.25">
      <c r="A94" t="s">
        <v>861</v>
      </c>
      <c r="B94" t="s">
        <v>862</v>
      </c>
      <c r="C94" t="s">
        <v>22</v>
      </c>
      <c r="D94" t="s">
        <v>13</v>
      </c>
      <c r="E94" t="str">
        <f>"98801"</f>
        <v>98801</v>
      </c>
      <c r="F94" t="s">
        <v>20</v>
      </c>
      <c r="G94" t="s">
        <v>863</v>
      </c>
      <c r="I94" t="s">
        <v>859</v>
      </c>
      <c r="J94" t="s">
        <v>13</v>
      </c>
      <c r="K94" t="str">
        <f>"98802"</f>
        <v>98802</v>
      </c>
      <c r="L94">
        <v>34</v>
      </c>
      <c r="M94">
        <v>34</v>
      </c>
      <c r="N94">
        <v>0</v>
      </c>
    </row>
    <row r="95" spans="1:14" x14ac:dyDescent="0.25">
      <c r="A95" t="s">
        <v>639</v>
      </c>
      <c r="B95" t="s">
        <v>640</v>
      </c>
      <c r="C95" t="s">
        <v>641</v>
      </c>
      <c r="D95" t="s">
        <v>13</v>
      </c>
      <c r="E95" t="str">
        <f>"98362"</f>
        <v>98362</v>
      </c>
      <c r="F95" t="s">
        <v>26</v>
      </c>
      <c r="G95" t="s">
        <v>642</v>
      </c>
      <c r="I95" t="s">
        <v>641</v>
      </c>
      <c r="J95" t="s">
        <v>13</v>
      </c>
      <c r="K95" t="str">
        <f>"98362"</f>
        <v>98362</v>
      </c>
      <c r="L95">
        <v>17</v>
      </c>
      <c r="M95">
        <v>9</v>
      </c>
      <c r="N95">
        <v>8</v>
      </c>
    </row>
    <row r="96" spans="1:14" x14ac:dyDescent="0.25">
      <c r="A96" t="s">
        <v>122</v>
      </c>
      <c r="B96" t="s">
        <v>123</v>
      </c>
      <c r="C96" t="s">
        <v>25</v>
      </c>
      <c r="D96" t="s">
        <v>13</v>
      </c>
      <c r="E96" t="str">
        <f>"98331"</f>
        <v>98331</v>
      </c>
      <c r="F96" t="s">
        <v>26</v>
      </c>
      <c r="G96" t="s">
        <v>124</v>
      </c>
      <c r="I96" t="s">
        <v>25</v>
      </c>
      <c r="J96" t="s">
        <v>13</v>
      </c>
      <c r="K96" t="str">
        <f>"98331"</f>
        <v>98331</v>
      </c>
      <c r="L96">
        <v>113</v>
      </c>
      <c r="M96">
        <v>65</v>
      </c>
      <c r="N96">
        <v>48</v>
      </c>
    </row>
    <row r="97" spans="1:14" x14ac:dyDescent="0.25">
      <c r="A97" t="s">
        <v>3675</v>
      </c>
      <c r="B97" t="s">
        <v>3676</v>
      </c>
      <c r="C97" t="s">
        <v>132</v>
      </c>
      <c r="D97" t="s">
        <v>13</v>
      </c>
      <c r="E97" t="str">
        <f>"98382"</f>
        <v>98382</v>
      </c>
      <c r="F97" t="s">
        <v>26</v>
      </c>
      <c r="G97" t="s">
        <v>3676</v>
      </c>
      <c r="I97" t="s">
        <v>132</v>
      </c>
      <c r="J97" t="s">
        <v>13</v>
      </c>
      <c r="K97" t="str">
        <f>"98382"</f>
        <v>98382</v>
      </c>
      <c r="L97">
        <v>20</v>
      </c>
      <c r="M97">
        <v>20</v>
      </c>
      <c r="N97">
        <v>0</v>
      </c>
    </row>
    <row r="98" spans="1:14" x14ac:dyDescent="0.25">
      <c r="A98" t="s">
        <v>1362</v>
      </c>
      <c r="B98" t="s">
        <v>1363</v>
      </c>
      <c r="C98" t="s">
        <v>1364</v>
      </c>
      <c r="D98" t="s">
        <v>13</v>
      </c>
      <c r="E98" t="str">
        <f>"98381"</f>
        <v>98381</v>
      </c>
      <c r="F98" t="s">
        <v>26</v>
      </c>
      <c r="G98" t="s">
        <v>1365</v>
      </c>
      <c r="I98" t="s">
        <v>1364</v>
      </c>
      <c r="J98" t="s">
        <v>13</v>
      </c>
      <c r="K98" t="str">
        <f>"98381"</f>
        <v>98381</v>
      </c>
      <c r="L98">
        <v>29</v>
      </c>
      <c r="M98">
        <v>7</v>
      </c>
      <c r="N98">
        <v>22</v>
      </c>
    </row>
    <row r="99" spans="1:14" x14ac:dyDescent="0.25">
      <c r="A99" t="s">
        <v>208</v>
      </c>
      <c r="B99" t="s">
        <v>209</v>
      </c>
      <c r="C99" t="s">
        <v>210</v>
      </c>
      <c r="D99" t="s">
        <v>13</v>
      </c>
      <c r="E99" t="str">
        <f>"98326"</f>
        <v>98326</v>
      </c>
      <c r="F99" t="s">
        <v>26</v>
      </c>
      <c r="G99" t="s">
        <v>211</v>
      </c>
      <c r="I99" t="s">
        <v>210</v>
      </c>
      <c r="J99" t="s">
        <v>13</v>
      </c>
      <c r="K99" t="str">
        <f>"98326"</f>
        <v>98326</v>
      </c>
      <c r="L99">
        <v>25</v>
      </c>
      <c r="M99">
        <v>3</v>
      </c>
      <c r="N99">
        <v>22</v>
      </c>
    </row>
    <row r="100" spans="1:14" x14ac:dyDescent="0.25">
      <c r="A100" t="s">
        <v>149</v>
      </c>
      <c r="B100" t="s">
        <v>150</v>
      </c>
      <c r="C100" t="s">
        <v>25</v>
      </c>
      <c r="D100" t="s">
        <v>13</v>
      </c>
      <c r="E100" t="str">
        <f>"98331"</f>
        <v>98331</v>
      </c>
      <c r="F100" t="s">
        <v>26</v>
      </c>
      <c r="G100" t="s">
        <v>151</v>
      </c>
      <c r="I100" t="s">
        <v>25</v>
      </c>
      <c r="J100" t="s">
        <v>13</v>
      </c>
      <c r="K100" t="str">
        <f>"98331"</f>
        <v>98331</v>
      </c>
      <c r="L100">
        <v>10</v>
      </c>
      <c r="M100">
        <v>9</v>
      </c>
      <c r="N100">
        <v>1</v>
      </c>
    </row>
    <row r="101" spans="1:14" x14ac:dyDescent="0.25">
      <c r="A101" t="s">
        <v>3456</v>
      </c>
      <c r="B101" t="s">
        <v>3457</v>
      </c>
      <c r="C101" t="s">
        <v>641</v>
      </c>
      <c r="D101" t="s">
        <v>13</v>
      </c>
      <c r="E101" t="str">
        <f>"98362"</f>
        <v>98362</v>
      </c>
      <c r="F101" t="s">
        <v>26</v>
      </c>
      <c r="G101" t="s">
        <v>3458</v>
      </c>
      <c r="I101" t="s">
        <v>641</v>
      </c>
      <c r="J101" t="s">
        <v>13</v>
      </c>
      <c r="K101" t="str">
        <f>"98362"</f>
        <v>98362</v>
      </c>
      <c r="L101">
        <v>5</v>
      </c>
      <c r="M101">
        <v>5</v>
      </c>
      <c r="N101">
        <v>0</v>
      </c>
    </row>
    <row r="102" spans="1:14" x14ac:dyDescent="0.25">
      <c r="A102" t="s">
        <v>3289</v>
      </c>
      <c r="B102" t="s">
        <v>3290</v>
      </c>
      <c r="C102" t="s">
        <v>132</v>
      </c>
      <c r="D102" t="s">
        <v>13</v>
      </c>
      <c r="E102" t="str">
        <f>"98382"</f>
        <v>98382</v>
      </c>
      <c r="F102" t="s">
        <v>26</v>
      </c>
      <c r="G102" t="s">
        <v>2076</v>
      </c>
      <c r="I102" t="s">
        <v>107</v>
      </c>
      <c r="J102" t="s">
        <v>13</v>
      </c>
      <c r="K102" t="str">
        <f>"98101"</f>
        <v>98101</v>
      </c>
      <c r="L102">
        <v>51</v>
      </c>
      <c r="M102">
        <v>49</v>
      </c>
      <c r="N102">
        <v>2</v>
      </c>
    </row>
    <row r="103" spans="1:14" x14ac:dyDescent="0.25">
      <c r="A103" t="s">
        <v>2781</v>
      </c>
      <c r="B103" t="s">
        <v>2782</v>
      </c>
      <c r="C103" t="s">
        <v>25</v>
      </c>
      <c r="D103" t="s">
        <v>13</v>
      </c>
      <c r="E103" t="str">
        <f>"98331"</f>
        <v>98331</v>
      </c>
      <c r="F103" t="s">
        <v>26</v>
      </c>
      <c r="G103" t="s">
        <v>2783</v>
      </c>
      <c r="I103" t="s">
        <v>2784</v>
      </c>
      <c r="J103" t="s">
        <v>2785</v>
      </c>
      <c r="K103" t="str">
        <f>"89074"</f>
        <v>89074</v>
      </c>
      <c r="L103">
        <v>73</v>
      </c>
      <c r="M103">
        <v>36</v>
      </c>
      <c r="N103">
        <v>37</v>
      </c>
    </row>
    <row r="104" spans="1:14" x14ac:dyDescent="0.25">
      <c r="A104" t="s">
        <v>2835</v>
      </c>
      <c r="B104" t="s">
        <v>2836</v>
      </c>
      <c r="C104" t="s">
        <v>132</v>
      </c>
      <c r="D104" t="s">
        <v>13</v>
      </c>
      <c r="E104" t="str">
        <f>"98382"</f>
        <v>98382</v>
      </c>
      <c r="F104" t="s">
        <v>26</v>
      </c>
      <c r="G104" t="s">
        <v>2837</v>
      </c>
      <c r="I104" t="s">
        <v>132</v>
      </c>
      <c r="J104" t="s">
        <v>13</v>
      </c>
      <c r="K104" t="str">
        <f>"98382"</f>
        <v>98382</v>
      </c>
      <c r="L104">
        <v>26</v>
      </c>
      <c r="M104">
        <v>25</v>
      </c>
      <c r="N104">
        <v>1</v>
      </c>
    </row>
    <row r="105" spans="1:14" x14ac:dyDescent="0.25">
      <c r="A105" t="s">
        <v>2399</v>
      </c>
      <c r="B105" t="s">
        <v>2400</v>
      </c>
      <c r="C105" t="s">
        <v>641</v>
      </c>
      <c r="D105" t="s">
        <v>13</v>
      </c>
      <c r="E105" t="str">
        <f>"98362"</f>
        <v>98362</v>
      </c>
      <c r="F105" t="s">
        <v>26</v>
      </c>
      <c r="G105" t="s">
        <v>2401</v>
      </c>
      <c r="I105" t="s">
        <v>641</v>
      </c>
      <c r="J105" t="s">
        <v>13</v>
      </c>
      <c r="K105" t="str">
        <f>"98362"</f>
        <v>98362</v>
      </c>
      <c r="L105">
        <v>12</v>
      </c>
      <c r="M105">
        <v>7</v>
      </c>
      <c r="N105">
        <v>5</v>
      </c>
    </row>
    <row r="106" spans="1:14" x14ac:dyDescent="0.25">
      <c r="A106" t="s">
        <v>2730</v>
      </c>
      <c r="B106" t="s">
        <v>2731</v>
      </c>
      <c r="C106" t="s">
        <v>641</v>
      </c>
      <c r="D106" t="s">
        <v>13</v>
      </c>
      <c r="E106" t="str">
        <f>"98363"</f>
        <v>98363</v>
      </c>
      <c r="F106" t="s">
        <v>26</v>
      </c>
      <c r="G106" t="s">
        <v>2732</v>
      </c>
      <c r="I106" t="s">
        <v>641</v>
      </c>
      <c r="J106" t="s">
        <v>13</v>
      </c>
      <c r="K106" t="str">
        <f>"98362"</f>
        <v>98362</v>
      </c>
      <c r="L106">
        <v>19</v>
      </c>
      <c r="M106">
        <v>19</v>
      </c>
      <c r="N106">
        <v>0</v>
      </c>
    </row>
    <row r="107" spans="1:14" x14ac:dyDescent="0.25">
      <c r="A107" t="s">
        <v>1307</v>
      </c>
      <c r="B107" t="s">
        <v>1308</v>
      </c>
      <c r="C107" t="s">
        <v>25</v>
      </c>
      <c r="D107" t="s">
        <v>13</v>
      </c>
      <c r="E107" t="str">
        <f>"98331"</f>
        <v>98331</v>
      </c>
      <c r="F107" t="s">
        <v>26</v>
      </c>
      <c r="G107" t="s">
        <v>1309</v>
      </c>
      <c r="I107" t="s">
        <v>12</v>
      </c>
      <c r="J107" t="s">
        <v>13</v>
      </c>
      <c r="K107" t="str">
        <f>"98046"</f>
        <v>98046</v>
      </c>
      <c r="L107">
        <v>85</v>
      </c>
      <c r="M107">
        <v>56</v>
      </c>
      <c r="N107">
        <v>29</v>
      </c>
    </row>
    <row r="108" spans="1:14" x14ac:dyDescent="0.25">
      <c r="A108" t="s">
        <v>333</v>
      </c>
      <c r="B108" t="s">
        <v>334</v>
      </c>
      <c r="C108" t="s">
        <v>210</v>
      </c>
      <c r="D108" t="s">
        <v>13</v>
      </c>
      <c r="E108" t="str">
        <f>"98326"</f>
        <v>98326</v>
      </c>
      <c r="F108" t="s">
        <v>26</v>
      </c>
      <c r="G108" t="s">
        <v>335</v>
      </c>
      <c r="I108" t="s">
        <v>210</v>
      </c>
      <c r="J108" t="s">
        <v>13</v>
      </c>
      <c r="K108" t="str">
        <f>"98326"</f>
        <v>98326</v>
      </c>
      <c r="L108">
        <v>11</v>
      </c>
      <c r="M108">
        <v>8</v>
      </c>
      <c r="N108">
        <v>3</v>
      </c>
    </row>
    <row r="109" spans="1:14" x14ac:dyDescent="0.25">
      <c r="A109" t="s">
        <v>987</v>
      </c>
      <c r="B109" t="s">
        <v>988</v>
      </c>
      <c r="C109" t="s">
        <v>132</v>
      </c>
      <c r="D109" t="s">
        <v>13</v>
      </c>
      <c r="E109" t="str">
        <f>"98382"</f>
        <v>98382</v>
      </c>
      <c r="F109" t="s">
        <v>26</v>
      </c>
      <c r="G109" t="s">
        <v>42</v>
      </c>
      <c r="I109" t="s">
        <v>43</v>
      </c>
      <c r="J109" t="s">
        <v>13</v>
      </c>
      <c r="K109" t="str">
        <f>"98040"</f>
        <v>98040</v>
      </c>
      <c r="L109">
        <v>49</v>
      </c>
      <c r="M109">
        <v>49</v>
      </c>
      <c r="N109">
        <v>0</v>
      </c>
    </row>
    <row r="110" spans="1:14" x14ac:dyDescent="0.25">
      <c r="A110" t="s">
        <v>2441</v>
      </c>
      <c r="B110" t="s">
        <v>2442</v>
      </c>
      <c r="C110" t="s">
        <v>132</v>
      </c>
      <c r="D110" t="s">
        <v>13</v>
      </c>
      <c r="E110" t="str">
        <f>"98382"</f>
        <v>98382</v>
      </c>
      <c r="F110" t="s">
        <v>26</v>
      </c>
      <c r="G110" t="s">
        <v>2443</v>
      </c>
      <c r="I110" t="s">
        <v>132</v>
      </c>
      <c r="J110" t="s">
        <v>13</v>
      </c>
      <c r="K110" t="str">
        <f>"98382"</f>
        <v>98382</v>
      </c>
      <c r="L110">
        <v>91</v>
      </c>
      <c r="M110">
        <v>91</v>
      </c>
      <c r="N110">
        <v>0</v>
      </c>
    </row>
    <row r="111" spans="1:14" x14ac:dyDescent="0.25">
      <c r="A111" t="s">
        <v>2444</v>
      </c>
      <c r="B111" t="s">
        <v>2445</v>
      </c>
      <c r="C111" t="s">
        <v>132</v>
      </c>
      <c r="D111" t="s">
        <v>13</v>
      </c>
      <c r="E111" t="str">
        <f>"98382"</f>
        <v>98382</v>
      </c>
      <c r="F111" t="s">
        <v>26</v>
      </c>
      <c r="G111" t="s">
        <v>2443</v>
      </c>
      <c r="I111" t="s">
        <v>132</v>
      </c>
      <c r="J111" t="s">
        <v>13</v>
      </c>
      <c r="K111" t="str">
        <f>"98382"</f>
        <v>98382</v>
      </c>
      <c r="L111">
        <v>66</v>
      </c>
      <c r="M111">
        <v>31</v>
      </c>
      <c r="N111">
        <v>35</v>
      </c>
    </row>
    <row r="112" spans="1:14" x14ac:dyDescent="0.25">
      <c r="A112" t="s">
        <v>3570</v>
      </c>
      <c r="B112" t="s">
        <v>3058</v>
      </c>
      <c r="C112" t="s">
        <v>132</v>
      </c>
      <c r="D112" t="s">
        <v>13</v>
      </c>
      <c r="E112" t="str">
        <f>"98382"</f>
        <v>98382</v>
      </c>
      <c r="F112" t="s">
        <v>26</v>
      </c>
      <c r="G112" t="s">
        <v>3059</v>
      </c>
      <c r="I112" t="s">
        <v>890</v>
      </c>
      <c r="J112" t="s">
        <v>821</v>
      </c>
      <c r="K112" t="str">
        <f>"97219"</f>
        <v>97219</v>
      </c>
      <c r="L112">
        <v>42</v>
      </c>
      <c r="M112">
        <v>42</v>
      </c>
      <c r="N112">
        <v>0</v>
      </c>
    </row>
    <row r="113" spans="1:14" x14ac:dyDescent="0.25">
      <c r="A113" t="s">
        <v>3057</v>
      </c>
      <c r="B113" t="s">
        <v>3058</v>
      </c>
      <c r="C113" t="s">
        <v>132</v>
      </c>
      <c r="D113" t="s">
        <v>13</v>
      </c>
      <c r="E113" t="str">
        <f>"98382"</f>
        <v>98382</v>
      </c>
      <c r="F113" t="s">
        <v>26</v>
      </c>
      <c r="G113" t="s">
        <v>3059</v>
      </c>
      <c r="I113" t="s">
        <v>890</v>
      </c>
      <c r="J113" t="s">
        <v>821</v>
      </c>
      <c r="K113" t="str">
        <f>"97219"</f>
        <v>97219</v>
      </c>
      <c r="L113">
        <v>42</v>
      </c>
      <c r="M113">
        <v>42</v>
      </c>
      <c r="N113">
        <v>0</v>
      </c>
    </row>
    <row r="114" spans="1:14" x14ac:dyDescent="0.25">
      <c r="A114" t="s">
        <v>3770</v>
      </c>
      <c r="B114" t="s">
        <v>3771</v>
      </c>
      <c r="C114" t="s">
        <v>641</v>
      </c>
      <c r="D114" t="s">
        <v>13</v>
      </c>
      <c r="E114" t="str">
        <f>"98363"</f>
        <v>98363</v>
      </c>
      <c r="F114" t="s">
        <v>26</v>
      </c>
      <c r="G114" t="s">
        <v>3771</v>
      </c>
      <c r="I114" t="s">
        <v>641</v>
      </c>
      <c r="J114" t="s">
        <v>13</v>
      </c>
      <c r="K114" t="str">
        <f>"98363"</f>
        <v>98363</v>
      </c>
      <c r="L114">
        <v>6</v>
      </c>
      <c r="M114">
        <v>6</v>
      </c>
      <c r="N114">
        <v>0</v>
      </c>
    </row>
    <row r="115" spans="1:14" x14ac:dyDescent="0.25">
      <c r="A115" t="s">
        <v>2274</v>
      </c>
      <c r="B115" t="s">
        <v>2217</v>
      </c>
      <c r="C115" t="s">
        <v>132</v>
      </c>
      <c r="D115" t="s">
        <v>13</v>
      </c>
      <c r="E115" t="str">
        <f>"98382"</f>
        <v>98382</v>
      </c>
      <c r="F115" t="s">
        <v>26</v>
      </c>
      <c r="G115" t="s">
        <v>2217</v>
      </c>
      <c r="I115" t="s">
        <v>132</v>
      </c>
      <c r="J115" t="s">
        <v>13</v>
      </c>
      <c r="K115" t="str">
        <f>"98382"</f>
        <v>98382</v>
      </c>
      <c r="L115">
        <v>60</v>
      </c>
      <c r="M115">
        <v>57</v>
      </c>
      <c r="N115">
        <v>3</v>
      </c>
    </row>
    <row r="116" spans="1:14" x14ac:dyDescent="0.25">
      <c r="A116" t="s">
        <v>2386</v>
      </c>
      <c r="B116" t="s">
        <v>2387</v>
      </c>
      <c r="C116" t="s">
        <v>2388</v>
      </c>
      <c r="D116" t="s">
        <v>13</v>
      </c>
      <c r="E116" t="str">
        <f>"98305"</f>
        <v>98305</v>
      </c>
      <c r="F116" t="s">
        <v>26</v>
      </c>
      <c r="G116" t="s">
        <v>138</v>
      </c>
      <c r="I116" t="s">
        <v>2388</v>
      </c>
      <c r="J116" t="s">
        <v>13</v>
      </c>
      <c r="K116" t="str">
        <f>"98305"</f>
        <v>98305</v>
      </c>
      <c r="L116">
        <v>44</v>
      </c>
      <c r="M116">
        <v>19</v>
      </c>
      <c r="N116">
        <v>25</v>
      </c>
    </row>
    <row r="117" spans="1:14" x14ac:dyDescent="0.25">
      <c r="A117" t="s">
        <v>2721</v>
      </c>
      <c r="B117" t="s">
        <v>2722</v>
      </c>
      <c r="C117" t="s">
        <v>132</v>
      </c>
      <c r="D117" t="s">
        <v>13</v>
      </c>
      <c r="E117" t="str">
        <f>"98382"</f>
        <v>98382</v>
      </c>
      <c r="F117" t="s">
        <v>26</v>
      </c>
      <c r="G117" t="s">
        <v>2723</v>
      </c>
      <c r="I117" t="s">
        <v>132</v>
      </c>
      <c r="J117" t="s">
        <v>13</v>
      </c>
      <c r="K117" t="str">
        <f>"98382"</f>
        <v>98382</v>
      </c>
      <c r="L117">
        <v>74</v>
      </c>
      <c r="M117">
        <v>74</v>
      </c>
      <c r="N117">
        <v>0</v>
      </c>
    </row>
    <row r="118" spans="1:14" x14ac:dyDescent="0.25">
      <c r="A118" t="s">
        <v>2147</v>
      </c>
      <c r="B118" t="s">
        <v>2148</v>
      </c>
      <c r="C118" t="s">
        <v>641</v>
      </c>
      <c r="D118" t="s">
        <v>13</v>
      </c>
      <c r="E118" t="str">
        <f>"98362"</f>
        <v>98362</v>
      </c>
      <c r="F118" t="s">
        <v>26</v>
      </c>
      <c r="G118" t="s">
        <v>1975</v>
      </c>
      <c r="I118" t="s">
        <v>43</v>
      </c>
      <c r="J118" t="s">
        <v>13</v>
      </c>
      <c r="K118" t="str">
        <f>"98040"</f>
        <v>98040</v>
      </c>
      <c r="L118">
        <v>28</v>
      </c>
      <c r="M118">
        <v>28</v>
      </c>
      <c r="N118">
        <v>0</v>
      </c>
    </row>
    <row r="119" spans="1:14" x14ac:dyDescent="0.25">
      <c r="A119" t="s">
        <v>23</v>
      </c>
      <c r="B119" t="s">
        <v>24</v>
      </c>
      <c r="C119" t="s">
        <v>25</v>
      </c>
      <c r="D119" t="s">
        <v>13</v>
      </c>
      <c r="E119" t="str">
        <f>"98331"</f>
        <v>98331</v>
      </c>
      <c r="F119" t="s">
        <v>26</v>
      </c>
      <c r="G119" t="s">
        <v>27</v>
      </c>
      <c r="I119" t="s">
        <v>25</v>
      </c>
      <c r="J119" t="s">
        <v>13</v>
      </c>
      <c r="K119" t="str">
        <f>"98331"</f>
        <v>98331</v>
      </c>
      <c r="L119">
        <v>4</v>
      </c>
      <c r="M119">
        <v>4</v>
      </c>
      <c r="N119">
        <v>0</v>
      </c>
    </row>
    <row r="120" spans="1:14" x14ac:dyDescent="0.25">
      <c r="A120" t="s">
        <v>237</v>
      </c>
      <c r="B120" t="s">
        <v>238</v>
      </c>
      <c r="C120" t="s">
        <v>25</v>
      </c>
      <c r="D120" t="s">
        <v>13</v>
      </c>
      <c r="E120" t="str">
        <f>"98331"</f>
        <v>98331</v>
      </c>
      <c r="F120" t="s">
        <v>26</v>
      </c>
      <c r="G120" t="s">
        <v>239</v>
      </c>
      <c r="I120" t="s">
        <v>25</v>
      </c>
      <c r="J120" t="s">
        <v>13</v>
      </c>
      <c r="K120" t="str">
        <f>"98331"</f>
        <v>98331</v>
      </c>
      <c r="L120">
        <v>8</v>
      </c>
      <c r="M120">
        <v>8</v>
      </c>
      <c r="N120">
        <v>0</v>
      </c>
    </row>
    <row r="121" spans="1:14" x14ac:dyDescent="0.25">
      <c r="A121" t="s">
        <v>182</v>
      </c>
      <c r="B121" t="s">
        <v>183</v>
      </c>
      <c r="C121" t="s">
        <v>25</v>
      </c>
      <c r="D121" t="s">
        <v>13</v>
      </c>
      <c r="E121" t="str">
        <f>"98331"</f>
        <v>98331</v>
      </c>
      <c r="F121" t="s">
        <v>26</v>
      </c>
      <c r="G121" t="s">
        <v>184</v>
      </c>
      <c r="I121" t="s">
        <v>25</v>
      </c>
      <c r="J121" t="s">
        <v>13</v>
      </c>
      <c r="K121" t="str">
        <f>"98331"</f>
        <v>98331</v>
      </c>
      <c r="L121">
        <v>12</v>
      </c>
      <c r="M121">
        <v>12</v>
      </c>
      <c r="N121">
        <v>0</v>
      </c>
    </row>
    <row r="122" spans="1:14" x14ac:dyDescent="0.25">
      <c r="A122" t="s">
        <v>185</v>
      </c>
      <c r="B122" t="s">
        <v>186</v>
      </c>
      <c r="C122" t="s">
        <v>25</v>
      </c>
      <c r="D122" t="s">
        <v>13</v>
      </c>
      <c r="E122" t="str">
        <f>"98331"</f>
        <v>98331</v>
      </c>
      <c r="F122" t="s">
        <v>26</v>
      </c>
      <c r="G122" t="s">
        <v>184</v>
      </c>
      <c r="I122" t="s">
        <v>25</v>
      </c>
      <c r="J122" t="s">
        <v>13</v>
      </c>
      <c r="K122" t="str">
        <f>"98331"</f>
        <v>98331</v>
      </c>
      <c r="L122">
        <v>25</v>
      </c>
      <c r="M122">
        <v>24</v>
      </c>
      <c r="N122">
        <v>1</v>
      </c>
    </row>
    <row r="123" spans="1:14" x14ac:dyDescent="0.25">
      <c r="A123" t="s">
        <v>2563</v>
      </c>
      <c r="B123" t="s">
        <v>2564</v>
      </c>
      <c r="C123" t="s">
        <v>641</v>
      </c>
      <c r="D123" t="s">
        <v>13</v>
      </c>
      <c r="E123" t="str">
        <f>"98362"</f>
        <v>98362</v>
      </c>
      <c r="F123" t="s">
        <v>26</v>
      </c>
      <c r="G123" t="s">
        <v>2214</v>
      </c>
      <c r="I123" t="s">
        <v>132</v>
      </c>
      <c r="J123" t="s">
        <v>13</v>
      </c>
      <c r="K123" t="str">
        <f>"98382"</f>
        <v>98382</v>
      </c>
      <c r="L123">
        <v>4</v>
      </c>
      <c r="M123">
        <v>4</v>
      </c>
      <c r="N123">
        <v>0</v>
      </c>
    </row>
    <row r="124" spans="1:14" x14ac:dyDescent="0.25">
      <c r="A124" t="s">
        <v>4032</v>
      </c>
      <c r="B124" t="s">
        <v>4033</v>
      </c>
      <c r="C124" t="s">
        <v>641</v>
      </c>
      <c r="D124" t="s">
        <v>13</v>
      </c>
      <c r="E124" t="str">
        <f>"98363"</f>
        <v>98363</v>
      </c>
      <c r="F124" t="s">
        <v>26</v>
      </c>
      <c r="G124" t="s">
        <v>4031</v>
      </c>
      <c r="I124" t="s">
        <v>132</v>
      </c>
      <c r="J124" t="s">
        <v>13</v>
      </c>
      <c r="K124" t="str">
        <f>"98382"</f>
        <v>98382</v>
      </c>
      <c r="L124">
        <v>18</v>
      </c>
      <c r="M124">
        <v>17</v>
      </c>
      <c r="N124">
        <v>1</v>
      </c>
    </row>
    <row r="125" spans="1:14" x14ac:dyDescent="0.25">
      <c r="A125" t="s">
        <v>1222</v>
      </c>
      <c r="B125" t="s">
        <v>1223</v>
      </c>
      <c r="C125" t="s">
        <v>132</v>
      </c>
      <c r="D125" t="s">
        <v>13</v>
      </c>
      <c r="E125" t="str">
        <f>"98382"</f>
        <v>98382</v>
      </c>
      <c r="F125" t="s">
        <v>26</v>
      </c>
      <c r="G125" t="s">
        <v>1224</v>
      </c>
      <c r="I125" t="s">
        <v>665</v>
      </c>
      <c r="J125" t="s">
        <v>13</v>
      </c>
      <c r="K125" t="str">
        <f>"98239"</f>
        <v>98239</v>
      </c>
      <c r="L125">
        <v>22</v>
      </c>
      <c r="M125">
        <v>22</v>
      </c>
      <c r="N125">
        <v>0</v>
      </c>
    </row>
    <row r="126" spans="1:14" x14ac:dyDescent="0.25">
      <c r="A126" t="s">
        <v>3406</v>
      </c>
      <c r="B126" t="s">
        <v>3407</v>
      </c>
      <c r="C126" t="s">
        <v>132</v>
      </c>
      <c r="D126" t="s">
        <v>13</v>
      </c>
      <c r="E126" t="str">
        <f>"98382"</f>
        <v>98382</v>
      </c>
      <c r="F126" t="s">
        <v>26</v>
      </c>
      <c r="G126" t="s">
        <v>3408</v>
      </c>
      <c r="I126" t="s">
        <v>132</v>
      </c>
      <c r="J126" t="s">
        <v>13</v>
      </c>
      <c r="K126" t="str">
        <f>"98382"</f>
        <v>98382</v>
      </c>
      <c r="L126">
        <v>220</v>
      </c>
      <c r="M126">
        <v>208</v>
      </c>
      <c r="N126">
        <v>12</v>
      </c>
    </row>
    <row r="127" spans="1:14" x14ac:dyDescent="0.25">
      <c r="A127" t="s">
        <v>2694</v>
      </c>
      <c r="B127" t="s">
        <v>2695</v>
      </c>
      <c r="C127" t="s">
        <v>641</v>
      </c>
      <c r="D127" t="s">
        <v>13</v>
      </c>
      <c r="E127" t="str">
        <f>"98362"</f>
        <v>98362</v>
      </c>
      <c r="F127" t="s">
        <v>26</v>
      </c>
      <c r="G127" t="s">
        <v>57</v>
      </c>
      <c r="I127" t="s">
        <v>2696</v>
      </c>
      <c r="J127" t="s">
        <v>13</v>
      </c>
      <c r="K127" t="str">
        <f>"98834"</f>
        <v>98834</v>
      </c>
      <c r="L127">
        <v>19</v>
      </c>
      <c r="M127">
        <v>13</v>
      </c>
      <c r="N127">
        <v>6</v>
      </c>
    </row>
    <row r="128" spans="1:14" x14ac:dyDescent="0.25">
      <c r="A128" t="s">
        <v>3357</v>
      </c>
      <c r="B128" t="s">
        <v>3358</v>
      </c>
      <c r="C128" t="s">
        <v>641</v>
      </c>
      <c r="D128" t="s">
        <v>13</v>
      </c>
      <c r="E128" t="str">
        <f>"98362"</f>
        <v>98362</v>
      </c>
      <c r="F128" t="s">
        <v>26</v>
      </c>
      <c r="G128" t="s">
        <v>3359</v>
      </c>
      <c r="I128" t="s">
        <v>641</v>
      </c>
      <c r="J128" t="s">
        <v>13</v>
      </c>
      <c r="K128" t="str">
        <f>"98362"</f>
        <v>98362</v>
      </c>
      <c r="L128">
        <v>6</v>
      </c>
      <c r="M128">
        <v>1</v>
      </c>
      <c r="N128">
        <v>5</v>
      </c>
    </row>
    <row r="129" spans="1:14" x14ac:dyDescent="0.25">
      <c r="A129" t="s">
        <v>1176</v>
      </c>
      <c r="B129" t="s">
        <v>1177</v>
      </c>
      <c r="C129" t="s">
        <v>25</v>
      </c>
      <c r="D129" t="s">
        <v>13</v>
      </c>
      <c r="E129" t="str">
        <f>"98331"</f>
        <v>98331</v>
      </c>
      <c r="F129" t="s">
        <v>26</v>
      </c>
      <c r="G129" t="s">
        <v>1178</v>
      </c>
      <c r="I129" t="s">
        <v>167</v>
      </c>
      <c r="J129" t="s">
        <v>13</v>
      </c>
      <c r="K129" t="str">
        <f>"98226"</f>
        <v>98226</v>
      </c>
      <c r="L129">
        <v>29</v>
      </c>
      <c r="M129">
        <v>27</v>
      </c>
      <c r="N129">
        <v>2</v>
      </c>
    </row>
    <row r="130" spans="1:14" x14ac:dyDescent="0.25">
      <c r="A130" t="s">
        <v>3804</v>
      </c>
      <c r="B130" t="s">
        <v>3805</v>
      </c>
      <c r="C130" t="s">
        <v>641</v>
      </c>
      <c r="D130" t="s">
        <v>13</v>
      </c>
      <c r="E130" t="str">
        <f>"98362"</f>
        <v>98362</v>
      </c>
      <c r="F130" t="s">
        <v>26</v>
      </c>
      <c r="G130" t="s">
        <v>57</v>
      </c>
      <c r="I130" t="s">
        <v>2696</v>
      </c>
      <c r="J130" t="s">
        <v>13</v>
      </c>
      <c r="K130" t="str">
        <f>"98834"</f>
        <v>98834</v>
      </c>
      <c r="L130">
        <v>38</v>
      </c>
      <c r="M130">
        <v>31</v>
      </c>
      <c r="N130">
        <v>7</v>
      </c>
    </row>
    <row r="131" spans="1:14" x14ac:dyDescent="0.25">
      <c r="A131" t="s">
        <v>591</v>
      </c>
      <c r="B131" t="s">
        <v>592</v>
      </c>
      <c r="C131" t="s">
        <v>132</v>
      </c>
      <c r="D131" t="s">
        <v>13</v>
      </c>
      <c r="E131" t="str">
        <f>"98382"</f>
        <v>98382</v>
      </c>
      <c r="F131" t="s">
        <v>26</v>
      </c>
      <c r="G131" t="s">
        <v>593</v>
      </c>
      <c r="I131" t="s">
        <v>132</v>
      </c>
      <c r="J131" t="s">
        <v>13</v>
      </c>
      <c r="K131" t="str">
        <f>"98382"</f>
        <v>98382</v>
      </c>
      <c r="L131">
        <v>51</v>
      </c>
      <c r="M131">
        <v>51</v>
      </c>
      <c r="N131">
        <v>0</v>
      </c>
    </row>
    <row r="132" spans="1:14" x14ac:dyDescent="0.25">
      <c r="A132" t="s">
        <v>999</v>
      </c>
      <c r="B132" t="s">
        <v>1000</v>
      </c>
      <c r="C132" t="s">
        <v>132</v>
      </c>
      <c r="D132" t="s">
        <v>13</v>
      </c>
      <c r="E132" t="str">
        <f>"98382"</f>
        <v>98382</v>
      </c>
      <c r="F132" t="s">
        <v>26</v>
      </c>
      <c r="G132" t="s">
        <v>1001</v>
      </c>
      <c r="I132" t="s">
        <v>521</v>
      </c>
      <c r="J132" t="s">
        <v>13</v>
      </c>
      <c r="K132" t="str">
        <f>"98365"</f>
        <v>98365</v>
      </c>
      <c r="L132">
        <v>6</v>
      </c>
      <c r="M132">
        <v>6</v>
      </c>
      <c r="N132">
        <v>0</v>
      </c>
    </row>
    <row r="133" spans="1:14" x14ac:dyDescent="0.25">
      <c r="A133" t="s">
        <v>2415</v>
      </c>
      <c r="B133" t="s">
        <v>2416</v>
      </c>
      <c r="C133" t="s">
        <v>132</v>
      </c>
      <c r="D133" t="s">
        <v>13</v>
      </c>
      <c r="E133" t="str">
        <f>"98382"</f>
        <v>98382</v>
      </c>
      <c r="F133" t="s">
        <v>26</v>
      </c>
      <c r="G133" t="s">
        <v>2417</v>
      </c>
      <c r="I133" t="s">
        <v>132</v>
      </c>
      <c r="J133" t="s">
        <v>13</v>
      </c>
      <c r="K133" t="str">
        <f>"98382"</f>
        <v>98382</v>
      </c>
      <c r="L133">
        <v>3</v>
      </c>
      <c r="M133">
        <v>3</v>
      </c>
      <c r="N133">
        <v>0</v>
      </c>
    </row>
    <row r="134" spans="1:14" x14ac:dyDescent="0.25">
      <c r="A134" t="s">
        <v>2299</v>
      </c>
      <c r="B134" t="s">
        <v>2300</v>
      </c>
      <c r="C134" t="s">
        <v>132</v>
      </c>
      <c r="D134" t="s">
        <v>13</v>
      </c>
      <c r="E134" t="str">
        <f>"98382"</f>
        <v>98382</v>
      </c>
      <c r="F134" t="s">
        <v>26</v>
      </c>
      <c r="G134" t="s">
        <v>2301</v>
      </c>
      <c r="I134" t="s">
        <v>252</v>
      </c>
      <c r="J134" t="s">
        <v>13</v>
      </c>
      <c r="K134" t="str">
        <f>"98231"</f>
        <v>98231</v>
      </c>
      <c r="L134">
        <v>39</v>
      </c>
      <c r="M134">
        <v>39</v>
      </c>
      <c r="N134">
        <v>0</v>
      </c>
    </row>
    <row r="135" spans="1:14" x14ac:dyDescent="0.25">
      <c r="A135" t="s">
        <v>130</v>
      </c>
      <c r="B135" t="s">
        <v>131</v>
      </c>
      <c r="C135" t="s">
        <v>132</v>
      </c>
      <c r="D135" t="s">
        <v>13</v>
      </c>
      <c r="E135" t="str">
        <f>"98382"</f>
        <v>98382</v>
      </c>
      <c r="F135" t="s">
        <v>26</v>
      </c>
      <c r="G135" t="s">
        <v>133</v>
      </c>
      <c r="I135" t="s">
        <v>132</v>
      </c>
      <c r="J135" t="s">
        <v>13</v>
      </c>
      <c r="K135" t="str">
        <f>"98382"</f>
        <v>98382</v>
      </c>
      <c r="L135">
        <v>34</v>
      </c>
      <c r="M135">
        <v>33</v>
      </c>
      <c r="N135">
        <v>1</v>
      </c>
    </row>
    <row r="136" spans="1:14" x14ac:dyDescent="0.25">
      <c r="A136" t="s">
        <v>2263</v>
      </c>
      <c r="B136" t="s">
        <v>2264</v>
      </c>
      <c r="C136" t="s">
        <v>25</v>
      </c>
      <c r="D136" t="s">
        <v>13</v>
      </c>
      <c r="E136" t="str">
        <f>"98331"</f>
        <v>98331</v>
      </c>
      <c r="F136" t="s">
        <v>26</v>
      </c>
      <c r="G136" t="s">
        <v>2265</v>
      </c>
      <c r="I136" t="s">
        <v>641</v>
      </c>
      <c r="J136" t="s">
        <v>13</v>
      </c>
      <c r="K136" t="str">
        <f>"98362"</f>
        <v>98362</v>
      </c>
      <c r="L136">
        <v>24</v>
      </c>
      <c r="M136">
        <v>15</v>
      </c>
      <c r="N136">
        <v>9</v>
      </c>
    </row>
    <row r="137" spans="1:14" x14ac:dyDescent="0.25">
      <c r="A137" t="s">
        <v>2002</v>
      </c>
      <c r="B137" t="s">
        <v>2003</v>
      </c>
      <c r="C137" t="s">
        <v>132</v>
      </c>
      <c r="D137" t="s">
        <v>13</v>
      </c>
      <c r="E137" t="str">
        <f>"98382"</f>
        <v>98382</v>
      </c>
      <c r="F137" t="s">
        <v>26</v>
      </c>
      <c r="G137" t="s">
        <v>2004</v>
      </c>
      <c r="I137" t="s">
        <v>132</v>
      </c>
      <c r="J137" t="s">
        <v>13</v>
      </c>
      <c r="K137" t="str">
        <f>"98382"</f>
        <v>98382</v>
      </c>
      <c r="L137">
        <v>5</v>
      </c>
      <c r="M137">
        <v>5</v>
      </c>
      <c r="N137">
        <v>0</v>
      </c>
    </row>
    <row r="138" spans="1:14" x14ac:dyDescent="0.25">
      <c r="A138" t="s">
        <v>3091</v>
      </c>
      <c r="B138" t="s">
        <v>3092</v>
      </c>
      <c r="C138" t="s">
        <v>132</v>
      </c>
      <c r="D138" t="s">
        <v>13</v>
      </c>
      <c r="E138" t="str">
        <f>"98382"</f>
        <v>98382</v>
      </c>
      <c r="F138" t="s">
        <v>26</v>
      </c>
      <c r="G138" t="s">
        <v>3093</v>
      </c>
      <c r="H138" t="s">
        <v>3094</v>
      </c>
      <c r="I138" t="s">
        <v>132</v>
      </c>
      <c r="J138" t="s">
        <v>13</v>
      </c>
      <c r="K138" t="str">
        <f>"98382"</f>
        <v>98382</v>
      </c>
      <c r="L138">
        <v>6</v>
      </c>
      <c r="M138">
        <v>6</v>
      </c>
      <c r="N138">
        <v>0</v>
      </c>
    </row>
    <row r="139" spans="1:14" x14ac:dyDescent="0.25">
      <c r="A139" t="s">
        <v>2643</v>
      </c>
      <c r="B139" t="s">
        <v>2644</v>
      </c>
      <c r="C139" t="s">
        <v>641</v>
      </c>
      <c r="D139" t="s">
        <v>13</v>
      </c>
      <c r="E139" t="str">
        <f>"98362"</f>
        <v>98362</v>
      </c>
      <c r="F139" t="s">
        <v>26</v>
      </c>
      <c r="G139" t="s">
        <v>2645</v>
      </c>
      <c r="I139" t="s">
        <v>146</v>
      </c>
      <c r="J139" t="s">
        <v>13</v>
      </c>
      <c r="K139" t="str">
        <f>"98372"</f>
        <v>98372</v>
      </c>
      <c r="L139">
        <v>54</v>
      </c>
      <c r="M139">
        <v>54</v>
      </c>
      <c r="N139">
        <v>0</v>
      </c>
    </row>
    <row r="140" spans="1:14" x14ac:dyDescent="0.25">
      <c r="A140" t="s">
        <v>3198</v>
      </c>
      <c r="B140" t="s">
        <v>3199</v>
      </c>
      <c r="C140" t="s">
        <v>25</v>
      </c>
      <c r="D140" t="s">
        <v>13</v>
      </c>
      <c r="E140" t="str">
        <f>"98331"</f>
        <v>98331</v>
      </c>
      <c r="F140" t="s">
        <v>26</v>
      </c>
      <c r="G140" t="s">
        <v>3200</v>
      </c>
      <c r="I140" t="s">
        <v>25</v>
      </c>
      <c r="J140" t="s">
        <v>13</v>
      </c>
      <c r="K140" t="str">
        <f>"98331"</f>
        <v>98331</v>
      </c>
      <c r="L140">
        <v>7</v>
      </c>
      <c r="M140">
        <v>7</v>
      </c>
      <c r="N140">
        <v>0</v>
      </c>
    </row>
    <row r="141" spans="1:14" x14ac:dyDescent="0.25">
      <c r="A141" t="s">
        <v>2635</v>
      </c>
      <c r="B141" t="s">
        <v>2636</v>
      </c>
      <c r="C141" t="s">
        <v>641</v>
      </c>
      <c r="D141" t="s">
        <v>13</v>
      </c>
      <c r="E141" t="str">
        <f>"98363"</f>
        <v>98363</v>
      </c>
      <c r="F141" t="s">
        <v>26</v>
      </c>
      <c r="G141" t="s">
        <v>2637</v>
      </c>
      <c r="I141" t="s">
        <v>110</v>
      </c>
      <c r="J141" t="s">
        <v>13</v>
      </c>
      <c r="K141" t="str">
        <f>"98198"</f>
        <v>98198</v>
      </c>
      <c r="L141">
        <v>16</v>
      </c>
      <c r="M141">
        <v>12</v>
      </c>
      <c r="N141">
        <v>4</v>
      </c>
    </row>
    <row r="142" spans="1:14" x14ac:dyDescent="0.25">
      <c r="A142" t="s">
        <v>1582</v>
      </c>
      <c r="B142" t="s">
        <v>1583</v>
      </c>
      <c r="C142" t="s">
        <v>132</v>
      </c>
      <c r="D142" t="s">
        <v>13</v>
      </c>
      <c r="E142" t="str">
        <f>"98382"</f>
        <v>98382</v>
      </c>
      <c r="F142" t="s">
        <v>26</v>
      </c>
      <c r="G142" t="s">
        <v>1584</v>
      </c>
      <c r="H142" t="s">
        <v>1585</v>
      </c>
      <c r="I142" t="s">
        <v>107</v>
      </c>
      <c r="J142" t="s">
        <v>13</v>
      </c>
      <c r="K142" t="str">
        <f>"98105"</f>
        <v>98105</v>
      </c>
      <c r="L142">
        <v>52</v>
      </c>
      <c r="M142">
        <v>52</v>
      </c>
      <c r="N142">
        <v>0</v>
      </c>
    </row>
    <row r="143" spans="1:14" x14ac:dyDescent="0.25">
      <c r="A143" t="s">
        <v>33</v>
      </c>
      <c r="B143" t="s">
        <v>34</v>
      </c>
      <c r="C143" t="s">
        <v>30</v>
      </c>
      <c r="D143" t="s">
        <v>13</v>
      </c>
      <c r="E143" t="str">
        <f>"98686"</f>
        <v>98686</v>
      </c>
      <c r="F143" t="s">
        <v>31</v>
      </c>
      <c r="G143" t="s">
        <v>34</v>
      </c>
      <c r="I143" t="s">
        <v>30</v>
      </c>
      <c r="J143" t="s">
        <v>13</v>
      </c>
      <c r="K143" t="str">
        <f>"98686"</f>
        <v>98686</v>
      </c>
      <c r="L143">
        <v>87</v>
      </c>
      <c r="M143">
        <v>1</v>
      </c>
      <c r="N143">
        <v>86</v>
      </c>
    </row>
    <row r="144" spans="1:14" x14ac:dyDescent="0.25">
      <c r="A144" t="s">
        <v>1989</v>
      </c>
      <c r="B144" t="s">
        <v>1990</v>
      </c>
      <c r="C144" t="s">
        <v>30</v>
      </c>
      <c r="D144" t="s">
        <v>13</v>
      </c>
      <c r="E144" t="str">
        <f>"98682"</f>
        <v>98682</v>
      </c>
      <c r="F144" t="s">
        <v>31</v>
      </c>
      <c r="G144" t="s">
        <v>1774</v>
      </c>
      <c r="I144" t="s">
        <v>1775</v>
      </c>
      <c r="J144" t="s">
        <v>433</v>
      </c>
      <c r="K144" t="str">
        <f>"90274"</f>
        <v>90274</v>
      </c>
      <c r="L144">
        <v>103</v>
      </c>
      <c r="M144">
        <v>102</v>
      </c>
      <c r="N144">
        <v>1</v>
      </c>
    </row>
    <row r="145" spans="1:14" x14ac:dyDescent="0.25">
      <c r="A145" t="s">
        <v>1476</v>
      </c>
      <c r="B145" t="s">
        <v>1477</v>
      </c>
      <c r="C145" t="s">
        <v>1478</v>
      </c>
      <c r="D145" t="s">
        <v>13</v>
      </c>
      <c r="E145" t="str">
        <f>"98601"</f>
        <v>98601</v>
      </c>
      <c r="F145" t="s">
        <v>31</v>
      </c>
      <c r="G145" t="s">
        <v>1479</v>
      </c>
      <c r="H145" t="s">
        <v>1480</v>
      </c>
      <c r="I145" t="s">
        <v>107</v>
      </c>
      <c r="J145" t="s">
        <v>13</v>
      </c>
      <c r="K145" t="str">
        <f>"98101"</f>
        <v>98101</v>
      </c>
      <c r="L145">
        <v>10</v>
      </c>
      <c r="M145">
        <v>10</v>
      </c>
      <c r="N145">
        <v>0</v>
      </c>
    </row>
    <row r="146" spans="1:14" x14ac:dyDescent="0.25">
      <c r="A146" t="s">
        <v>1532</v>
      </c>
      <c r="B146" t="s">
        <v>1533</v>
      </c>
      <c r="C146" t="s">
        <v>1478</v>
      </c>
      <c r="D146" t="s">
        <v>13</v>
      </c>
      <c r="E146" t="str">
        <f>"98601"</f>
        <v>98601</v>
      </c>
      <c r="F146" t="s">
        <v>31</v>
      </c>
      <c r="G146" t="s">
        <v>1534</v>
      </c>
      <c r="I146" t="s">
        <v>1478</v>
      </c>
      <c r="J146" t="s">
        <v>13</v>
      </c>
      <c r="K146" t="str">
        <f>"98601"</f>
        <v>98601</v>
      </c>
      <c r="L146">
        <v>16</v>
      </c>
      <c r="M146">
        <v>16</v>
      </c>
      <c r="N146">
        <v>0</v>
      </c>
    </row>
    <row r="147" spans="1:14" x14ac:dyDescent="0.25">
      <c r="A147" t="s">
        <v>2701</v>
      </c>
      <c r="B147" t="s">
        <v>2702</v>
      </c>
      <c r="C147" t="s">
        <v>732</v>
      </c>
      <c r="D147" t="s">
        <v>13</v>
      </c>
      <c r="E147" t="str">
        <f>"98604"</f>
        <v>98604</v>
      </c>
      <c r="F147" t="s">
        <v>31</v>
      </c>
      <c r="G147" t="s">
        <v>2703</v>
      </c>
      <c r="H147" t="s">
        <v>2704</v>
      </c>
      <c r="I147" t="s">
        <v>30</v>
      </c>
      <c r="J147" t="s">
        <v>13</v>
      </c>
      <c r="K147" t="str">
        <f>"98664"</f>
        <v>98664</v>
      </c>
      <c r="L147">
        <v>187</v>
      </c>
      <c r="M147">
        <v>177</v>
      </c>
      <c r="N147">
        <v>10</v>
      </c>
    </row>
    <row r="148" spans="1:14" x14ac:dyDescent="0.25">
      <c r="A148" t="s">
        <v>1760</v>
      </c>
      <c r="B148" t="s">
        <v>1761</v>
      </c>
      <c r="C148" t="s">
        <v>30</v>
      </c>
      <c r="D148" t="s">
        <v>13</v>
      </c>
      <c r="E148" t="str">
        <f>"98686"</f>
        <v>98686</v>
      </c>
      <c r="F148" t="s">
        <v>31</v>
      </c>
      <c r="G148" t="s">
        <v>1762</v>
      </c>
      <c r="I148" t="s">
        <v>30</v>
      </c>
      <c r="J148" t="s">
        <v>13</v>
      </c>
      <c r="K148" t="str">
        <f>"98686"</f>
        <v>98686</v>
      </c>
      <c r="L148">
        <v>11</v>
      </c>
      <c r="M148">
        <v>10</v>
      </c>
      <c r="N148">
        <v>1</v>
      </c>
    </row>
    <row r="149" spans="1:14" x14ac:dyDescent="0.25">
      <c r="A149" t="s">
        <v>2123</v>
      </c>
      <c r="B149" t="s">
        <v>2124</v>
      </c>
      <c r="C149" t="s">
        <v>1350</v>
      </c>
      <c r="D149" t="s">
        <v>13</v>
      </c>
      <c r="E149" t="str">
        <f>"98671"</f>
        <v>98671</v>
      </c>
      <c r="F149" t="s">
        <v>31</v>
      </c>
      <c r="G149" t="s">
        <v>2125</v>
      </c>
      <c r="I149" t="s">
        <v>30</v>
      </c>
      <c r="J149" t="s">
        <v>13</v>
      </c>
      <c r="K149" t="str">
        <f>"98684"</f>
        <v>98684</v>
      </c>
      <c r="L149">
        <v>27</v>
      </c>
      <c r="M149">
        <v>27</v>
      </c>
      <c r="N149">
        <v>0</v>
      </c>
    </row>
    <row r="150" spans="1:14" x14ac:dyDescent="0.25">
      <c r="A150" t="s">
        <v>3986</v>
      </c>
      <c r="B150" t="s">
        <v>3987</v>
      </c>
      <c r="C150" t="s">
        <v>1478</v>
      </c>
      <c r="D150" t="s">
        <v>13</v>
      </c>
      <c r="E150" t="str">
        <f>"98601"</f>
        <v>98601</v>
      </c>
      <c r="F150" t="s">
        <v>31</v>
      </c>
      <c r="G150" t="s">
        <v>3988</v>
      </c>
      <c r="I150" t="s">
        <v>398</v>
      </c>
      <c r="J150" t="s">
        <v>13</v>
      </c>
      <c r="K150" t="str">
        <f>"98674"</f>
        <v>98674</v>
      </c>
      <c r="L150">
        <v>9</v>
      </c>
      <c r="M150">
        <v>9</v>
      </c>
      <c r="N150">
        <v>0</v>
      </c>
    </row>
    <row r="151" spans="1:14" x14ac:dyDescent="0.25">
      <c r="A151" t="s">
        <v>1981</v>
      </c>
      <c r="B151" t="s">
        <v>1982</v>
      </c>
      <c r="C151" t="s">
        <v>30</v>
      </c>
      <c r="D151" t="s">
        <v>13</v>
      </c>
      <c r="E151" t="str">
        <f>"98684"</f>
        <v>98684</v>
      </c>
      <c r="F151" t="s">
        <v>31</v>
      </c>
      <c r="G151" t="s">
        <v>1983</v>
      </c>
      <c r="I151" t="s">
        <v>890</v>
      </c>
      <c r="J151" t="s">
        <v>821</v>
      </c>
      <c r="K151" t="str">
        <f>"97224"</f>
        <v>97224</v>
      </c>
      <c r="L151">
        <v>120</v>
      </c>
      <c r="M151">
        <v>120</v>
      </c>
      <c r="N151">
        <v>0</v>
      </c>
    </row>
    <row r="152" spans="1:14" x14ac:dyDescent="0.25">
      <c r="A152" t="s">
        <v>2558</v>
      </c>
      <c r="B152" t="s">
        <v>2559</v>
      </c>
      <c r="C152" t="s">
        <v>30</v>
      </c>
      <c r="D152" t="s">
        <v>13</v>
      </c>
      <c r="E152" t="str">
        <f>"98684"</f>
        <v>98684</v>
      </c>
      <c r="F152" t="s">
        <v>31</v>
      </c>
      <c r="G152" t="s">
        <v>2560</v>
      </c>
      <c r="I152" t="s">
        <v>30</v>
      </c>
      <c r="J152" t="s">
        <v>13</v>
      </c>
      <c r="K152" t="str">
        <f>"98684"</f>
        <v>98684</v>
      </c>
      <c r="L152">
        <v>170</v>
      </c>
      <c r="M152">
        <v>169</v>
      </c>
      <c r="N152">
        <v>1</v>
      </c>
    </row>
    <row r="153" spans="1:14" x14ac:dyDescent="0.25">
      <c r="A153" t="s">
        <v>631</v>
      </c>
      <c r="B153" t="s">
        <v>632</v>
      </c>
      <c r="C153" t="s">
        <v>30</v>
      </c>
      <c r="D153" t="s">
        <v>13</v>
      </c>
      <c r="E153" t="str">
        <f>"98685"</f>
        <v>98685</v>
      </c>
      <c r="F153" t="s">
        <v>31</v>
      </c>
      <c r="G153" t="s">
        <v>633</v>
      </c>
      <c r="I153" t="s">
        <v>634</v>
      </c>
      <c r="J153" t="s">
        <v>433</v>
      </c>
      <c r="K153" t="str">
        <f>"95442"</f>
        <v>95442</v>
      </c>
      <c r="L153">
        <v>54</v>
      </c>
      <c r="M153">
        <v>53</v>
      </c>
      <c r="N153">
        <v>1</v>
      </c>
    </row>
    <row r="154" spans="1:14" x14ac:dyDescent="0.25">
      <c r="A154" t="s">
        <v>3549</v>
      </c>
      <c r="B154" t="s">
        <v>3550</v>
      </c>
      <c r="C154" t="s">
        <v>30</v>
      </c>
      <c r="D154" t="s">
        <v>13</v>
      </c>
      <c r="E154" t="str">
        <f>"98685"</f>
        <v>98685</v>
      </c>
      <c r="F154" t="s">
        <v>31</v>
      </c>
      <c r="G154" t="s">
        <v>3551</v>
      </c>
      <c r="I154" t="s">
        <v>3552</v>
      </c>
      <c r="J154" t="s">
        <v>433</v>
      </c>
      <c r="K154" t="str">
        <f>"91436"</f>
        <v>91436</v>
      </c>
      <c r="L154">
        <v>82</v>
      </c>
      <c r="M154">
        <v>82</v>
      </c>
      <c r="N154">
        <v>0</v>
      </c>
    </row>
    <row r="155" spans="1:14" x14ac:dyDescent="0.25">
      <c r="A155" t="s">
        <v>2532</v>
      </c>
      <c r="B155" t="s">
        <v>2533</v>
      </c>
      <c r="C155" t="s">
        <v>120</v>
      </c>
      <c r="D155" t="s">
        <v>13</v>
      </c>
      <c r="E155" t="str">
        <f>"98606"</f>
        <v>98606</v>
      </c>
      <c r="F155" t="s">
        <v>31</v>
      </c>
      <c r="G155" t="s">
        <v>2534</v>
      </c>
      <c r="I155" t="s">
        <v>72</v>
      </c>
      <c r="J155" t="s">
        <v>13</v>
      </c>
      <c r="K155" t="str">
        <f>"98417"</f>
        <v>98417</v>
      </c>
      <c r="L155">
        <v>159</v>
      </c>
      <c r="M155">
        <v>155</v>
      </c>
      <c r="N155">
        <v>4</v>
      </c>
    </row>
    <row r="156" spans="1:14" x14ac:dyDescent="0.25">
      <c r="A156" t="s">
        <v>1601</v>
      </c>
      <c r="B156" t="s">
        <v>1602</v>
      </c>
      <c r="C156" t="s">
        <v>30</v>
      </c>
      <c r="D156" t="s">
        <v>13</v>
      </c>
      <c r="E156" t="str">
        <f>"98662"</f>
        <v>98662</v>
      </c>
      <c r="F156" t="s">
        <v>31</v>
      </c>
      <c r="G156" t="s">
        <v>1603</v>
      </c>
      <c r="I156" t="s">
        <v>30</v>
      </c>
      <c r="J156" t="s">
        <v>13</v>
      </c>
      <c r="K156" t="str">
        <f>"98682"</f>
        <v>98682</v>
      </c>
      <c r="L156">
        <v>63</v>
      </c>
      <c r="M156">
        <v>62</v>
      </c>
      <c r="N156">
        <v>1</v>
      </c>
    </row>
    <row r="157" spans="1:14" x14ac:dyDescent="0.25">
      <c r="A157" t="s">
        <v>2617</v>
      </c>
      <c r="B157" t="s">
        <v>2618</v>
      </c>
      <c r="C157" t="s">
        <v>30</v>
      </c>
      <c r="D157" t="s">
        <v>13</v>
      </c>
      <c r="E157" t="str">
        <f>"98662"</f>
        <v>98662</v>
      </c>
      <c r="F157" t="s">
        <v>31</v>
      </c>
      <c r="G157" t="s">
        <v>2619</v>
      </c>
      <c r="I157" t="s">
        <v>2620</v>
      </c>
      <c r="J157" t="s">
        <v>433</v>
      </c>
      <c r="K157" t="str">
        <f>"94080"</f>
        <v>94080</v>
      </c>
      <c r="L157">
        <v>45</v>
      </c>
      <c r="M157">
        <v>45</v>
      </c>
      <c r="N157">
        <v>0</v>
      </c>
    </row>
    <row r="158" spans="1:14" x14ac:dyDescent="0.25">
      <c r="A158" t="s">
        <v>3304</v>
      </c>
      <c r="B158" t="s">
        <v>3305</v>
      </c>
      <c r="C158" t="s">
        <v>30</v>
      </c>
      <c r="D158" t="s">
        <v>13</v>
      </c>
      <c r="E158" t="str">
        <f>"98682"</f>
        <v>98682</v>
      </c>
      <c r="F158" t="s">
        <v>31</v>
      </c>
      <c r="G158" t="s">
        <v>3305</v>
      </c>
      <c r="I158" t="s">
        <v>30</v>
      </c>
      <c r="J158" t="s">
        <v>13</v>
      </c>
      <c r="K158" t="str">
        <f>"98682"</f>
        <v>98682</v>
      </c>
      <c r="L158">
        <v>188</v>
      </c>
      <c r="M158">
        <v>180</v>
      </c>
      <c r="N158">
        <v>8</v>
      </c>
    </row>
    <row r="159" spans="1:14" x14ac:dyDescent="0.25">
      <c r="A159" t="s">
        <v>1597</v>
      </c>
      <c r="B159" t="s">
        <v>1598</v>
      </c>
      <c r="C159" t="s">
        <v>30</v>
      </c>
      <c r="D159" t="s">
        <v>13</v>
      </c>
      <c r="E159" t="str">
        <f>"98665"</f>
        <v>98665</v>
      </c>
      <c r="F159" t="s">
        <v>31</v>
      </c>
      <c r="G159" t="s">
        <v>1599</v>
      </c>
      <c r="I159" t="s">
        <v>1600</v>
      </c>
      <c r="J159" t="s">
        <v>13</v>
      </c>
      <c r="K159" t="str">
        <f>"98642"</f>
        <v>98642</v>
      </c>
      <c r="L159">
        <v>62</v>
      </c>
      <c r="M159">
        <v>62</v>
      </c>
      <c r="N159">
        <v>0</v>
      </c>
    </row>
    <row r="160" spans="1:14" x14ac:dyDescent="0.25">
      <c r="A160" t="s">
        <v>3415</v>
      </c>
      <c r="B160" t="s">
        <v>3416</v>
      </c>
      <c r="C160" t="s">
        <v>30</v>
      </c>
      <c r="D160" t="s">
        <v>13</v>
      </c>
      <c r="E160" t="str">
        <f>"98664"</f>
        <v>98664</v>
      </c>
      <c r="F160" t="s">
        <v>31</v>
      </c>
      <c r="G160" t="s">
        <v>3417</v>
      </c>
      <c r="I160" t="s">
        <v>30</v>
      </c>
      <c r="J160" t="s">
        <v>13</v>
      </c>
      <c r="K160" t="str">
        <f>"98662"</f>
        <v>98662</v>
      </c>
      <c r="L160">
        <v>32</v>
      </c>
      <c r="M160">
        <v>32</v>
      </c>
      <c r="N160">
        <v>0</v>
      </c>
    </row>
    <row r="161" spans="1:14" x14ac:dyDescent="0.25">
      <c r="A161" t="s">
        <v>3495</v>
      </c>
      <c r="B161" t="s">
        <v>3496</v>
      </c>
      <c r="C161" t="s">
        <v>30</v>
      </c>
      <c r="D161" t="s">
        <v>13</v>
      </c>
      <c r="E161" t="str">
        <f>"98682"</f>
        <v>98682</v>
      </c>
      <c r="F161" t="s">
        <v>31</v>
      </c>
      <c r="G161" t="s">
        <v>2619</v>
      </c>
      <c r="I161" t="s">
        <v>1593</v>
      </c>
      <c r="J161" t="s">
        <v>433</v>
      </c>
      <c r="K161" t="str">
        <f>"94080"</f>
        <v>94080</v>
      </c>
      <c r="L161">
        <v>42</v>
      </c>
      <c r="M161">
        <v>42</v>
      </c>
      <c r="N161">
        <v>0</v>
      </c>
    </row>
    <row r="162" spans="1:14" x14ac:dyDescent="0.25">
      <c r="A162" t="s">
        <v>730</v>
      </c>
      <c r="B162" t="s">
        <v>731</v>
      </c>
      <c r="C162" t="s">
        <v>732</v>
      </c>
      <c r="D162" t="s">
        <v>13</v>
      </c>
      <c r="E162" t="str">
        <f>"98604"</f>
        <v>98604</v>
      </c>
      <c r="F162" t="s">
        <v>31</v>
      </c>
      <c r="G162" t="s">
        <v>733</v>
      </c>
      <c r="I162" t="s">
        <v>732</v>
      </c>
      <c r="J162" t="s">
        <v>13</v>
      </c>
      <c r="K162" t="str">
        <f>"98604"</f>
        <v>98604</v>
      </c>
      <c r="L162">
        <v>15</v>
      </c>
      <c r="M162">
        <v>14</v>
      </c>
      <c r="N162">
        <v>1</v>
      </c>
    </row>
    <row r="163" spans="1:14" x14ac:dyDescent="0.25">
      <c r="A163" t="s">
        <v>891</v>
      </c>
      <c r="B163" t="s">
        <v>892</v>
      </c>
      <c r="C163" t="s">
        <v>30</v>
      </c>
      <c r="D163" t="s">
        <v>13</v>
      </c>
      <c r="E163" t="str">
        <f>"98682"</f>
        <v>98682</v>
      </c>
      <c r="F163" t="s">
        <v>31</v>
      </c>
      <c r="G163" t="s">
        <v>889</v>
      </c>
      <c r="I163" t="s">
        <v>890</v>
      </c>
      <c r="J163" t="s">
        <v>821</v>
      </c>
      <c r="K163" t="str">
        <f>"97291"</f>
        <v>97291</v>
      </c>
      <c r="L163">
        <v>40</v>
      </c>
      <c r="M163">
        <v>37</v>
      </c>
      <c r="N163">
        <v>3</v>
      </c>
    </row>
    <row r="164" spans="1:14" x14ac:dyDescent="0.25">
      <c r="A164" t="s">
        <v>2071</v>
      </c>
      <c r="B164" t="s">
        <v>2072</v>
      </c>
      <c r="C164" t="s">
        <v>30</v>
      </c>
      <c r="D164" t="s">
        <v>13</v>
      </c>
      <c r="E164" t="str">
        <f>"98682"</f>
        <v>98682</v>
      </c>
      <c r="F164" t="s">
        <v>31</v>
      </c>
      <c r="G164" t="s">
        <v>2073</v>
      </c>
      <c r="I164" t="s">
        <v>1522</v>
      </c>
      <c r="J164" t="s">
        <v>433</v>
      </c>
      <c r="K164" t="str">
        <f>"92612"</f>
        <v>92612</v>
      </c>
      <c r="L164">
        <v>110</v>
      </c>
      <c r="M164">
        <v>108</v>
      </c>
      <c r="N164">
        <v>2</v>
      </c>
    </row>
    <row r="165" spans="1:14" x14ac:dyDescent="0.25">
      <c r="A165" t="s">
        <v>887</v>
      </c>
      <c r="B165" t="s">
        <v>888</v>
      </c>
      <c r="C165" t="s">
        <v>30</v>
      </c>
      <c r="D165" t="s">
        <v>13</v>
      </c>
      <c r="E165" t="str">
        <f>"98684"</f>
        <v>98684</v>
      </c>
      <c r="F165" t="s">
        <v>31</v>
      </c>
      <c r="G165" t="s">
        <v>889</v>
      </c>
      <c r="I165" t="s">
        <v>890</v>
      </c>
      <c r="J165" t="s">
        <v>821</v>
      </c>
      <c r="K165" t="str">
        <f>"97291"</f>
        <v>97291</v>
      </c>
      <c r="L165">
        <v>91</v>
      </c>
      <c r="M165">
        <v>90</v>
      </c>
      <c r="N165">
        <v>1</v>
      </c>
    </row>
    <row r="166" spans="1:14" x14ac:dyDescent="0.25">
      <c r="A166" t="s">
        <v>1348</v>
      </c>
      <c r="B166" t="s">
        <v>1349</v>
      </c>
      <c r="C166" t="s">
        <v>1350</v>
      </c>
      <c r="D166" t="s">
        <v>13</v>
      </c>
      <c r="E166" t="str">
        <f>"98671"</f>
        <v>98671</v>
      </c>
      <c r="F166" t="s">
        <v>31</v>
      </c>
      <c r="G166" t="s">
        <v>1349</v>
      </c>
      <c r="I166" t="s">
        <v>1350</v>
      </c>
      <c r="J166" t="s">
        <v>13</v>
      </c>
      <c r="K166" t="str">
        <f>"98671"</f>
        <v>98671</v>
      </c>
      <c r="L166">
        <v>161</v>
      </c>
      <c r="M166">
        <v>155</v>
      </c>
      <c r="N166">
        <v>6</v>
      </c>
    </row>
    <row r="167" spans="1:14" x14ac:dyDescent="0.25">
      <c r="A167" t="s">
        <v>1385</v>
      </c>
      <c r="B167" t="s">
        <v>1386</v>
      </c>
      <c r="C167" t="s">
        <v>30</v>
      </c>
      <c r="D167" t="s">
        <v>13</v>
      </c>
      <c r="E167" t="str">
        <f>"98682"</f>
        <v>98682</v>
      </c>
      <c r="F167" t="s">
        <v>31</v>
      </c>
      <c r="G167" t="s">
        <v>1386</v>
      </c>
      <c r="I167" t="s">
        <v>30</v>
      </c>
      <c r="J167" t="s">
        <v>13</v>
      </c>
      <c r="K167" t="str">
        <f>"98682"</f>
        <v>98682</v>
      </c>
      <c r="L167">
        <v>145</v>
      </c>
      <c r="M167">
        <v>136</v>
      </c>
      <c r="N167">
        <v>9</v>
      </c>
    </row>
    <row r="168" spans="1:14" x14ac:dyDescent="0.25">
      <c r="A168" t="s">
        <v>1058</v>
      </c>
      <c r="B168" t="s">
        <v>1059</v>
      </c>
      <c r="C168" t="s">
        <v>30</v>
      </c>
      <c r="D168" t="s">
        <v>13</v>
      </c>
      <c r="E168" t="str">
        <f>"98682"</f>
        <v>98682</v>
      </c>
      <c r="F168" t="s">
        <v>31</v>
      </c>
      <c r="G168" t="s">
        <v>1060</v>
      </c>
      <c r="I168" t="s">
        <v>30</v>
      </c>
      <c r="J168" t="s">
        <v>13</v>
      </c>
      <c r="K168" t="str">
        <f>"98682"</f>
        <v>98682</v>
      </c>
      <c r="L168">
        <v>50</v>
      </c>
      <c r="M168">
        <v>50</v>
      </c>
      <c r="N168">
        <v>0</v>
      </c>
    </row>
    <row r="169" spans="1:14" x14ac:dyDescent="0.25">
      <c r="A169" t="s">
        <v>2037</v>
      </c>
      <c r="B169" t="s">
        <v>2038</v>
      </c>
      <c r="C169" t="s">
        <v>30</v>
      </c>
      <c r="D169" t="s">
        <v>13</v>
      </c>
      <c r="E169" t="str">
        <f>"98662"</f>
        <v>98662</v>
      </c>
      <c r="F169" t="s">
        <v>31</v>
      </c>
      <c r="G169" t="s">
        <v>2039</v>
      </c>
      <c r="I169" t="s">
        <v>30</v>
      </c>
      <c r="J169" t="s">
        <v>13</v>
      </c>
      <c r="K169" t="str">
        <f>"98662"</f>
        <v>98662</v>
      </c>
      <c r="L169">
        <v>75</v>
      </c>
      <c r="M169">
        <v>68</v>
      </c>
      <c r="N169">
        <v>7</v>
      </c>
    </row>
    <row r="170" spans="1:14" x14ac:dyDescent="0.25">
      <c r="A170" t="s">
        <v>1789</v>
      </c>
      <c r="B170" t="s">
        <v>1790</v>
      </c>
      <c r="C170" t="s">
        <v>30</v>
      </c>
      <c r="D170" t="s">
        <v>13</v>
      </c>
      <c r="E170" t="str">
        <f>"98665"</f>
        <v>98665</v>
      </c>
      <c r="F170" t="s">
        <v>31</v>
      </c>
      <c r="G170" t="s">
        <v>1791</v>
      </c>
      <c r="I170" t="s">
        <v>30</v>
      </c>
      <c r="J170" t="s">
        <v>13</v>
      </c>
      <c r="K170" t="str">
        <f>"98665"</f>
        <v>98665</v>
      </c>
      <c r="L170">
        <v>128</v>
      </c>
      <c r="M170">
        <v>127</v>
      </c>
      <c r="N170">
        <v>1</v>
      </c>
    </row>
    <row r="171" spans="1:14" x14ac:dyDescent="0.25">
      <c r="A171" t="s">
        <v>4017</v>
      </c>
      <c r="B171" t="s">
        <v>4018</v>
      </c>
      <c r="C171" t="s">
        <v>30</v>
      </c>
      <c r="D171" t="s">
        <v>13</v>
      </c>
      <c r="E171" t="str">
        <f>"98686"</f>
        <v>98686</v>
      </c>
      <c r="F171" t="s">
        <v>31</v>
      </c>
      <c r="G171" t="s">
        <v>4019</v>
      </c>
      <c r="H171">
        <v>192</v>
      </c>
      <c r="I171" t="s">
        <v>30</v>
      </c>
      <c r="J171" t="s">
        <v>13</v>
      </c>
      <c r="K171" t="str">
        <f>"98683"</f>
        <v>98683</v>
      </c>
      <c r="L171">
        <v>33</v>
      </c>
      <c r="M171">
        <v>33</v>
      </c>
      <c r="N171">
        <v>0</v>
      </c>
    </row>
    <row r="172" spans="1:14" x14ac:dyDescent="0.25">
      <c r="A172" t="s">
        <v>1667</v>
      </c>
      <c r="B172" t="s">
        <v>1668</v>
      </c>
      <c r="C172" t="s">
        <v>30</v>
      </c>
      <c r="D172" t="s">
        <v>13</v>
      </c>
      <c r="E172" t="str">
        <f>"98686"</f>
        <v>98686</v>
      </c>
      <c r="F172" t="s">
        <v>31</v>
      </c>
      <c r="G172" t="s">
        <v>1669</v>
      </c>
      <c r="I172" t="s">
        <v>30</v>
      </c>
      <c r="J172" t="s">
        <v>13</v>
      </c>
      <c r="K172" t="str">
        <f>"98686"</f>
        <v>98686</v>
      </c>
      <c r="L172">
        <v>33</v>
      </c>
      <c r="M172">
        <v>33</v>
      </c>
      <c r="N172">
        <v>0</v>
      </c>
    </row>
    <row r="173" spans="1:14" x14ac:dyDescent="0.25">
      <c r="A173" t="s">
        <v>1183</v>
      </c>
      <c r="B173" t="s">
        <v>1184</v>
      </c>
      <c r="C173" t="s">
        <v>30</v>
      </c>
      <c r="D173" t="s">
        <v>13</v>
      </c>
      <c r="E173" t="str">
        <f>"98682"</f>
        <v>98682</v>
      </c>
      <c r="F173" t="s">
        <v>31</v>
      </c>
      <c r="G173" t="s">
        <v>1185</v>
      </c>
      <c r="I173" t="s">
        <v>30</v>
      </c>
      <c r="J173" t="s">
        <v>13</v>
      </c>
      <c r="K173" t="str">
        <f>"98682"</f>
        <v>98682</v>
      </c>
      <c r="L173">
        <v>50</v>
      </c>
      <c r="M173">
        <v>49</v>
      </c>
      <c r="N173">
        <v>1</v>
      </c>
    </row>
    <row r="174" spans="1:14" x14ac:dyDescent="0.25">
      <c r="A174" t="s">
        <v>3463</v>
      </c>
      <c r="B174" t="s">
        <v>3464</v>
      </c>
      <c r="C174" t="s">
        <v>30</v>
      </c>
      <c r="D174" t="s">
        <v>13</v>
      </c>
      <c r="E174" t="str">
        <f>"98665"</f>
        <v>98665</v>
      </c>
      <c r="F174" t="s">
        <v>31</v>
      </c>
      <c r="G174" t="s">
        <v>3465</v>
      </c>
      <c r="I174" t="s">
        <v>890</v>
      </c>
      <c r="J174" t="s">
        <v>821</v>
      </c>
      <c r="K174" t="str">
        <f>"97225"</f>
        <v>97225</v>
      </c>
      <c r="L174">
        <v>55</v>
      </c>
      <c r="M174">
        <v>47</v>
      </c>
      <c r="N174">
        <v>8</v>
      </c>
    </row>
    <row r="175" spans="1:14" x14ac:dyDescent="0.25">
      <c r="A175" t="s">
        <v>2983</v>
      </c>
      <c r="B175" t="s">
        <v>2984</v>
      </c>
      <c r="C175" t="s">
        <v>1606</v>
      </c>
      <c r="D175" t="s">
        <v>13</v>
      </c>
      <c r="E175" t="str">
        <f>"98607"</f>
        <v>98607</v>
      </c>
      <c r="F175" t="s">
        <v>31</v>
      </c>
      <c r="G175" t="s">
        <v>2985</v>
      </c>
      <c r="I175" t="s">
        <v>1606</v>
      </c>
      <c r="J175" t="s">
        <v>13</v>
      </c>
      <c r="K175" t="str">
        <f>"98607"</f>
        <v>98607</v>
      </c>
      <c r="L175">
        <v>31</v>
      </c>
      <c r="M175">
        <v>31</v>
      </c>
      <c r="N175">
        <v>0</v>
      </c>
    </row>
    <row r="176" spans="1:14" x14ac:dyDescent="0.25">
      <c r="A176" t="s">
        <v>1772</v>
      </c>
      <c r="B176" t="s">
        <v>1773</v>
      </c>
      <c r="C176" t="s">
        <v>30</v>
      </c>
      <c r="D176" t="s">
        <v>13</v>
      </c>
      <c r="E176" t="str">
        <f>"98665"</f>
        <v>98665</v>
      </c>
      <c r="F176" t="s">
        <v>31</v>
      </c>
      <c r="G176" t="s">
        <v>1774</v>
      </c>
      <c r="I176" t="s">
        <v>1775</v>
      </c>
      <c r="J176" t="s">
        <v>433</v>
      </c>
      <c r="K176" t="str">
        <f>"90274"</f>
        <v>90274</v>
      </c>
      <c r="L176">
        <v>121</v>
      </c>
      <c r="M176">
        <v>121</v>
      </c>
      <c r="N176">
        <v>0</v>
      </c>
    </row>
    <row r="177" spans="1:14" x14ac:dyDescent="0.25">
      <c r="A177" t="s">
        <v>1792</v>
      </c>
      <c r="B177" t="s">
        <v>1793</v>
      </c>
      <c r="C177" t="s">
        <v>30</v>
      </c>
      <c r="D177" t="s">
        <v>13</v>
      </c>
      <c r="E177" t="str">
        <f>"98665"</f>
        <v>98665</v>
      </c>
      <c r="F177" t="s">
        <v>31</v>
      </c>
      <c r="G177" t="s">
        <v>1791</v>
      </c>
      <c r="I177" t="s">
        <v>30</v>
      </c>
      <c r="J177" t="s">
        <v>13</v>
      </c>
      <c r="K177" t="str">
        <f>"98665"</f>
        <v>98665</v>
      </c>
      <c r="L177">
        <v>60</v>
      </c>
      <c r="M177">
        <v>57</v>
      </c>
      <c r="N177">
        <v>3</v>
      </c>
    </row>
    <row r="178" spans="1:14" x14ac:dyDescent="0.25">
      <c r="A178" t="s">
        <v>1607</v>
      </c>
      <c r="B178" t="s">
        <v>1608</v>
      </c>
      <c r="C178" t="s">
        <v>30</v>
      </c>
      <c r="D178" t="s">
        <v>13</v>
      </c>
      <c r="E178" t="str">
        <f>"98684"</f>
        <v>98684</v>
      </c>
      <c r="F178" t="s">
        <v>31</v>
      </c>
      <c r="G178" t="s">
        <v>1603</v>
      </c>
      <c r="I178" t="s">
        <v>30</v>
      </c>
      <c r="J178" t="s">
        <v>13</v>
      </c>
      <c r="K178" t="str">
        <f>"98682"</f>
        <v>98682</v>
      </c>
      <c r="L178">
        <v>56</v>
      </c>
      <c r="M178">
        <v>56</v>
      </c>
      <c r="N178">
        <v>0</v>
      </c>
    </row>
    <row r="179" spans="1:14" x14ac:dyDescent="0.25">
      <c r="A179" t="s">
        <v>3497</v>
      </c>
      <c r="B179" t="s">
        <v>3498</v>
      </c>
      <c r="C179" t="s">
        <v>30</v>
      </c>
      <c r="D179" t="s">
        <v>13</v>
      </c>
      <c r="E179" t="str">
        <f>"98665"</f>
        <v>98665</v>
      </c>
      <c r="F179" t="s">
        <v>31</v>
      </c>
      <c r="G179" t="s">
        <v>2619</v>
      </c>
      <c r="I179" t="s">
        <v>1593</v>
      </c>
      <c r="J179" t="s">
        <v>433</v>
      </c>
      <c r="K179" t="str">
        <f>"94080"</f>
        <v>94080</v>
      </c>
      <c r="L179">
        <v>85</v>
      </c>
      <c r="M179">
        <v>80</v>
      </c>
      <c r="N179">
        <v>5</v>
      </c>
    </row>
    <row r="180" spans="1:14" x14ac:dyDescent="0.25">
      <c r="A180" t="s">
        <v>2436</v>
      </c>
      <c r="B180" t="s">
        <v>2437</v>
      </c>
      <c r="C180" t="s">
        <v>30</v>
      </c>
      <c r="D180" t="s">
        <v>13</v>
      </c>
      <c r="E180" t="str">
        <f>"98661"</f>
        <v>98661</v>
      </c>
      <c r="F180" t="s">
        <v>31</v>
      </c>
      <c r="G180" t="s">
        <v>1736</v>
      </c>
      <c r="I180" t="s">
        <v>30</v>
      </c>
      <c r="J180" t="s">
        <v>13</v>
      </c>
      <c r="K180" t="str">
        <f>"98665"</f>
        <v>98665</v>
      </c>
      <c r="L180">
        <v>18</v>
      </c>
      <c r="M180">
        <v>18</v>
      </c>
      <c r="N180">
        <v>0</v>
      </c>
    </row>
    <row r="181" spans="1:14" x14ac:dyDescent="0.25">
      <c r="A181" t="s">
        <v>2316</v>
      </c>
      <c r="B181" t="s">
        <v>2317</v>
      </c>
      <c r="C181" t="s">
        <v>30</v>
      </c>
      <c r="D181" t="s">
        <v>13</v>
      </c>
      <c r="E181" t="str">
        <f>"98685"</f>
        <v>98685</v>
      </c>
      <c r="F181" t="s">
        <v>31</v>
      </c>
      <c r="G181" t="s">
        <v>2318</v>
      </c>
      <c r="I181" t="s">
        <v>890</v>
      </c>
      <c r="J181" t="s">
        <v>821</v>
      </c>
      <c r="K181" t="str">
        <f>"97218"</f>
        <v>97218</v>
      </c>
      <c r="L181">
        <v>69</v>
      </c>
      <c r="M181">
        <v>69</v>
      </c>
      <c r="N181">
        <v>0</v>
      </c>
    </row>
    <row r="182" spans="1:14" x14ac:dyDescent="0.25">
      <c r="A182" t="s">
        <v>3714</v>
      </c>
      <c r="B182" t="s">
        <v>3715</v>
      </c>
      <c r="C182" t="s">
        <v>30</v>
      </c>
      <c r="D182" t="s">
        <v>13</v>
      </c>
      <c r="E182" t="str">
        <f>"98686"</f>
        <v>98686</v>
      </c>
      <c r="F182" t="s">
        <v>31</v>
      </c>
      <c r="G182" t="s">
        <v>3716</v>
      </c>
      <c r="I182" t="s">
        <v>1616</v>
      </c>
      <c r="J182" t="s">
        <v>821</v>
      </c>
      <c r="K182" t="str">
        <f>"97501"</f>
        <v>97501</v>
      </c>
      <c r="L182">
        <v>51</v>
      </c>
      <c r="M182">
        <v>51</v>
      </c>
      <c r="N182">
        <v>0</v>
      </c>
    </row>
    <row r="183" spans="1:14" x14ac:dyDescent="0.25">
      <c r="A183" t="s">
        <v>2621</v>
      </c>
      <c r="B183" t="s">
        <v>2622</v>
      </c>
      <c r="C183" t="s">
        <v>1350</v>
      </c>
      <c r="D183" t="s">
        <v>13</v>
      </c>
      <c r="E183" t="str">
        <f>"98671"</f>
        <v>98671</v>
      </c>
      <c r="F183" t="s">
        <v>31</v>
      </c>
      <c r="G183" t="s">
        <v>2619</v>
      </c>
      <c r="I183" t="s">
        <v>2620</v>
      </c>
      <c r="J183" t="s">
        <v>433</v>
      </c>
      <c r="K183" t="str">
        <f>"94080"</f>
        <v>94080</v>
      </c>
      <c r="L183">
        <v>91</v>
      </c>
      <c r="M183">
        <v>91</v>
      </c>
      <c r="N183">
        <v>0</v>
      </c>
    </row>
    <row r="184" spans="1:14" x14ac:dyDescent="0.25">
      <c r="A184" t="s">
        <v>2418</v>
      </c>
      <c r="B184" t="s">
        <v>2419</v>
      </c>
      <c r="C184" t="s">
        <v>30</v>
      </c>
      <c r="D184" t="s">
        <v>13</v>
      </c>
      <c r="E184" t="str">
        <f>"98663"</f>
        <v>98663</v>
      </c>
      <c r="F184" t="s">
        <v>31</v>
      </c>
      <c r="G184" t="s">
        <v>2420</v>
      </c>
      <c r="I184" t="s">
        <v>30</v>
      </c>
      <c r="J184" t="s">
        <v>13</v>
      </c>
      <c r="K184" t="str">
        <f>"98666"</f>
        <v>98666</v>
      </c>
      <c r="L184">
        <v>93</v>
      </c>
      <c r="M184">
        <v>91</v>
      </c>
      <c r="N184">
        <v>2</v>
      </c>
    </row>
    <row r="185" spans="1:14" x14ac:dyDescent="0.25">
      <c r="A185" t="s">
        <v>28</v>
      </c>
      <c r="B185" t="s">
        <v>29</v>
      </c>
      <c r="C185" t="s">
        <v>30</v>
      </c>
      <c r="D185" t="s">
        <v>13</v>
      </c>
      <c r="E185" t="str">
        <f>"98661"</f>
        <v>98661</v>
      </c>
      <c r="F185" t="s">
        <v>31</v>
      </c>
      <c r="G185" t="s">
        <v>32</v>
      </c>
      <c r="I185" t="s">
        <v>30</v>
      </c>
      <c r="J185" t="s">
        <v>13</v>
      </c>
      <c r="K185" t="str">
        <f>"98686"</f>
        <v>98686</v>
      </c>
      <c r="L185">
        <v>90</v>
      </c>
      <c r="M185">
        <v>90</v>
      </c>
      <c r="N185">
        <v>0</v>
      </c>
    </row>
    <row r="186" spans="1:14" x14ac:dyDescent="0.25">
      <c r="A186" t="s">
        <v>1604</v>
      </c>
      <c r="B186" t="s">
        <v>1605</v>
      </c>
      <c r="C186" t="s">
        <v>1606</v>
      </c>
      <c r="D186" t="s">
        <v>13</v>
      </c>
      <c r="E186" t="str">
        <f>"98607"</f>
        <v>98607</v>
      </c>
      <c r="F186" t="s">
        <v>31</v>
      </c>
      <c r="G186" t="s">
        <v>1603</v>
      </c>
      <c r="I186" t="s">
        <v>30</v>
      </c>
      <c r="J186" t="s">
        <v>13</v>
      </c>
      <c r="K186" t="str">
        <f>"98682"</f>
        <v>98682</v>
      </c>
      <c r="L186">
        <v>72</v>
      </c>
      <c r="M186">
        <v>67</v>
      </c>
      <c r="N186">
        <v>5</v>
      </c>
    </row>
    <row r="187" spans="1:14" x14ac:dyDescent="0.25">
      <c r="A187" t="s">
        <v>2259</v>
      </c>
      <c r="B187" t="s">
        <v>2260</v>
      </c>
      <c r="C187" t="s">
        <v>30</v>
      </c>
      <c r="D187" t="s">
        <v>13</v>
      </c>
      <c r="E187" t="str">
        <f>"98682"</f>
        <v>98682</v>
      </c>
      <c r="F187" t="s">
        <v>31</v>
      </c>
      <c r="G187" t="s">
        <v>217</v>
      </c>
      <c r="I187" t="s">
        <v>30</v>
      </c>
      <c r="J187" t="s">
        <v>13</v>
      </c>
      <c r="K187" t="str">
        <f>"98661"</f>
        <v>98661</v>
      </c>
      <c r="L187">
        <v>40</v>
      </c>
      <c r="M187">
        <v>34</v>
      </c>
      <c r="N187">
        <v>6</v>
      </c>
    </row>
    <row r="188" spans="1:14" x14ac:dyDescent="0.25">
      <c r="A188" t="s">
        <v>215</v>
      </c>
      <c r="B188" t="s">
        <v>216</v>
      </c>
      <c r="C188" t="s">
        <v>30</v>
      </c>
      <c r="D188" t="s">
        <v>13</v>
      </c>
      <c r="E188" t="str">
        <f>"98684"</f>
        <v>98684</v>
      </c>
      <c r="F188" t="s">
        <v>31</v>
      </c>
      <c r="G188" t="s">
        <v>217</v>
      </c>
      <c r="I188" t="s">
        <v>30</v>
      </c>
      <c r="J188" t="s">
        <v>13</v>
      </c>
      <c r="K188" t="str">
        <f>"98661"</f>
        <v>98661</v>
      </c>
      <c r="L188">
        <v>8</v>
      </c>
      <c r="M188">
        <v>8</v>
      </c>
      <c r="N188">
        <v>0</v>
      </c>
    </row>
    <row r="189" spans="1:14" x14ac:dyDescent="0.25">
      <c r="A189" t="s">
        <v>2945</v>
      </c>
      <c r="B189" t="s">
        <v>2946</v>
      </c>
      <c r="C189" t="s">
        <v>1350</v>
      </c>
      <c r="D189" t="s">
        <v>13</v>
      </c>
      <c r="E189" t="str">
        <f>"98671"</f>
        <v>98671</v>
      </c>
      <c r="F189" t="s">
        <v>31</v>
      </c>
      <c r="G189" t="s">
        <v>2947</v>
      </c>
      <c r="I189" t="s">
        <v>2948</v>
      </c>
      <c r="J189" t="s">
        <v>821</v>
      </c>
      <c r="K189" t="str">
        <f>"97045"</f>
        <v>97045</v>
      </c>
      <c r="L189">
        <v>31</v>
      </c>
      <c r="M189">
        <v>31</v>
      </c>
      <c r="N189">
        <v>0</v>
      </c>
    </row>
    <row r="190" spans="1:14" x14ac:dyDescent="0.25">
      <c r="A190" t="s">
        <v>3741</v>
      </c>
      <c r="B190" t="s">
        <v>3742</v>
      </c>
      <c r="C190" t="s">
        <v>1350</v>
      </c>
      <c r="D190" t="s">
        <v>13</v>
      </c>
      <c r="E190" t="str">
        <f>"98671"</f>
        <v>98671</v>
      </c>
      <c r="F190" t="s">
        <v>31</v>
      </c>
      <c r="G190" t="s">
        <v>3743</v>
      </c>
      <c r="I190" t="s">
        <v>3294</v>
      </c>
      <c r="J190" t="s">
        <v>13</v>
      </c>
      <c r="K190" t="str">
        <f>"98675"</f>
        <v>98675</v>
      </c>
      <c r="L190">
        <v>10</v>
      </c>
      <c r="M190">
        <v>10</v>
      </c>
      <c r="N190">
        <v>0</v>
      </c>
    </row>
    <row r="191" spans="1:14" x14ac:dyDescent="0.25">
      <c r="A191" t="s">
        <v>1734</v>
      </c>
      <c r="B191" t="s">
        <v>1735</v>
      </c>
      <c r="C191" t="s">
        <v>30</v>
      </c>
      <c r="D191" t="s">
        <v>13</v>
      </c>
      <c r="E191" t="str">
        <f>"98662"</f>
        <v>98662</v>
      </c>
      <c r="F191" t="s">
        <v>31</v>
      </c>
      <c r="G191" t="s">
        <v>1736</v>
      </c>
      <c r="I191" t="s">
        <v>30</v>
      </c>
      <c r="J191" t="s">
        <v>13</v>
      </c>
      <c r="K191" t="str">
        <f>"98665"</f>
        <v>98665</v>
      </c>
      <c r="L191">
        <v>41</v>
      </c>
      <c r="M191">
        <v>41</v>
      </c>
      <c r="N191">
        <v>0</v>
      </c>
    </row>
    <row r="192" spans="1:14" x14ac:dyDescent="0.25">
      <c r="A192" t="s">
        <v>118</v>
      </c>
      <c r="B192" t="s">
        <v>119</v>
      </c>
      <c r="C192" t="s">
        <v>120</v>
      </c>
      <c r="D192" t="s">
        <v>13</v>
      </c>
      <c r="E192" t="str">
        <f>"98606"</f>
        <v>98606</v>
      </c>
      <c r="F192" t="s">
        <v>31</v>
      </c>
      <c r="G192" t="s">
        <v>121</v>
      </c>
      <c r="I192" t="s">
        <v>120</v>
      </c>
      <c r="J192" t="s">
        <v>13</v>
      </c>
      <c r="K192" t="str">
        <f>"98606"</f>
        <v>98606</v>
      </c>
      <c r="L192">
        <v>19</v>
      </c>
      <c r="M192">
        <v>13</v>
      </c>
      <c r="N192">
        <v>6</v>
      </c>
    </row>
    <row r="193" spans="1:14" x14ac:dyDescent="0.25">
      <c r="A193" t="s">
        <v>2032</v>
      </c>
      <c r="B193" t="s">
        <v>2033</v>
      </c>
      <c r="C193" t="s">
        <v>30</v>
      </c>
      <c r="D193" t="s">
        <v>13</v>
      </c>
      <c r="E193" t="str">
        <f>"98682"</f>
        <v>98682</v>
      </c>
      <c r="F193" t="s">
        <v>31</v>
      </c>
      <c r="G193" t="s">
        <v>2034</v>
      </c>
      <c r="I193" t="s">
        <v>732</v>
      </c>
      <c r="J193" t="s">
        <v>13</v>
      </c>
      <c r="K193" t="str">
        <f>"98604"</f>
        <v>98604</v>
      </c>
      <c r="L193">
        <v>31</v>
      </c>
      <c r="M193">
        <v>31</v>
      </c>
      <c r="N193">
        <v>0</v>
      </c>
    </row>
    <row r="194" spans="1:14" x14ac:dyDescent="0.25">
      <c r="A194" t="s">
        <v>2261</v>
      </c>
      <c r="B194" t="s">
        <v>2262</v>
      </c>
      <c r="C194" t="s">
        <v>30</v>
      </c>
      <c r="D194" t="s">
        <v>13</v>
      </c>
      <c r="E194" t="str">
        <f>"98682"</f>
        <v>98682</v>
      </c>
      <c r="F194" t="s">
        <v>31</v>
      </c>
      <c r="G194" t="s">
        <v>217</v>
      </c>
      <c r="I194" t="s">
        <v>30</v>
      </c>
      <c r="J194" t="s">
        <v>13</v>
      </c>
      <c r="K194" t="str">
        <f>"98661"</f>
        <v>98661</v>
      </c>
      <c r="L194">
        <v>132</v>
      </c>
      <c r="M194">
        <v>132</v>
      </c>
      <c r="N194">
        <v>0</v>
      </c>
    </row>
    <row r="195" spans="1:14" x14ac:dyDescent="0.25">
      <c r="A195" t="s">
        <v>2035</v>
      </c>
      <c r="B195" t="s">
        <v>2036</v>
      </c>
      <c r="C195" t="s">
        <v>30</v>
      </c>
      <c r="D195" t="s">
        <v>13</v>
      </c>
      <c r="E195" t="str">
        <f>"98682"</f>
        <v>98682</v>
      </c>
      <c r="F195" t="s">
        <v>31</v>
      </c>
      <c r="G195" t="s">
        <v>2034</v>
      </c>
      <c r="I195" t="s">
        <v>732</v>
      </c>
      <c r="J195" t="s">
        <v>13</v>
      </c>
      <c r="K195" t="str">
        <f>"98604"</f>
        <v>98604</v>
      </c>
      <c r="L195">
        <v>38</v>
      </c>
      <c r="M195">
        <v>37</v>
      </c>
      <c r="N195">
        <v>1</v>
      </c>
    </row>
    <row r="196" spans="1:14" x14ac:dyDescent="0.25">
      <c r="A196" t="s">
        <v>3033</v>
      </c>
      <c r="B196" t="s">
        <v>3034</v>
      </c>
      <c r="C196" t="s">
        <v>30</v>
      </c>
      <c r="D196" t="s">
        <v>13</v>
      </c>
      <c r="E196" t="str">
        <f>"98661"</f>
        <v>98661</v>
      </c>
      <c r="F196" t="s">
        <v>31</v>
      </c>
      <c r="G196" t="s">
        <v>3034</v>
      </c>
      <c r="I196" t="s">
        <v>30</v>
      </c>
      <c r="J196" t="s">
        <v>13</v>
      </c>
      <c r="K196" t="str">
        <f>"98661"</f>
        <v>98661</v>
      </c>
      <c r="L196">
        <v>58</v>
      </c>
      <c r="M196">
        <v>58</v>
      </c>
      <c r="N196">
        <v>0</v>
      </c>
    </row>
    <row r="197" spans="1:14" x14ac:dyDescent="0.25">
      <c r="A197" t="s">
        <v>3376</v>
      </c>
      <c r="B197" t="s">
        <v>3377</v>
      </c>
      <c r="C197" t="s">
        <v>30</v>
      </c>
      <c r="D197" t="s">
        <v>13</v>
      </c>
      <c r="E197" t="str">
        <f>"98661"</f>
        <v>98661</v>
      </c>
      <c r="F197" t="s">
        <v>31</v>
      </c>
      <c r="G197" t="s">
        <v>1983</v>
      </c>
      <c r="I197" t="s">
        <v>890</v>
      </c>
      <c r="J197" t="s">
        <v>821</v>
      </c>
      <c r="K197" t="str">
        <f>"97236"</f>
        <v>97236</v>
      </c>
      <c r="L197">
        <v>70</v>
      </c>
      <c r="M197">
        <v>70</v>
      </c>
      <c r="N197">
        <v>0</v>
      </c>
    </row>
    <row r="198" spans="1:14" x14ac:dyDescent="0.25">
      <c r="A198" t="s">
        <v>1763</v>
      </c>
      <c r="B198" t="s">
        <v>1764</v>
      </c>
      <c r="C198" t="s">
        <v>30</v>
      </c>
      <c r="D198" t="s">
        <v>13</v>
      </c>
      <c r="E198" t="str">
        <f>"98665"</f>
        <v>98665</v>
      </c>
      <c r="F198" t="s">
        <v>31</v>
      </c>
      <c r="G198" t="s">
        <v>1762</v>
      </c>
      <c r="I198" t="s">
        <v>30</v>
      </c>
      <c r="J198" t="s">
        <v>13</v>
      </c>
      <c r="K198" t="str">
        <f>"98686"</f>
        <v>98686</v>
      </c>
      <c r="L198">
        <v>13</v>
      </c>
      <c r="M198">
        <v>10</v>
      </c>
      <c r="N198">
        <v>3</v>
      </c>
    </row>
    <row r="199" spans="1:14" x14ac:dyDescent="0.25">
      <c r="A199" t="s">
        <v>1809</v>
      </c>
      <c r="B199" t="s">
        <v>1810</v>
      </c>
      <c r="C199" t="s">
        <v>30</v>
      </c>
      <c r="D199" t="s">
        <v>13</v>
      </c>
      <c r="E199" t="str">
        <f>"98660"</f>
        <v>98660</v>
      </c>
      <c r="F199" t="s">
        <v>31</v>
      </c>
      <c r="G199" t="s">
        <v>1811</v>
      </c>
      <c r="I199" t="s">
        <v>30</v>
      </c>
      <c r="J199" t="s">
        <v>13</v>
      </c>
      <c r="K199" t="str">
        <f>"98668"</f>
        <v>98668</v>
      </c>
      <c r="L199">
        <v>46</v>
      </c>
      <c r="M199">
        <v>46</v>
      </c>
      <c r="N199">
        <v>0</v>
      </c>
    </row>
    <row r="200" spans="1:14" x14ac:dyDescent="0.25">
      <c r="A200" t="s">
        <v>3945</v>
      </c>
      <c r="B200" t="s">
        <v>3946</v>
      </c>
      <c r="C200" t="s">
        <v>30</v>
      </c>
      <c r="D200" t="s">
        <v>13</v>
      </c>
      <c r="E200" t="str">
        <f>"98661"</f>
        <v>98661</v>
      </c>
      <c r="F200" t="s">
        <v>31</v>
      </c>
      <c r="G200" t="s">
        <v>1521</v>
      </c>
      <c r="I200" t="s">
        <v>1522</v>
      </c>
      <c r="J200" t="s">
        <v>433</v>
      </c>
      <c r="K200" t="str">
        <f>"92614"</f>
        <v>92614</v>
      </c>
      <c r="L200">
        <v>81</v>
      </c>
      <c r="M200">
        <v>80</v>
      </c>
      <c r="N200">
        <v>1</v>
      </c>
    </row>
    <row r="201" spans="1:14" x14ac:dyDescent="0.25">
      <c r="A201" t="s">
        <v>2171</v>
      </c>
      <c r="B201" t="s">
        <v>2172</v>
      </c>
      <c r="C201" t="s">
        <v>1600</v>
      </c>
      <c r="D201" t="s">
        <v>13</v>
      </c>
      <c r="E201" t="str">
        <f>"98642"</f>
        <v>98642</v>
      </c>
      <c r="F201" t="s">
        <v>31</v>
      </c>
      <c r="G201" t="s">
        <v>2173</v>
      </c>
      <c r="H201" t="s">
        <v>2174</v>
      </c>
      <c r="I201" t="s">
        <v>30</v>
      </c>
      <c r="J201" t="s">
        <v>13</v>
      </c>
      <c r="K201" t="str">
        <f>"98683"</f>
        <v>98683</v>
      </c>
      <c r="L201">
        <v>56</v>
      </c>
      <c r="M201">
        <v>44</v>
      </c>
      <c r="N201">
        <v>12</v>
      </c>
    </row>
    <row r="202" spans="1:14" x14ac:dyDescent="0.25">
      <c r="A202" t="s">
        <v>646</v>
      </c>
      <c r="B202" t="s">
        <v>647</v>
      </c>
      <c r="C202" t="s">
        <v>30</v>
      </c>
      <c r="D202" t="s">
        <v>13</v>
      </c>
      <c r="E202" t="str">
        <f>"98683"</f>
        <v>98683</v>
      </c>
      <c r="F202" t="s">
        <v>31</v>
      </c>
      <c r="G202" t="s">
        <v>647</v>
      </c>
      <c r="I202" t="s">
        <v>30</v>
      </c>
      <c r="J202" t="s">
        <v>13</v>
      </c>
      <c r="K202" t="str">
        <f>"98683"</f>
        <v>98683</v>
      </c>
      <c r="L202">
        <v>213</v>
      </c>
      <c r="M202">
        <v>213</v>
      </c>
      <c r="N202">
        <v>0</v>
      </c>
    </row>
    <row r="203" spans="1:14" x14ac:dyDescent="0.25">
      <c r="A203" t="s">
        <v>3934</v>
      </c>
      <c r="B203" t="s">
        <v>3935</v>
      </c>
      <c r="C203" t="s">
        <v>732</v>
      </c>
      <c r="D203" t="s">
        <v>13</v>
      </c>
      <c r="E203" t="str">
        <f>"98604"</f>
        <v>98604</v>
      </c>
      <c r="F203" t="s">
        <v>31</v>
      </c>
      <c r="G203" t="s">
        <v>3936</v>
      </c>
      <c r="I203" t="s">
        <v>30</v>
      </c>
      <c r="J203" t="s">
        <v>13</v>
      </c>
      <c r="K203" t="str">
        <f>"98685"</f>
        <v>98685</v>
      </c>
      <c r="L203">
        <v>25</v>
      </c>
      <c r="M203">
        <v>25</v>
      </c>
      <c r="N203">
        <v>0</v>
      </c>
    </row>
    <row r="204" spans="1:14" x14ac:dyDescent="0.25">
      <c r="A204" t="s">
        <v>2162</v>
      </c>
      <c r="B204" t="s">
        <v>2163</v>
      </c>
      <c r="C204" t="s">
        <v>732</v>
      </c>
      <c r="D204" t="s">
        <v>13</v>
      </c>
      <c r="E204" t="str">
        <f>"98604"</f>
        <v>98604</v>
      </c>
      <c r="F204" t="s">
        <v>31</v>
      </c>
      <c r="G204" t="s">
        <v>2164</v>
      </c>
      <c r="I204" t="s">
        <v>107</v>
      </c>
      <c r="J204" t="s">
        <v>13</v>
      </c>
      <c r="K204" t="str">
        <f>"98116"</f>
        <v>98116</v>
      </c>
      <c r="L204">
        <v>23</v>
      </c>
      <c r="M204">
        <v>23</v>
      </c>
      <c r="N204">
        <v>0</v>
      </c>
    </row>
    <row r="205" spans="1:14" x14ac:dyDescent="0.25">
      <c r="A205" t="s">
        <v>2154</v>
      </c>
      <c r="B205" t="s">
        <v>2155</v>
      </c>
      <c r="C205" t="s">
        <v>1242</v>
      </c>
      <c r="D205" t="s">
        <v>13</v>
      </c>
      <c r="E205" t="str">
        <f>"99328"</f>
        <v>99328</v>
      </c>
      <c r="F205" t="s">
        <v>1243</v>
      </c>
      <c r="G205" t="s">
        <v>2155</v>
      </c>
      <c r="I205" t="s">
        <v>1242</v>
      </c>
      <c r="J205" t="s">
        <v>13</v>
      </c>
      <c r="K205" t="str">
        <f>"99328"</f>
        <v>99328</v>
      </c>
      <c r="L205">
        <v>18</v>
      </c>
      <c r="M205">
        <v>18</v>
      </c>
      <c r="N205">
        <v>0</v>
      </c>
    </row>
    <row r="206" spans="1:14" x14ac:dyDescent="0.25">
      <c r="A206" t="s">
        <v>3015</v>
      </c>
      <c r="B206" t="s">
        <v>3016</v>
      </c>
      <c r="C206" t="s">
        <v>1242</v>
      </c>
      <c r="D206" t="s">
        <v>13</v>
      </c>
      <c r="E206" t="str">
        <f>"99328"</f>
        <v>99328</v>
      </c>
      <c r="F206" t="s">
        <v>1243</v>
      </c>
      <c r="G206" t="s">
        <v>3017</v>
      </c>
      <c r="I206" t="s">
        <v>1242</v>
      </c>
      <c r="J206" t="s">
        <v>13</v>
      </c>
      <c r="K206" t="str">
        <f>"99328"</f>
        <v>99328</v>
      </c>
      <c r="L206">
        <v>5</v>
      </c>
      <c r="M206">
        <v>5</v>
      </c>
      <c r="N206">
        <v>0</v>
      </c>
    </row>
    <row r="207" spans="1:14" x14ac:dyDescent="0.25">
      <c r="A207" t="s">
        <v>3018</v>
      </c>
      <c r="B207" t="s">
        <v>3019</v>
      </c>
      <c r="C207" t="s">
        <v>1242</v>
      </c>
      <c r="D207" t="s">
        <v>13</v>
      </c>
      <c r="E207" t="str">
        <f>"99328"</f>
        <v>99328</v>
      </c>
      <c r="F207" t="s">
        <v>1243</v>
      </c>
      <c r="G207" t="s">
        <v>3017</v>
      </c>
      <c r="I207" t="s">
        <v>1242</v>
      </c>
      <c r="J207" t="s">
        <v>13</v>
      </c>
      <c r="K207" t="str">
        <f>"99328"</f>
        <v>99328</v>
      </c>
      <c r="L207">
        <v>14</v>
      </c>
      <c r="M207">
        <v>14</v>
      </c>
      <c r="N207">
        <v>0</v>
      </c>
    </row>
    <row r="208" spans="1:14" x14ac:dyDescent="0.25">
      <c r="A208" t="s">
        <v>2792</v>
      </c>
      <c r="B208" t="s">
        <v>2793</v>
      </c>
      <c r="C208" t="s">
        <v>1242</v>
      </c>
      <c r="D208" t="s">
        <v>13</v>
      </c>
      <c r="E208" t="str">
        <f>"99328"</f>
        <v>99328</v>
      </c>
      <c r="F208" t="s">
        <v>1243</v>
      </c>
      <c r="G208" t="s">
        <v>2794</v>
      </c>
      <c r="I208" t="s">
        <v>1242</v>
      </c>
      <c r="J208" t="s">
        <v>13</v>
      </c>
      <c r="K208" t="str">
        <f>"99328"</f>
        <v>99328</v>
      </c>
      <c r="L208">
        <v>18</v>
      </c>
      <c r="M208">
        <v>18</v>
      </c>
      <c r="N208">
        <v>0</v>
      </c>
    </row>
    <row r="209" spans="1:14" x14ac:dyDescent="0.25">
      <c r="A209" t="s">
        <v>1240</v>
      </c>
      <c r="B209" t="s">
        <v>1241</v>
      </c>
      <c r="C209" t="s">
        <v>1242</v>
      </c>
      <c r="D209" t="s">
        <v>13</v>
      </c>
      <c r="E209" t="str">
        <f>"99328"</f>
        <v>99328</v>
      </c>
      <c r="F209" t="s">
        <v>1243</v>
      </c>
      <c r="G209" t="s">
        <v>117</v>
      </c>
      <c r="I209" t="s">
        <v>1242</v>
      </c>
      <c r="J209" t="s">
        <v>13</v>
      </c>
      <c r="K209" t="str">
        <f>"99328"</f>
        <v>99328</v>
      </c>
      <c r="L209">
        <v>6</v>
      </c>
      <c r="M209">
        <v>3</v>
      </c>
      <c r="N209">
        <v>3</v>
      </c>
    </row>
    <row r="210" spans="1:14" x14ac:dyDescent="0.25">
      <c r="A210" t="s">
        <v>3403</v>
      </c>
      <c r="B210" t="s">
        <v>3404</v>
      </c>
      <c r="C210" t="s">
        <v>1242</v>
      </c>
      <c r="D210" t="s">
        <v>13</v>
      </c>
      <c r="E210" t="str">
        <f>"99328"</f>
        <v>99328</v>
      </c>
      <c r="F210" t="s">
        <v>1243</v>
      </c>
      <c r="G210" t="s">
        <v>3405</v>
      </c>
      <c r="I210" t="s">
        <v>96</v>
      </c>
      <c r="J210" t="s">
        <v>13</v>
      </c>
      <c r="K210" t="str">
        <f>"99362"</f>
        <v>99362</v>
      </c>
      <c r="L210">
        <v>30</v>
      </c>
      <c r="M210">
        <v>6</v>
      </c>
      <c r="N210">
        <v>24</v>
      </c>
    </row>
    <row r="211" spans="1:14" x14ac:dyDescent="0.25">
      <c r="A211" t="s">
        <v>3182</v>
      </c>
      <c r="B211" t="s">
        <v>3183</v>
      </c>
      <c r="C211" t="s">
        <v>468</v>
      </c>
      <c r="D211" t="s">
        <v>13</v>
      </c>
      <c r="E211" t="str">
        <f>"98626"</f>
        <v>98626</v>
      </c>
      <c r="F211" t="s">
        <v>227</v>
      </c>
      <c r="G211" t="s">
        <v>3184</v>
      </c>
      <c r="I211" t="s">
        <v>1082</v>
      </c>
      <c r="J211" t="s">
        <v>13</v>
      </c>
      <c r="K211" t="str">
        <f>"98570"</f>
        <v>98570</v>
      </c>
      <c r="L211">
        <v>19</v>
      </c>
      <c r="M211">
        <v>19</v>
      </c>
      <c r="N211">
        <v>0</v>
      </c>
    </row>
    <row r="212" spans="1:14" x14ac:dyDescent="0.25">
      <c r="A212" t="s">
        <v>3583</v>
      </c>
      <c r="B212" t="s">
        <v>3584</v>
      </c>
      <c r="C212" t="s">
        <v>468</v>
      </c>
      <c r="D212" t="s">
        <v>13</v>
      </c>
      <c r="E212" t="str">
        <f>"98626"</f>
        <v>98626</v>
      </c>
      <c r="F212" t="s">
        <v>227</v>
      </c>
      <c r="G212" t="s">
        <v>1521</v>
      </c>
      <c r="I212" t="s">
        <v>1522</v>
      </c>
      <c r="J212" t="s">
        <v>433</v>
      </c>
      <c r="K212" t="str">
        <f>"92614"</f>
        <v>92614</v>
      </c>
      <c r="L212">
        <v>194</v>
      </c>
      <c r="M212">
        <v>190</v>
      </c>
      <c r="N212">
        <v>4</v>
      </c>
    </row>
    <row r="213" spans="1:14" x14ac:dyDescent="0.25">
      <c r="A213" t="s">
        <v>3702</v>
      </c>
      <c r="B213" t="s">
        <v>3703</v>
      </c>
      <c r="C213" t="s">
        <v>2151</v>
      </c>
      <c r="D213" t="s">
        <v>13</v>
      </c>
      <c r="E213" t="str">
        <f>"98625"</f>
        <v>98625</v>
      </c>
      <c r="F213" t="s">
        <v>227</v>
      </c>
      <c r="G213" t="s">
        <v>3704</v>
      </c>
      <c r="I213" t="s">
        <v>30</v>
      </c>
      <c r="J213" t="s">
        <v>13</v>
      </c>
      <c r="K213" t="str">
        <f>"98665"</f>
        <v>98665</v>
      </c>
      <c r="L213">
        <v>21</v>
      </c>
      <c r="M213">
        <v>4</v>
      </c>
      <c r="N213">
        <v>17</v>
      </c>
    </row>
    <row r="214" spans="1:14" x14ac:dyDescent="0.25">
      <c r="A214" t="s">
        <v>2247</v>
      </c>
      <c r="B214" t="s">
        <v>2248</v>
      </c>
      <c r="C214" t="s">
        <v>226</v>
      </c>
      <c r="D214" t="s">
        <v>13</v>
      </c>
      <c r="E214" t="str">
        <f>"98632"</f>
        <v>98632</v>
      </c>
      <c r="F214" t="s">
        <v>227</v>
      </c>
      <c r="G214" t="s">
        <v>2249</v>
      </c>
      <c r="I214" t="s">
        <v>280</v>
      </c>
      <c r="J214" t="s">
        <v>13</v>
      </c>
      <c r="K214" t="str">
        <f>"98640"</f>
        <v>98640</v>
      </c>
      <c r="L214">
        <v>34</v>
      </c>
      <c r="M214">
        <v>34</v>
      </c>
      <c r="N214">
        <v>0</v>
      </c>
    </row>
    <row r="215" spans="1:14" x14ac:dyDescent="0.25">
      <c r="A215" t="s">
        <v>1913</v>
      </c>
      <c r="B215" t="s">
        <v>1914</v>
      </c>
      <c r="C215" t="s">
        <v>398</v>
      </c>
      <c r="D215" t="s">
        <v>13</v>
      </c>
      <c r="E215" t="str">
        <f>"98674"</f>
        <v>98674</v>
      </c>
      <c r="F215" t="s">
        <v>227</v>
      </c>
      <c r="G215" t="s">
        <v>1915</v>
      </c>
      <c r="I215" t="s">
        <v>398</v>
      </c>
      <c r="J215" t="s">
        <v>13</v>
      </c>
      <c r="K215" t="str">
        <f>"98674"</f>
        <v>98674</v>
      </c>
      <c r="L215">
        <v>8</v>
      </c>
      <c r="M215">
        <v>6</v>
      </c>
      <c r="N215">
        <v>2</v>
      </c>
    </row>
    <row r="216" spans="1:14" x14ac:dyDescent="0.25">
      <c r="A216" t="s">
        <v>1540</v>
      </c>
      <c r="B216" t="s">
        <v>1541</v>
      </c>
      <c r="C216" t="s">
        <v>468</v>
      </c>
      <c r="D216" t="s">
        <v>13</v>
      </c>
      <c r="E216" t="str">
        <f>"98626"</f>
        <v>98626</v>
      </c>
      <c r="F216" t="s">
        <v>227</v>
      </c>
      <c r="G216" t="s">
        <v>1542</v>
      </c>
      <c r="I216" t="s">
        <v>1543</v>
      </c>
      <c r="J216" t="s">
        <v>821</v>
      </c>
      <c r="K216" t="str">
        <f>"97060"</f>
        <v>97060</v>
      </c>
      <c r="L216">
        <v>4</v>
      </c>
      <c r="M216">
        <v>4</v>
      </c>
      <c r="N216">
        <v>0</v>
      </c>
    </row>
    <row r="217" spans="1:14" x14ac:dyDescent="0.25">
      <c r="A217" t="s">
        <v>2149</v>
      </c>
      <c r="B217" t="s">
        <v>2150</v>
      </c>
      <c r="C217" t="s">
        <v>2151</v>
      </c>
      <c r="D217" t="s">
        <v>13</v>
      </c>
      <c r="E217" t="str">
        <f>"98625"</f>
        <v>98625</v>
      </c>
      <c r="F217" t="s">
        <v>227</v>
      </c>
      <c r="G217" t="s">
        <v>1521</v>
      </c>
      <c r="I217" t="s">
        <v>1522</v>
      </c>
      <c r="J217" t="s">
        <v>433</v>
      </c>
      <c r="K217" t="str">
        <f>"92614"</f>
        <v>92614</v>
      </c>
      <c r="L217">
        <v>128</v>
      </c>
      <c r="M217">
        <v>125</v>
      </c>
      <c r="N217">
        <v>3</v>
      </c>
    </row>
    <row r="218" spans="1:14" x14ac:dyDescent="0.25">
      <c r="A218" t="s">
        <v>2494</v>
      </c>
      <c r="B218" t="s">
        <v>2495</v>
      </c>
      <c r="C218" t="s">
        <v>468</v>
      </c>
      <c r="D218" t="s">
        <v>13</v>
      </c>
      <c r="E218" t="str">
        <f>"98626"</f>
        <v>98626</v>
      </c>
      <c r="F218" t="s">
        <v>227</v>
      </c>
      <c r="G218" t="s">
        <v>2496</v>
      </c>
      <c r="I218" t="s">
        <v>2497</v>
      </c>
      <c r="J218" t="s">
        <v>268</v>
      </c>
      <c r="K218" t="str">
        <f>"85260"</f>
        <v>85260</v>
      </c>
      <c r="L218">
        <v>3</v>
      </c>
      <c r="M218">
        <v>3</v>
      </c>
      <c r="N218">
        <v>0</v>
      </c>
    </row>
    <row r="219" spans="1:14" x14ac:dyDescent="0.25">
      <c r="A219" t="s">
        <v>3188</v>
      </c>
      <c r="B219" t="s">
        <v>3189</v>
      </c>
      <c r="C219" t="s">
        <v>226</v>
      </c>
      <c r="D219" t="s">
        <v>13</v>
      </c>
      <c r="E219" t="str">
        <f>"98632"</f>
        <v>98632</v>
      </c>
      <c r="F219" t="s">
        <v>227</v>
      </c>
      <c r="G219" t="s">
        <v>3190</v>
      </c>
      <c r="I219" t="s">
        <v>3191</v>
      </c>
      <c r="J219" t="s">
        <v>821</v>
      </c>
      <c r="K219" t="str">
        <f>"97024"</f>
        <v>97024</v>
      </c>
      <c r="L219">
        <v>13</v>
      </c>
      <c r="M219">
        <v>13</v>
      </c>
      <c r="N219">
        <v>0</v>
      </c>
    </row>
    <row r="220" spans="1:14" x14ac:dyDescent="0.25">
      <c r="A220" t="s">
        <v>224</v>
      </c>
      <c r="B220" t="s">
        <v>225</v>
      </c>
      <c r="C220" t="s">
        <v>226</v>
      </c>
      <c r="D220" t="s">
        <v>13</v>
      </c>
      <c r="E220" t="str">
        <f>"98632"</f>
        <v>98632</v>
      </c>
      <c r="F220" t="s">
        <v>227</v>
      </c>
      <c r="G220" t="s">
        <v>228</v>
      </c>
      <c r="I220" t="s">
        <v>226</v>
      </c>
      <c r="J220" t="s">
        <v>13</v>
      </c>
      <c r="K220" t="str">
        <f>"98632"</f>
        <v>98632</v>
      </c>
      <c r="L220">
        <v>77</v>
      </c>
      <c r="M220">
        <v>72</v>
      </c>
      <c r="N220">
        <v>5</v>
      </c>
    </row>
    <row r="221" spans="1:14" x14ac:dyDescent="0.25">
      <c r="A221" t="s">
        <v>229</v>
      </c>
      <c r="B221" t="s">
        <v>230</v>
      </c>
      <c r="C221" t="s">
        <v>226</v>
      </c>
      <c r="D221" t="s">
        <v>13</v>
      </c>
      <c r="E221" t="str">
        <f>"98632"</f>
        <v>98632</v>
      </c>
      <c r="F221" t="s">
        <v>227</v>
      </c>
      <c r="G221" t="s">
        <v>231</v>
      </c>
      <c r="I221" t="s">
        <v>232</v>
      </c>
      <c r="J221" t="s">
        <v>13</v>
      </c>
      <c r="K221" t="str">
        <f>"98012"</f>
        <v>98012</v>
      </c>
      <c r="L221">
        <v>114</v>
      </c>
      <c r="M221">
        <v>92</v>
      </c>
      <c r="N221">
        <v>22</v>
      </c>
    </row>
    <row r="222" spans="1:14" x14ac:dyDescent="0.25">
      <c r="A222" t="s">
        <v>1287</v>
      </c>
      <c r="B222" t="s">
        <v>1288</v>
      </c>
      <c r="C222" t="s">
        <v>1289</v>
      </c>
      <c r="D222" t="s">
        <v>13</v>
      </c>
      <c r="E222" t="str">
        <f>"98649"</f>
        <v>98649</v>
      </c>
      <c r="F222" t="s">
        <v>227</v>
      </c>
      <c r="G222" t="s">
        <v>1290</v>
      </c>
      <c r="I222" t="s">
        <v>1289</v>
      </c>
      <c r="J222" t="s">
        <v>13</v>
      </c>
      <c r="K222" t="str">
        <f>"98649"</f>
        <v>98649</v>
      </c>
      <c r="L222">
        <v>11</v>
      </c>
      <c r="M222">
        <v>4</v>
      </c>
      <c r="N222">
        <v>7</v>
      </c>
    </row>
    <row r="223" spans="1:14" x14ac:dyDescent="0.25">
      <c r="A223" t="s">
        <v>4034</v>
      </c>
      <c r="B223" t="s">
        <v>4035</v>
      </c>
      <c r="C223" t="s">
        <v>464</v>
      </c>
      <c r="D223" t="s">
        <v>13</v>
      </c>
      <c r="E223" t="str">
        <f>"98611"</f>
        <v>98611</v>
      </c>
      <c r="F223" t="s">
        <v>227</v>
      </c>
      <c r="G223" t="s">
        <v>4036</v>
      </c>
      <c r="I223" t="s">
        <v>890</v>
      </c>
      <c r="J223" t="s">
        <v>821</v>
      </c>
      <c r="K223" t="str">
        <f>"97224"</f>
        <v>97224</v>
      </c>
      <c r="L223">
        <v>43</v>
      </c>
      <c r="M223">
        <v>29</v>
      </c>
      <c r="N223">
        <v>14</v>
      </c>
    </row>
    <row r="224" spans="1:14" x14ac:dyDescent="0.25">
      <c r="A224" t="s">
        <v>817</v>
      </c>
      <c r="B224" t="s">
        <v>818</v>
      </c>
      <c r="C224" t="s">
        <v>226</v>
      </c>
      <c r="D224" t="s">
        <v>13</v>
      </c>
      <c r="E224" t="str">
        <f>"98632"</f>
        <v>98632</v>
      </c>
      <c r="F224" t="s">
        <v>227</v>
      </c>
      <c r="G224" t="s">
        <v>819</v>
      </c>
      <c r="I224" t="s">
        <v>820</v>
      </c>
      <c r="J224" t="s">
        <v>821</v>
      </c>
      <c r="K224" t="str">
        <f>"97027"</f>
        <v>97027</v>
      </c>
      <c r="L224">
        <v>47</v>
      </c>
      <c r="M224">
        <v>47</v>
      </c>
      <c r="N224">
        <v>0</v>
      </c>
    </row>
    <row r="225" spans="1:14" x14ac:dyDescent="0.25">
      <c r="A225" t="s">
        <v>466</v>
      </c>
      <c r="B225" t="s">
        <v>467</v>
      </c>
      <c r="C225" t="s">
        <v>468</v>
      </c>
      <c r="D225" t="s">
        <v>13</v>
      </c>
      <c r="E225" t="str">
        <f>"98626"</f>
        <v>98626</v>
      </c>
      <c r="F225" t="s">
        <v>227</v>
      </c>
      <c r="G225" t="s">
        <v>469</v>
      </c>
      <c r="I225" t="s">
        <v>468</v>
      </c>
      <c r="J225" t="s">
        <v>13</v>
      </c>
      <c r="K225" t="str">
        <f>"98626"</f>
        <v>98626</v>
      </c>
      <c r="L225">
        <v>22</v>
      </c>
      <c r="M225">
        <v>22</v>
      </c>
      <c r="N225">
        <v>0</v>
      </c>
    </row>
    <row r="226" spans="1:14" x14ac:dyDescent="0.25">
      <c r="A226" t="s">
        <v>503</v>
      </c>
      <c r="B226" t="s">
        <v>504</v>
      </c>
      <c r="C226" t="s">
        <v>464</v>
      </c>
      <c r="D226" t="s">
        <v>13</v>
      </c>
      <c r="E226" t="str">
        <f>"98611"</f>
        <v>98611</v>
      </c>
      <c r="F226" t="s">
        <v>227</v>
      </c>
      <c r="G226" t="s">
        <v>504</v>
      </c>
      <c r="I226" t="s">
        <v>464</v>
      </c>
      <c r="J226" t="s">
        <v>13</v>
      </c>
      <c r="K226" t="str">
        <f>"98611"</f>
        <v>98611</v>
      </c>
      <c r="L226">
        <v>20</v>
      </c>
      <c r="M226">
        <v>18</v>
      </c>
      <c r="N226">
        <v>2</v>
      </c>
    </row>
    <row r="227" spans="1:14" x14ac:dyDescent="0.25">
      <c r="A227" t="s">
        <v>1251</v>
      </c>
      <c r="B227" t="s">
        <v>1252</v>
      </c>
      <c r="C227" t="s">
        <v>226</v>
      </c>
      <c r="D227" t="s">
        <v>13</v>
      </c>
      <c r="E227" t="str">
        <f>"98632"</f>
        <v>98632</v>
      </c>
      <c r="F227" t="s">
        <v>227</v>
      </c>
      <c r="G227" t="s">
        <v>1253</v>
      </c>
      <c r="H227" t="s">
        <v>1254</v>
      </c>
      <c r="I227" t="s">
        <v>226</v>
      </c>
      <c r="J227" t="s">
        <v>13</v>
      </c>
      <c r="K227" t="str">
        <f>"98632"</f>
        <v>98632</v>
      </c>
      <c r="L227">
        <v>230</v>
      </c>
      <c r="M227">
        <v>230</v>
      </c>
      <c r="N227">
        <v>0</v>
      </c>
    </row>
    <row r="228" spans="1:14" x14ac:dyDescent="0.25">
      <c r="A228" t="s">
        <v>396</v>
      </c>
      <c r="B228" t="s">
        <v>397</v>
      </c>
      <c r="C228" t="s">
        <v>398</v>
      </c>
      <c r="D228" t="s">
        <v>13</v>
      </c>
      <c r="E228" t="str">
        <f>"98674"</f>
        <v>98674</v>
      </c>
      <c r="F228" t="s">
        <v>227</v>
      </c>
      <c r="G228" t="s">
        <v>399</v>
      </c>
      <c r="I228" t="s">
        <v>398</v>
      </c>
      <c r="J228" t="s">
        <v>13</v>
      </c>
      <c r="K228" t="str">
        <f>"98674"</f>
        <v>98674</v>
      </c>
      <c r="L228">
        <v>20</v>
      </c>
      <c r="M228">
        <v>20</v>
      </c>
      <c r="N228">
        <v>0</v>
      </c>
    </row>
    <row r="229" spans="1:14" x14ac:dyDescent="0.25">
      <c r="A229" t="s">
        <v>1387</v>
      </c>
      <c r="B229" t="s">
        <v>1388</v>
      </c>
      <c r="C229" t="s">
        <v>398</v>
      </c>
      <c r="D229" t="s">
        <v>13</v>
      </c>
      <c r="E229" t="str">
        <f>"98674"</f>
        <v>98674</v>
      </c>
      <c r="F229" t="s">
        <v>227</v>
      </c>
      <c r="G229" t="s">
        <v>1386</v>
      </c>
      <c r="I229" t="s">
        <v>30</v>
      </c>
      <c r="J229" t="s">
        <v>13</v>
      </c>
      <c r="K229" t="str">
        <f>"98682"</f>
        <v>98682</v>
      </c>
      <c r="L229">
        <v>43</v>
      </c>
      <c r="M229">
        <v>41</v>
      </c>
      <c r="N229">
        <v>2</v>
      </c>
    </row>
    <row r="230" spans="1:14" x14ac:dyDescent="0.25">
      <c r="A230" t="s">
        <v>1879</v>
      </c>
      <c r="B230" t="s">
        <v>1880</v>
      </c>
      <c r="C230" t="s">
        <v>398</v>
      </c>
      <c r="D230" t="s">
        <v>13</v>
      </c>
      <c r="E230" t="str">
        <f>"98674"</f>
        <v>98674</v>
      </c>
      <c r="F230" t="s">
        <v>227</v>
      </c>
      <c r="G230" t="s">
        <v>1881</v>
      </c>
      <c r="I230" t="s">
        <v>1606</v>
      </c>
      <c r="J230" t="s">
        <v>13</v>
      </c>
      <c r="K230" t="str">
        <f>"98607"</f>
        <v>98607</v>
      </c>
      <c r="L230">
        <v>27</v>
      </c>
      <c r="M230">
        <v>27</v>
      </c>
      <c r="N230">
        <v>0</v>
      </c>
    </row>
    <row r="231" spans="1:14" x14ac:dyDescent="0.25">
      <c r="A231" t="s">
        <v>3291</v>
      </c>
      <c r="B231" t="s">
        <v>3292</v>
      </c>
      <c r="C231" t="s">
        <v>398</v>
      </c>
      <c r="D231" t="s">
        <v>13</v>
      </c>
      <c r="E231" t="str">
        <f>"98674"</f>
        <v>98674</v>
      </c>
      <c r="F231" t="s">
        <v>227</v>
      </c>
      <c r="G231" t="s">
        <v>3293</v>
      </c>
      <c r="I231" t="s">
        <v>3294</v>
      </c>
      <c r="J231" t="s">
        <v>13</v>
      </c>
      <c r="K231" t="str">
        <f>"98675"</f>
        <v>98675</v>
      </c>
      <c r="L231">
        <v>9</v>
      </c>
      <c r="M231">
        <v>9</v>
      </c>
      <c r="N231">
        <v>0</v>
      </c>
    </row>
    <row r="232" spans="1:14" x14ac:dyDescent="0.25">
      <c r="A232" t="s">
        <v>2711</v>
      </c>
      <c r="B232" t="s">
        <v>2712</v>
      </c>
      <c r="C232" t="s">
        <v>464</v>
      </c>
      <c r="D232" t="s">
        <v>13</v>
      </c>
      <c r="E232" t="str">
        <f>"98611"</f>
        <v>98611</v>
      </c>
      <c r="F232" t="s">
        <v>227</v>
      </c>
      <c r="G232" t="s">
        <v>2712</v>
      </c>
      <c r="I232" t="s">
        <v>464</v>
      </c>
      <c r="J232" t="s">
        <v>13</v>
      </c>
      <c r="K232" t="str">
        <f>"98611"</f>
        <v>98611</v>
      </c>
      <c r="L232">
        <v>2</v>
      </c>
      <c r="M232">
        <v>2</v>
      </c>
      <c r="N232">
        <v>0</v>
      </c>
    </row>
    <row r="233" spans="1:14" x14ac:dyDescent="0.25">
      <c r="A233" t="s">
        <v>3109</v>
      </c>
      <c r="B233" t="s">
        <v>3110</v>
      </c>
      <c r="C233" t="s">
        <v>226</v>
      </c>
      <c r="D233" t="s">
        <v>13</v>
      </c>
      <c r="E233" t="str">
        <f>"98632"</f>
        <v>98632</v>
      </c>
      <c r="F233" t="s">
        <v>227</v>
      </c>
      <c r="G233" t="s">
        <v>3111</v>
      </c>
      <c r="I233" t="s">
        <v>226</v>
      </c>
      <c r="J233" t="s">
        <v>13</v>
      </c>
      <c r="K233" t="str">
        <f>"98632"</f>
        <v>98632</v>
      </c>
      <c r="L233">
        <v>63</v>
      </c>
      <c r="M233">
        <v>63</v>
      </c>
      <c r="N233">
        <v>0</v>
      </c>
    </row>
    <row r="234" spans="1:14" x14ac:dyDescent="0.25">
      <c r="A234" t="s">
        <v>1835</v>
      </c>
      <c r="B234" t="s">
        <v>1836</v>
      </c>
      <c r="C234" t="s">
        <v>226</v>
      </c>
      <c r="D234" t="s">
        <v>13</v>
      </c>
      <c r="E234" t="str">
        <f>"98632"</f>
        <v>98632</v>
      </c>
      <c r="F234" t="s">
        <v>227</v>
      </c>
      <c r="G234" t="s">
        <v>1837</v>
      </c>
      <c r="I234" t="s">
        <v>226</v>
      </c>
      <c r="J234" t="s">
        <v>13</v>
      </c>
      <c r="K234" t="str">
        <f>"98632"</f>
        <v>98632</v>
      </c>
      <c r="L234">
        <v>41</v>
      </c>
      <c r="M234">
        <v>34</v>
      </c>
      <c r="N234">
        <v>7</v>
      </c>
    </row>
    <row r="235" spans="1:14" x14ac:dyDescent="0.25">
      <c r="A235" t="s">
        <v>3072</v>
      </c>
      <c r="B235" t="s">
        <v>3073</v>
      </c>
      <c r="C235" t="s">
        <v>464</v>
      </c>
      <c r="D235" t="s">
        <v>13</v>
      </c>
      <c r="E235" t="str">
        <f>"98611"</f>
        <v>98611</v>
      </c>
      <c r="F235" t="s">
        <v>227</v>
      </c>
      <c r="G235" t="s">
        <v>3074</v>
      </c>
      <c r="I235" t="s">
        <v>3075</v>
      </c>
      <c r="J235" t="s">
        <v>821</v>
      </c>
      <c r="K235" t="str">
        <f>"97041"</f>
        <v>97041</v>
      </c>
      <c r="L235">
        <v>5</v>
      </c>
      <c r="M235">
        <v>5</v>
      </c>
      <c r="N235">
        <v>0</v>
      </c>
    </row>
    <row r="236" spans="1:14" x14ac:dyDescent="0.25">
      <c r="A236" t="s">
        <v>2575</v>
      </c>
      <c r="B236" t="s">
        <v>2576</v>
      </c>
      <c r="C236" t="s">
        <v>226</v>
      </c>
      <c r="D236" t="s">
        <v>13</v>
      </c>
      <c r="E236" t="str">
        <f>"98632"</f>
        <v>98632</v>
      </c>
      <c r="F236" t="s">
        <v>227</v>
      </c>
      <c r="G236" t="s">
        <v>2577</v>
      </c>
      <c r="I236" t="s">
        <v>2578</v>
      </c>
      <c r="J236" t="s">
        <v>433</v>
      </c>
      <c r="K236" t="str">
        <f>"95446"</f>
        <v>95446</v>
      </c>
      <c r="L236">
        <v>76</v>
      </c>
      <c r="M236">
        <v>71</v>
      </c>
      <c r="N236">
        <v>5</v>
      </c>
    </row>
    <row r="237" spans="1:14" x14ac:dyDescent="0.25">
      <c r="A237" t="s">
        <v>2288</v>
      </c>
      <c r="B237" t="s">
        <v>2289</v>
      </c>
      <c r="C237" t="s">
        <v>468</v>
      </c>
      <c r="D237" t="s">
        <v>13</v>
      </c>
      <c r="E237" t="str">
        <f>"98626"</f>
        <v>98626</v>
      </c>
      <c r="F237" t="s">
        <v>227</v>
      </c>
      <c r="G237" t="s">
        <v>2290</v>
      </c>
      <c r="H237" t="s">
        <v>1983</v>
      </c>
      <c r="I237" t="s">
        <v>890</v>
      </c>
      <c r="J237" t="s">
        <v>821</v>
      </c>
      <c r="K237" t="str">
        <f>"97224"</f>
        <v>97224</v>
      </c>
      <c r="L237">
        <v>56</v>
      </c>
      <c r="M237">
        <v>55</v>
      </c>
      <c r="N237">
        <v>1</v>
      </c>
    </row>
    <row r="238" spans="1:14" x14ac:dyDescent="0.25">
      <c r="A238" t="s">
        <v>2152</v>
      </c>
      <c r="B238" t="s">
        <v>2153</v>
      </c>
      <c r="C238" t="s">
        <v>468</v>
      </c>
      <c r="D238" t="s">
        <v>13</v>
      </c>
      <c r="E238" t="str">
        <f>"98626"</f>
        <v>98626</v>
      </c>
      <c r="F238" t="s">
        <v>227</v>
      </c>
      <c r="G238" t="s">
        <v>1521</v>
      </c>
      <c r="I238" t="s">
        <v>1522</v>
      </c>
      <c r="J238" t="s">
        <v>433</v>
      </c>
      <c r="K238" t="str">
        <f>"92612"</f>
        <v>92612</v>
      </c>
      <c r="L238">
        <v>115</v>
      </c>
      <c r="M238">
        <v>111</v>
      </c>
      <c r="N238">
        <v>4</v>
      </c>
    </row>
    <row r="239" spans="1:14" x14ac:dyDescent="0.25">
      <c r="A239" t="s">
        <v>1389</v>
      </c>
      <c r="B239" t="s">
        <v>1390</v>
      </c>
      <c r="C239" t="s">
        <v>468</v>
      </c>
      <c r="D239" t="s">
        <v>13</v>
      </c>
      <c r="E239" t="str">
        <f>"98626"</f>
        <v>98626</v>
      </c>
      <c r="F239" t="s">
        <v>227</v>
      </c>
      <c r="G239" t="s">
        <v>1386</v>
      </c>
      <c r="I239" t="s">
        <v>30</v>
      </c>
      <c r="J239" t="s">
        <v>13</v>
      </c>
      <c r="K239" t="str">
        <f>"98682"</f>
        <v>98682</v>
      </c>
      <c r="L239">
        <v>33</v>
      </c>
      <c r="M239">
        <v>27</v>
      </c>
      <c r="N239">
        <v>6</v>
      </c>
    </row>
    <row r="240" spans="1:14" x14ac:dyDescent="0.25">
      <c r="A240" t="s">
        <v>462</v>
      </c>
      <c r="B240" t="s">
        <v>463</v>
      </c>
      <c r="C240" t="s">
        <v>464</v>
      </c>
      <c r="D240" t="s">
        <v>13</v>
      </c>
      <c r="E240" t="str">
        <f>"98611"</f>
        <v>98611</v>
      </c>
      <c r="F240" t="s">
        <v>227</v>
      </c>
      <c r="G240" t="s">
        <v>465</v>
      </c>
      <c r="I240" t="s">
        <v>30</v>
      </c>
      <c r="J240" t="s">
        <v>13</v>
      </c>
      <c r="K240" t="str">
        <f>"98684"</f>
        <v>98684</v>
      </c>
      <c r="L240">
        <v>15</v>
      </c>
      <c r="M240">
        <v>15</v>
      </c>
      <c r="N240">
        <v>0</v>
      </c>
    </row>
    <row r="241" spans="1:14" x14ac:dyDescent="0.25">
      <c r="A241" t="s">
        <v>759</v>
      </c>
      <c r="B241" t="s">
        <v>760</v>
      </c>
      <c r="C241" t="s">
        <v>468</v>
      </c>
      <c r="D241" t="s">
        <v>13</v>
      </c>
      <c r="E241" t="str">
        <f>"98626"</f>
        <v>98626</v>
      </c>
      <c r="F241" t="s">
        <v>227</v>
      </c>
      <c r="G241" t="s">
        <v>761</v>
      </c>
      <c r="I241" t="s">
        <v>468</v>
      </c>
      <c r="J241" t="s">
        <v>13</v>
      </c>
      <c r="K241" t="str">
        <f>"98626"</f>
        <v>98626</v>
      </c>
      <c r="L241">
        <v>68</v>
      </c>
      <c r="M241">
        <v>68</v>
      </c>
      <c r="N241">
        <v>0</v>
      </c>
    </row>
    <row r="242" spans="1:14" x14ac:dyDescent="0.25">
      <c r="A242" t="s">
        <v>2209</v>
      </c>
      <c r="B242" t="s">
        <v>2210</v>
      </c>
      <c r="C242" t="s">
        <v>398</v>
      </c>
      <c r="D242" t="s">
        <v>13</v>
      </c>
      <c r="E242" t="str">
        <f>"98674"</f>
        <v>98674</v>
      </c>
      <c r="F242" t="s">
        <v>227</v>
      </c>
      <c r="G242" t="s">
        <v>2211</v>
      </c>
      <c r="I242" t="s">
        <v>398</v>
      </c>
      <c r="J242" t="s">
        <v>13</v>
      </c>
      <c r="K242" t="str">
        <f>"98674"</f>
        <v>98674</v>
      </c>
      <c r="L242">
        <v>130</v>
      </c>
      <c r="M242">
        <v>129</v>
      </c>
      <c r="N242">
        <v>1</v>
      </c>
    </row>
    <row r="243" spans="1:14" x14ac:dyDescent="0.25">
      <c r="A243" t="s">
        <v>857</v>
      </c>
      <c r="B243" t="s">
        <v>858</v>
      </c>
      <c r="C243" t="s">
        <v>859</v>
      </c>
      <c r="D243" t="s">
        <v>13</v>
      </c>
      <c r="E243" t="str">
        <f>"98802"</f>
        <v>98802</v>
      </c>
      <c r="F243" t="s">
        <v>221</v>
      </c>
      <c r="G243" t="s">
        <v>860</v>
      </c>
      <c r="I243" t="s">
        <v>859</v>
      </c>
      <c r="J243" t="s">
        <v>13</v>
      </c>
      <c r="K243" t="str">
        <f>"98802"</f>
        <v>98802</v>
      </c>
      <c r="L243">
        <v>17</v>
      </c>
      <c r="M243">
        <v>17</v>
      </c>
      <c r="N243">
        <v>0</v>
      </c>
    </row>
    <row r="244" spans="1:14" x14ac:dyDescent="0.25">
      <c r="A244" t="s">
        <v>3623</v>
      </c>
      <c r="B244" t="s">
        <v>3624</v>
      </c>
      <c r="C244" t="s">
        <v>859</v>
      </c>
      <c r="D244" t="s">
        <v>13</v>
      </c>
      <c r="E244" t="str">
        <f>"98802"</f>
        <v>98802</v>
      </c>
      <c r="F244" t="s">
        <v>221</v>
      </c>
      <c r="G244" t="s">
        <v>3625</v>
      </c>
      <c r="I244" t="s">
        <v>22</v>
      </c>
      <c r="J244" t="s">
        <v>13</v>
      </c>
      <c r="K244" t="str">
        <f>"98801"</f>
        <v>98801</v>
      </c>
      <c r="L244">
        <v>58</v>
      </c>
      <c r="M244">
        <v>58</v>
      </c>
      <c r="N244">
        <v>0</v>
      </c>
    </row>
    <row r="245" spans="1:14" x14ac:dyDescent="0.25">
      <c r="A245" t="s">
        <v>4010</v>
      </c>
      <c r="B245" t="s">
        <v>4011</v>
      </c>
      <c r="C245" t="s">
        <v>220</v>
      </c>
      <c r="D245" t="s">
        <v>13</v>
      </c>
      <c r="E245" t="str">
        <f>"98813"</f>
        <v>98813</v>
      </c>
      <c r="F245" t="s">
        <v>221</v>
      </c>
      <c r="G245" t="s">
        <v>4012</v>
      </c>
      <c r="I245" t="s">
        <v>674</v>
      </c>
      <c r="J245" t="s">
        <v>13</v>
      </c>
      <c r="K245" t="str">
        <f>"98841"</f>
        <v>98841</v>
      </c>
      <c r="L245">
        <v>16</v>
      </c>
      <c r="M245">
        <v>1</v>
      </c>
      <c r="N245">
        <v>15</v>
      </c>
    </row>
    <row r="246" spans="1:14" x14ac:dyDescent="0.25">
      <c r="A246" t="s">
        <v>336</v>
      </c>
      <c r="B246" t="s">
        <v>337</v>
      </c>
      <c r="C246" t="s">
        <v>338</v>
      </c>
      <c r="D246" t="s">
        <v>13</v>
      </c>
      <c r="E246" t="str">
        <f>"98850"</f>
        <v>98850</v>
      </c>
      <c r="F246" t="s">
        <v>221</v>
      </c>
      <c r="G246" t="s">
        <v>339</v>
      </c>
      <c r="I246" t="s">
        <v>338</v>
      </c>
      <c r="J246" t="s">
        <v>13</v>
      </c>
      <c r="K246" t="str">
        <f>"98850"</f>
        <v>98850</v>
      </c>
      <c r="L246">
        <v>17</v>
      </c>
      <c r="M246">
        <v>17</v>
      </c>
      <c r="N246">
        <v>0</v>
      </c>
    </row>
    <row r="247" spans="1:14" x14ac:dyDescent="0.25">
      <c r="A247" t="s">
        <v>1651</v>
      </c>
      <c r="B247" t="s">
        <v>1652</v>
      </c>
      <c r="C247" t="s">
        <v>859</v>
      </c>
      <c r="D247" t="s">
        <v>13</v>
      </c>
      <c r="E247" t="str">
        <f>"98802"</f>
        <v>98802</v>
      </c>
      <c r="F247" t="s">
        <v>221</v>
      </c>
      <c r="G247" t="s">
        <v>1653</v>
      </c>
      <c r="I247" t="s">
        <v>48</v>
      </c>
      <c r="J247" t="s">
        <v>13</v>
      </c>
      <c r="K247" t="str">
        <f>"98021"</f>
        <v>98021</v>
      </c>
      <c r="L247">
        <v>60</v>
      </c>
      <c r="M247">
        <v>60</v>
      </c>
      <c r="N247">
        <v>0</v>
      </c>
    </row>
    <row r="248" spans="1:14" x14ac:dyDescent="0.25">
      <c r="A248" t="s">
        <v>218</v>
      </c>
      <c r="B248" t="s">
        <v>219</v>
      </c>
      <c r="C248" t="s">
        <v>220</v>
      </c>
      <c r="D248" t="s">
        <v>13</v>
      </c>
      <c r="E248" t="str">
        <f>"98813"</f>
        <v>98813</v>
      </c>
      <c r="F248" t="s">
        <v>221</v>
      </c>
      <c r="G248" t="s">
        <v>222</v>
      </c>
      <c r="I248" t="s">
        <v>223</v>
      </c>
      <c r="J248" t="s">
        <v>13</v>
      </c>
      <c r="K248" t="str">
        <f>"98856"</f>
        <v>98856</v>
      </c>
      <c r="L248">
        <v>42</v>
      </c>
      <c r="M248">
        <v>42</v>
      </c>
      <c r="N248">
        <v>0</v>
      </c>
    </row>
    <row r="249" spans="1:14" x14ac:dyDescent="0.25">
      <c r="A249" t="s">
        <v>1523</v>
      </c>
      <c r="B249" t="s">
        <v>1524</v>
      </c>
      <c r="C249" t="s">
        <v>338</v>
      </c>
      <c r="D249" t="s">
        <v>13</v>
      </c>
      <c r="E249" t="str">
        <f>"98850"</f>
        <v>98850</v>
      </c>
      <c r="F249" t="s">
        <v>221</v>
      </c>
      <c r="G249" t="s">
        <v>1525</v>
      </c>
      <c r="I249" t="s">
        <v>19</v>
      </c>
      <c r="J249" t="s">
        <v>13</v>
      </c>
      <c r="K249" t="str">
        <f>"98828"</f>
        <v>98828</v>
      </c>
      <c r="L249">
        <v>4</v>
      </c>
      <c r="M249">
        <v>4</v>
      </c>
      <c r="N249">
        <v>0</v>
      </c>
    </row>
    <row r="250" spans="1:14" x14ac:dyDescent="0.25">
      <c r="A250" t="s">
        <v>3998</v>
      </c>
      <c r="B250" t="s">
        <v>3999</v>
      </c>
      <c r="C250" t="s">
        <v>220</v>
      </c>
      <c r="D250" t="s">
        <v>13</v>
      </c>
      <c r="E250" t="str">
        <f>"98813"</f>
        <v>98813</v>
      </c>
      <c r="F250" t="s">
        <v>221</v>
      </c>
      <c r="G250" t="s">
        <v>4000</v>
      </c>
      <c r="I250" t="s">
        <v>220</v>
      </c>
      <c r="J250" t="s">
        <v>13</v>
      </c>
      <c r="K250" t="str">
        <f>"98813"</f>
        <v>98813</v>
      </c>
      <c r="L250">
        <v>6</v>
      </c>
      <c r="M250">
        <v>4</v>
      </c>
      <c r="N250">
        <v>2</v>
      </c>
    </row>
    <row r="251" spans="1:14" x14ac:dyDescent="0.25">
      <c r="A251" t="s">
        <v>449</v>
      </c>
      <c r="B251" t="s">
        <v>450</v>
      </c>
      <c r="C251" t="s">
        <v>220</v>
      </c>
      <c r="D251" t="s">
        <v>13</v>
      </c>
      <c r="E251" t="str">
        <f>"98813"</f>
        <v>98813</v>
      </c>
      <c r="F251" t="s">
        <v>221</v>
      </c>
      <c r="G251" t="s">
        <v>451</v>
      </c>
      <c r="I251" t="s">
        <v>22</v>
      </c>
      <c r="J251" t="s">
        <v>13</v>
      </c>
      <c r="K251" t="str">
        <f>"98807"</f>
        <v>98807</v>
      </c>
      <c r="L251">
        <v>65</v>
      </c>
      <c r="M251">
        <v>51</v>
      </c>
      <c r="N251">
        <v>14</v>
      </c>
    </row>
    <row r="252" spans="1:14" x14ac:dyDescent="0.25">
      <c r="A252" t="s">
        <v>449</v>
      </c>
      <c r="B252" t="s">
        <v>3369</v>
      </c>
      <c r="C252" t="s">
        <v>338</v>
      </c>
      <c r="D252" t="s">
        <v>13</v>
      </c>
      <c r="E252" t="str">
        <f>"98850"</f>
        <v>98850</v>
      </c>
      <c r="F252" t="s">
        <v>221</v>
      </c>
      <c r="G252" t="s">
        <v>3370</v>
      </c>
      <c r="I252" t="s">
        <v>859</v>
      </c>
      <c r="J252" t="s">
        <v>13</v>
      </c>
      <c r="K252" t="str">
        <f>"98802"</f>
        <v>98802</v>
      </c>
      <c r="L252">
        <v>20</v>
      </c>
      <c r="M252">
        <v>20</v>
      </c>
      <c r="N252">
        <v>0</v>
      </c>
    </row>
    <row r="253" spans="1:14" x14ac:dyDescent="0.25">
      <c r="A253" t="s">
        <v>3728</v>
      </c>
      <c r="B253" t="s">
        <v>3729</v>
      </c>
      <c r="C253" t="s">
        <v>859</v>
      </c>
      <c r="D253" t="s">
        <v>13</v>
      </c>
      <c r="E253" t="str">
        <f>"98802"</f>
        <v>98802</v>
      </c>
      <c r="F253" t="s">
        <v>221</v>
      </c>
      <c r="G253" t="s">
        <v>3730</v>
      </c>
      <c r="I253" t="s">
        <v>12</v>
      </c>
      <c r="J253" t="s">
        <v>13</v>
      </c>
      <c r="K253" t="str">
        <f>"98036"</f>
        <v>98036</v>
      </c>
      <c r="L253">
        <v>20</v>
      </c>
      <c r="M253">
        <v>20</v>
      </c>
      <c r="N253">
        <v>0</v>
      </c>
    </row>
    <row r="254" spans="1:14" x14ac:dyDescent="0.25">
      <c r="A254" t="s">
        <v>488</v>
      </c>
      <c r="B254" t="s">
        <v>489</v>
      </c>
      <c r="C254" t="s">
        <v>490</v>
      </c>
      <c r="D254" t="s">
        <v>13</v>
      </c>
      <c r="E254" t="str">
        <f>"98858"</f>
        <v>98858</v>
      </c>
      <c r="F254" t="s">
        <v>221</v>
      </c>
      <c r="G254" t="s">
        <v>491</v>
      </c>
      <c r="I254" t="s">
        <v>492</v>
      </c>
      <c r="J254" t="s">
        <v>13</v>
      </c>
      <c r="K254" t="str">
        <f>"98584"</f>
        <v>98584</v>
      </c>
      <c r="L254">
        <v>6</v>
      </c>
      <c r="M254">
        <v>2</v>
      </c>
      <c r="N254">
        <v>4</v>
      </c>
    </row>
    <row r="255" spans="1:14" x14ac:dyDescent="0.25">
      <c r="A255" t="s">
        <v>1964</v>
      </c>
      <c r="B255" t="s">
        <v>1965</v>
      </c>
      <c r="C255" t="s">
        <v>859</v>
      </c>
      <c r="D255" t="s">
        <v>13</v>
      </c>
      <c r="E255" t="str">
        <f>"98802"</f>
        <v>98802</v>
      </c>
      <c r="F255" t="s">
        <v>221</v>
      </c>
      <c r="G255" t="s">
        <v>1963</v>
      </c>
      <c r="I255" t="s">
        <v>194</v>
      </c>
      <c r="J255" t="s">
        <v>13</v>
      </c>
      <c r="K255" t="str">
        <f>"98349"</f>
        <v>98349</v>
      </c>
      <c r="L255">
        <v>100</v>
      </c>
      <c r="M255">
        <v>92</v>
      </c>
      <c r="N255">
        <v>8</v>
      </c>
    </row>
    <row r="256" spans="1:14" x14ac:dyDescent="0.25">
      <c r="A256" t="s">
        <v>3158</v>
      </c>
      <c r="B256" t="s">
        <v>3159</v>
      </c>
      <c r="C256" t="s">
        <v>220</v>
      </c>
      <c r="D256" t="s">
        <v>13</v>
      </c>
      <c r="E256" t="str">
        <f>"98813"</f>
        <v>98813</v>
      </c>
      <c r="F256" t="s">
        <v>221</v>
      </c>
      <c r="G256" t="s">
        <v>3160</v>
      </c>
      <c r="I256" t="s">
        <v>3161</v>
      </c>
      <c r="J256" t="s">
        <v>13</v>
      </c>
      <c r="K256" t="str">
        <f>"98812"</f>
        <v>98812</v>
      </c>
      <c r="L256">
        <v>13</v>
      </c>
      <c r="M256">
        <v>13</v>
      </c>
      <c r="N256">
        <v>0</v>
      </c>
    </row>
    <row r="257" spans="1:14" x14ac:dyDescent="0.25">
      <c r="A257" t="s">
        <v>2196</v>
      </c>
      <c r="B257" t="s">
        <v>2197</v>
      </c>
      <c r="C257" t="s">
        <v>859</v>
      </c>
      <c r="D257" t="s">
        <v>13</v>
      </c>
      <c r="E257" t="str">
        <f>"98802"</f>
        <v>98802</v>
      </c>
      <c r="F257" t="s">
        <v>221</v>
      </c>
      <c r="G257" t="s">
        <v>2198</v>
      </c>
      <c r="I257" t="s">
        <v>107</v>
      </c>
      <c r="J257" t="s">
        <v>13</v>
      </c>
      <c r="K257" t="str">
        <f>"98105"</f>
        <v>98105</v>
      </c>
      <c r="L257">
        <v>87</v>
      </c>
      <c r="M257">
        <v>87</v>
      </c>
      <c r="N257">
        <v>0</v>
      </c>
    </row>
    <row r="258" spans="1:14" x14ac:dyDescent="0.25">
      <c r="A258" t="s">
        <v>2375</v>
      </c>
      <c r="B258" t="s">
        <v>2376</v>
      </c>
      <c r="C258" t="s">
        <v>859</v>
      </c>
      <c r="D258" t="s">
        <v>13</v>
      </c>
      <c r="E258" t="str">
        <f>"98802"</f>
        <v>98802</v>
      </c>
      <c r="F258" t="s">
        <v>221</v>
      </c>
      <c r="G258" t="s">
        <v>2377</v>
      </c>
      <c r="I258" t="s">
        <v>22</v>
      </c>
      <c r="J258" t="s">
        <v>13</v>
      </c>
      <c r="K258" t="str">
        <f>"98807"</f>
        <v>98807</v>
      </c>
      <c r="L258">
        <v>94</v>
      </c>
      <c r="M258">
        <v>94</v>
      </c>
      <c r="N258">
        <v>0</v>
      </c>
    </row>
    <row r="259" spans="1:14" x14ac:dyDescent="0.25">
      <c r="A259" t="s">
        <v>3775</v>
      </c>
      <c r="B259" t="s">
        <v>3776</v>
      </c>
      <c r="C259" t="s">
        <v>220</v>
      </c>
      <c r="D259" t="s">
        <v>13</v>
      </c>
      <c r="E259" t="str">
        <f>"98813"</f>
        <v>98813</v>
      </c>
      <c r="F259" t="s">
        <v>221</v>
      </c>
      <c r="G259" t="s">
        <v>3777</v>
      </c>
      <c r="I259" t="s">
        <v>220</v>
      </c>
      <c r="J259" t="s">
        <v>13</v>
      </c>
      <c r="K259" t="str">
        <f>"98813"</f>
        <v>98813</v>
      </c>
      <c r="L259">
        <v>12</v>
      </c>
      <c r="M259">
        <v>2</v>
      </c>
      <c r="N259">
        <v>10</v>
      </c>
    </row>
    <row r="260" spans="1:14" x14ac:dyDescent="0.25">
      <c r="A260" t="s">
        <v>233</v>
      </c>
      <c r="B260" t="s">
        <v>2266</v>
      </c>
      <c r="C260" t="s">
        <v>275</v>
      </c>
      <c r="D260" t="s">
        <v>13</v>
      </c>
      <c r="E260" t="str">
        <f>"99166"</f>
        <v>99166</v>
      </c>
      <c r="F260" t="s">
        <v>276</v>
      </c>
      <c r="G260" t="s">
        <v>2267</v>
      </c>
      <c r="I260" t="s">
        <v>275</v>
      </c>
      <c r="J260" t="s">
        <v>13</v>
      </c>
      <c r="K260" t="str">
        <f>"99166"</f>
        <v>99166</v>
      </c>
      <c r="L260">
        <v>5</v>
      </c>
      <c r="M260">
        <v>3</v>
      </c>
      <c r="N260">
        <v>2</v>
      </c>
    </row>
    <row r="261" spans="1:14" x14ac:dyDescent="0.25">
      <c r="A261" t="s">
        <v>1315</v>
      </c>
      <c r="B261" t="s">
        <v>1316</v>
      </c>
      <c r="C261" t="s">
        <v>275</v>
      </c>
      <c r="D261" t="s">
        <v>13</v>
      </c>
      <c r="E261" t="str">
        <f>"99166"</f>
        <v>99166</v>
      </c>
      <c r="F261" t="s">
        <v>276</v>
      </c>
      <c r="G261" t="s">
        <v>1317</v>
      </c>
      <c r="I261" t="s">
        <v>323</v>
      </c>
      <c r="J261" t="s">
        <v>13</v>
      </c>
      <c r="K261" t="str">
        <f>"98311"</f>
        <v>98311</v>
      </c>
      <c r="L261">
        <v>3</v>
      </c>
      <c r="M261">
        <v>3</v>
      </c>
      <c r="N261">
        <v>0</v>
      </c>
    </row>
    <row r="262" spans="1:14" x14ac:dyDescent="0.25">
      <c r="A262" t="s">
        <v>273</v>
      </c>
      <c r="B262" t="s">
        <v>274</v>
      </c>
      <c r="C262" t="s">
        <v>275</v>
      </c>
      <c r="D262" t="s">
        <v>13</v>
      </c>
      <c r="E262" t="str">
        <f>"99166"</f>
        <v>99166</v>
      </c>
      <c r="F262" t="s">
        <v>276</v>
      </c>
      <c r="G262" t="s">
        <v>277</v>
      </c>
      <c r="I262" t="s">
        <v>275</v>
      </c>
      <c r="J262" t="s">
        <v>13</v>
      </c>
      <c r="K262" t="str">
        <f>"99166"</f>
        <v>99166</v>
      </c>
      <c r="L262">
        <v>36</v>
      </c>
      <c r="M262">
        <v>6</v>
      </c>
      <c r="N262">
        <v>30</v>
      </c>
    </row>
    <row r="263" spans="1:14" x14ac:dyDescent="0.25">
      <c r="A263" t="s">
        <v>509</v>
      </c>
      <c r="B263" t="s">
        <v>510</v>
      </c>
      <c r="C263" t="s">
        <v>511</v>
      </c>
      <c r="D263" t="s">
        <v>13</v>
      </c>
      <c r="E263" t="str">
        <f>"99150"</f>
        <v>99150</v>
      </c>
      <c r="F263" t="s">
        <v>276</v>
      </c>
      <c r="G263" t="s">
        <v>512</v>
      </c>
      <c r="I263" t="s">
        <v>275</v>
      </c>
      <c r="J263" t="s">
        <v>13</v>
      </c>
      <c r="K263" t="str">
        <f>"99166"</f>
        <v>99166</v>
      </c>
      <c r="L263">
        <v>6</v>
      </c>
      <c r="M263">
        <v>5</v>
      </c>
      <c r="N263">
        <v>1</v>
      </c>
    </row>
    <row r="264" spans="1:14" x14ac:dyDescent="0.25">
      <c r="A264" t="s">
        <v>2268</v>
      </c>
      <c r="B264" t="s">
        <v>2269</v>
      </c>
      <c r="C264" t="s">
        <v>275</v>
      </c>
      <c r="D264" t="s">
        <v>13</v>
      </c>
      <c r="E264" t="str">
        <f>"99166"</f>
        <v>99166</v>
      </c>
      <c r="F264" t="s">
        <v>276</v>
      </c>
      <c r="G264" t="s">
        <v>2267</v>
      </c>
      <c r="I264" t="s">
        <v>275</v>
      </c>
      <c r="J264" t="s">
        <v>13</v>
      </c>
      <c r="K264" t="str">
        <f>"99166"</f>
        <v>99166</v>
      </c>
      <c r="L264">
        <v>2</v>
      </c>
      <c r="M264">
        <v>2</v>
      </c>
      <c r="N264">
        <v>0</v>
      </c>
    </row>
    <row r="265" spans="1:14" x14ac:dyDescent="0.25">
      <c r="A265" t="s">
        <v>3391</v>
      </c>
      <c r="B265" t="s">
        <v>3392</v>
      </c>
      <c r="C265" t="s">
        <v>692</v>
      </c>
      <c r="D265" t="s">
        <v>13</v>
      </c>
      <c r="E265" t="str">
        <f>"99301"</f>
        <v>99301</v>
      </c>
      <c r="F265" t="s">
        <v>693</v>
      </c>
      <c r="G265" t="s">
        <v>3393</v>
      </c>
      <c r="I265" t="s">
        <v>96</v>
      </c>
      <c r="J265" t="s">
        <v>13</v>
      </c>
      <c r="K265" t="str">
        <f>"99362"</f>
        <v>99362</v>
      </c>
      <c r="L265">
        <v>12</v>
      </c>
      <c r="M265">
        <v>12</v>
      </c>
      <c r="N265">
        <v>0</v>
      </c>
    </row>
    <row r="266" spans="1:14" x14ac:dyDescent="0.25">
      <c r="A266" t="s">
        <v>2423</v>
      </c>
      <c r="B266" t="s">
        <v>2424</v>
      </c>
      <c r="C266" t="s">
        <v>2425</v>
      </c>
      <c r="D266" t="s">
        <v>13</v>
      </c>
      <c r="E266" t="str">
        <f>"99343"</f>
        <v>99343</v>
      </c>
      <c r="F266" t="s">
        <v>693</v>
      </c>
      <c r="G266" t="s">
        <v>2424</v>
      </c>
      <c r="I266" t="s">
        <v>2425</v>
      </c>
      <c r="J266" t="s">
        <v>13</v>
      </c>
      <c r="K266" t="str">
        <f>"99343"</f>
        <v>99343</v>
      </c>
      <c r="L266">
        <v>107</v>
      </c>
      <c r="M266">
        <v>107</v>
      </c>
      <c r="N266">
        <v>0</v>
      </c>
    </row>
    <row r="267" spans="1:14" x14ac:dyDescent="0.25">
      <c r="A267" t="s">
        <v>2743</v>
      </c>
      <c r="B267" t="s">
        <v>2744</v>
      </c>
      <c r="C267" t="s">
        <v>1151</v>
      </c>
      <c r="D267" t="s">
        <v>13</v>
      </c>
      <c r="E267" t="str">
        <f>"99326"</f>
        <v>99326</v>
      </c>
      <c r="F267" t="s">
        <v>693</v>
      </c>
      <c r="G267" t="s">
        <v>2524</v>
      </c>
      <c r="I267" t="s">
        <v>2282</v>
      </c>
      <c r="J267" t="s">
        <v>433</v>
      </c>
      <c r="K267" t="str">
        <f>"91320"</f>
        <v>91320</v>
      </c>
      <c r="L267">
        <v>119</v>
      </c>
      <c r="M267">
        <v>98</v>
      </c>
      <c r="N267">
        <v>21</v>
      </c>
    </row>
    <row r="268" spans="1:14" x14ac:dyDescent="0.25">
      <c r="A268" t="s">
        <v>1149</v>
      </c>
      <c r="B268" t="s">
        <v>1150</v>
      </c>
      <c r="C268" t="s">
        <v>1151</v>
      </c>
      <c r="D268" t="s">
        <v>13</v>
      </c>
      <c r="E268" t="str">
        <f>"99326"</f>
        <v>99326</v>
      </c>
      <c r="F268" t="s">
        <v>693</v>
      </c>
      <c r="G268" t="s">
        <v>1152</v>
      </c>
      <c r="I268" t="s">
        <v>1151</v>
      </c>
      <c r="J268" t="s">
        <v>13</v>
      </c>
      <c r="K268" t="str">
        <f>"99326"</f>
        <v>99326</v>
      </c>
      <c r="L268">
        <v>16</v>
      </c>
      <c r="M268">
        <v>16</v>
      </c>
      <c r="N268">
        <v>0</v>
      </c>
    </row>
    <row r="269" spans="1:14" x14ac:dyDescent="0.25">
      <c r="A269" t="s">
        <v>1512</v>
      </c>
      <c r="B269" t="s">
        <v>1513</v>
      </c>
      <c r="C269" t="s">
        <v>692</v>
      </c>
      <c r="D269" t="s">
        <v>13</v>
      </c>
      <c r="E269" t="str">
        <f>"99301"</f>
        <v>99301</v>
      </c>
      <c r="F269" t="s">
        <v>693</v>
      </c>
      <c r="G269" t="s">
        <v>1514</v>
      </c>
      <c r="I269" t="s">
        <v>1515</v>
      </c>
      <c r="J269" t="s">
        <v>1270</v>
      </c>
      <c r="K269" t="str">
        <f>"83616"</f>
        <v>83616</v>
      </c>
      <c r="L269">
        <v>206</v>
      </c>
      <c r="M269">
        <v>206</v>
      </c>
      <c r="N269">
        <v>0</v>
      </c>
    </row>
    <row r="270" spans="1:14" x14ac:dyDescent="0.25">
      <c r="A270" t="s">
        <v>981</v>
      </c>
      <c r="B270" t="s">
        <v>982</v>
      </c>
      <c r="C270" t="s">
        <v>983</v>
      </c>
      <c r="D270" t="s">
        <v>13</v>
      </c>
      <c r="E270" t="str">
        <f>"99335"</f>
        <v>99335</v>
      </c>
      <c r="F270" t="s">
        <v>693</v>
      </c>
      <c r="G270" t="s">
        <v>184</v>
      </c>
      <c r="I270" t="s">
        <v>983</v>
      </c>
      <c r="J270" t="s">
        <v>13</v>
      </c>
      <c r="K270" t="str">
        <f>"99335"</f>
        <v>99335</v>
      </c>
      <c r="L270">
        <v>6</v>
      </c>
      <c r="M270">
        <v>2</v>
      </c>
      <c r="N270">
        <v>4</v>
      </c>
    </row>
    <row r="271" spans="1:14" x14ac:dyDescent="0.25">
      <c r="A271" t="s">
        <v>690</v>
      </c>
      <c r="B271" t="s">
        <v>691</v>
      </c>
      <c r="C271" t="s">
        <v>692</v>
      </c>
      <c r="D271" t="s">
        <v>13</v>
      </c>
      <c r="E271" t="str">
        <f>"99301"</f>
        <v>99301</v>
      </c>
      <c r="F271" t="s">
        <v>693</v>
      </c>
      <c r="G271" t="s">
        <v>694</v>
      </c>
      <c r="I271" t="s">
        <v>695</v>
      </c>
      <c r="J271" t="s">
        <v>433</v>
      </c>
      <c r="K271" t="str">
        <f>"90069"</f>
        <v>90069</v>
      </c>
      <c r="L271">
        <v>221</v>
      </c>
      <c r="M271">
        <v>217</v>
      </c>
      <c r="N271">
        <v>4</v>
      </c>
    </row>
    <row r="272" spans="1:14" x14ac:dyDescent="0.25">
      <c r="A272" t="s">
        <v>1866</v>
      </c>
      <c r="B272" t="s">
        <v>1867</v>
      </c>
      <c r="C272" t="s">
        <v>692</v>
      </c>
      <c r="D272" t="s">
        <v>13</v>
      </c>
      <c r="E272" t="str">
        <f>"99301"</f>
        <v>99301</v>
      </c>
      <c r="F272" t="s">
        <v>693</v>
      </c>
      <c r="G272" t="s">
        <v>1865</v>
      </c>
      <c r="I272" t="s">
        <v>96</v>
      </c>
      <c r="J272" t="s">
        <v>13</v>
      </c>
      <c r="K272" t="str">
        <f>"99362"</f>
        <v>99362</v>
      </c>
      <c r="L272">
        <v>50</v>
      </c>
      <c r="M272">
        <v>50</v>
      </c>
      <c r="N272">
        <v>0</v>
      </c>
    </row>
    <row r="273" spans="1:14" x14ac:dyDescent="0.25">
      <c r="A273" t="s">
        <v>2141</v>
      </c>
      <c r="B273" t="s">
        <v>2142</v>
      </c>
      <c r="C273" t="s">
        <v>983</v>
      </c>
      <c r="D273" t="s">
        <v>13</v>
      </c>
      <c r="E273" t="str">
        <f>"99335"</f>
        <v>99335</v>
      </c>
      <c r="F273" t="s">
        <v>693</v>
      </c>
      <c r="G273" t="s">
        <v>2143</v>
      </c>
      <c r="I273" t="s">
        <v>983</v>
      </c>
      <c r="J273" t="s">
        <v>13</v>
      </c>
      <c r="K273" t="str">
        <f>"99335"</f>
        <v>99335</v>
      </c>
      <c r="L273">
        <v>50</v>
      </c>
      <c r="M273">
        <v>5</v>
      </c>
      <c r="N273">
        <v>45</v>
      </c>
    </row>
    <row r="274" spans="1:14" x14ac:dyDescent="0.25">
      <c r="A274" t="s">
        <v>1394</v>
      </c>
      <c r="B274" t="s">
        <v>1395</v>
      </c>
      <c r="C274" t="s">
        <v>692</v>
      </c>
      <c r="D274" t="s">
        <v>13</v>
      </c>
      <c r="E274" t="str">
        <f>"99301"</f>
        <v>99301</v>
      </c>
      <c r="F274" t="s">
        <v>693</v>
      </c>
      <c r="G274" t="s">
        <v>1396</v>
      </c>
      <c r="I274" t="s">
        <v>692</v>
      </c>
      <c r="J274" t="s">
        <v>13</v>
      </c>
      <c r="K274" t="str">
        <f>"99302"</f>
        <v>99302</v>
      </c>
      <c r="L274">
        <v>120</v>
      </c>
      <c r="M274">
        <v>105</v>
      </c>
      <c r="N274">
        <v>15</v>
      </c>
    </row>
    <row r="275" spans="1:14" x14ac:dyDescent="0.25">
      <c r="A275" t="s">
        <v>3447</v>
      </c>
      <c r="B275" t="s">
        <v>3448</v>
      </c>
      <c r="C275" t="s">
        <v>692</v>
      </c>
      <c r="D275" t="s">
        <v>13</v>
      </c>
      <c r="E275" t="str">
        <f>"99301"</f>
        <v>99301</v>
      </c>
      <c r="F275" t="s">
        <v>693</v>
      </c>
      <c r="G275" t="s">
        <v>3446</v>
      </c>
      <c r="I275" t="s">
        <v>883</v>
      </c>
      <c r="J275" t="s">
        <v>13</v>
      </c>
      <c r="K275" t="str">
        <f>"99352"</f>
        <v>99352</v>
      </c>
      <c r="L275">
        <v>41</v>
      </c>
      <c r="M275">
        <v>38</v>
      </c>
      <c r="N275">
        <v>3</v>
      </c>
    </row>
    <row r="276" spans="1:14" x14ac:dyDescent="0.25">
      <c r="A276" t="s">
        <v>3472</v>
      </c>
      <c r="B276" t="s">
        <v>3473</v>
      </c>
      <c r="C276" t="s">
        <v>692</v>
      </c>
      <c r="D276" t="s">
        <v>13</v>
      </c>
      <c r="E276" t="str">
        <f>"99301"</f>
        <v>99301</v>
      </c>
      <c r="F276" t="s">
        <v>693</v>
      </c>
      <c r="G276" t="s">
        <v>3471</v>
      </c>
      <c r="I276" t="s">
        <v>890</v>
      </c>
      <c r="J276" t="s">
        <v>821</v>
      </c>
      <c r="K276" t="str">
        <f>"97219"</f>
        <v>97219</v>
      </c>
      <c r="L276">
        <v>122</v>
      </c>
      <c r="M276">
        <v>120</v>
      </c>
      <c r="N276">
        <v>2</v>
      </c>
    </row>
    <row r="277" spans="1:14" x14ac:dyDescent="0.25">
      <c r="A277" t="s">
        <v>3529</v>
      </c>
      <c r="B277" t="s">
        <v>3530</v>
      </c>
      <c r="C277" t="s">
        <v>3531</v>
      </c>
      <c r="D277" t="s">
        <v>13</v>
      </c>
      <c r="E277" t="str">
        <f>"99347"</f>
        <v>99347</v>
      </c>
      <c r="F277" t="s">
        <v>3532</v>
      </c>
      <c r="G277" t="s">
        <v>3533</v>
      </c>
      <c r="I277" t="s">
        <v>3534</v>
      </c>
      <c r="J277" t="s">
        <v>3535</v>
      </c>
      <c r="K277" t="str">
        <f>"17225"</f>
        <v>17225</v>
      </c>
      <c r="L277">
        <v>45</v>
      </c>
      <c r="M277">
        <v>5</v>
      </c>
      <c r="N277">
        <v>40</v>
      </c>
    </row>
    <row r="278" spans="1:14" x14ac:dyDescent="0.25">
      <c r="A278" t="s">
        <v>3992</v>
      </c>
      <c r="B278" t="s">
        <v>3993</v>
      </c>
      <c r="C278" t="s">
        <v>2754</v>
      </c>
      <c r="D278" t="s">
        <v>13</v>
      </c>
      <c r="E278" t="str">
        <f>"99349"</f>
        <v>99349</v>
      </c>
      <c r="F278" t="s">
        <v>347</v>
      </c>
      <c r="G278" t="s">
        <v>3994</v>
      </c>
      <c r="I278" t="s">
        <v>2754</v>
      </c>
      <c r="J278" t="s">
        <v>13</v>
      </c>
      <c r="K278" t="str">
        <f>"99349"</f>
        <v>99349</v>
      </c>
      <c r="L278">
        <v>21</v>
      </c>
      <c r="M278">
        <v>21</v>
      </c>
      <c r="N278">
        <v>0</v>
      </c>
    </row>
    <row r="279" spans="1:14" x14ac:dyDescent="0.25">
      <c r="A279" t="s">
        <v>3382</v>
      </c>
      <c r="B279" t="s">
        <v>3383</v>
      </c>
      <c r="C279" t="s">
        <v>873</v>
      </c>
      <c r="D279" t="s">
        <v>13</v>
      </c>
      <c r="E279" t="str">
        <f>"98837"</f>
        <v>98837</v>
      </c>
      <c r="F279" t="s">
        <v>347</v>
      </c>
      <c r="G279" t="s">
        <v>3384</v>
      </c>
      <c r="I279" t="s">
        <v>561</v>
      </c>
      <c r="J279" t="s">
        <v>13</v>
      </c>
      <c r="K279" t="str">
        <f>"98028"</f>
        <v>98028</v>
      </c>
      <c r="L279">
        <v>29</v>
      </c>
      <c r="M279">
        <v>20</v>
      </c>
      <c r="N279">
        <v>9</v>
      </c>
    </row>
    <row r="280" spans="1:14" x14ac:dyDescent="0.25">
      <c r="A280" t="s">
        <v>2949</v>
      </c>
      <c r="B280" t="s">
        <v>2950</v>
      </c>
      <c r="C280" t="s">
        <v>346</v>
      </c>
      <c r="D280" t="s">
        <v>13</v>
      </c>
      <c r="E280" t="str">
        <f>"99133"</f>
        <v>99133</v>
      </c>
      <c r="F280" t="s">
        <v>347</v>
      </c>
      <c r="G280" t="s">
        <v>2951</v>
      </c>
      <c r="I280" t="s">
        <v>346</v>
      </c>
      <c r="J280" t="s">
        <v>13</v>
      </c>
      <c r="K280" t="str">
        <f>"99133"</f>
        <v>99133</v>
      </c>
      <c r="L280">
        <v>6</v>
      </c>
      <c r="M280">
        <v>5</v>
      </c>
      <c r="N280">
        <v>1</v>
      </c>
    </row>
    <row r="281" spans="1:14" x14ac:dyDescent="0.25">
      <c r="A281" t="s">
        <v>3343</v>
      </c>
      <c r="B281" t="s">
        <v>3344</v>
      </c>
      <c r="C281" t="s">
        <v>1234</v>
      </c>
      <c r="D281" t="s">
        <v>13</v>
      </c>
      <c r="E281" t="str">
        <f>"98823"</f>
        <v>98823</v>
      </c>
      <c r="F281" t="s">
        <v>347</v>
      </c>
      <c r="G281" t="s">
        <v>3342</v>
      </c>
      <c r="I281" t="s">
        <v>148</v>
      </c>
      <c r="J281" t="s">
        <v>13</v>
      </c>
      <c r="K281" t="str">
        <f>"98335"</f>
        <v>98335</v>
      </c>
      <c r="L281">
        <v>57</v>
      </c>
      <c r="M281">
        <v>19</v>
      </c>
      <c r="N281">
        <v>38</v>
      </c>
    </row>
    <row r="282" spans="1:14" x14ac:dyDescent="0.25">
      <c r="A282" t="s">
        <v>2999</v>
      </c>
      <c r="B282" t="s">
        <v>3000</v>
      </c>
      <c r="C282" t="s">
        <v>925</v>
      </c>
      <c r="D282" t="s">
        <v>13</v>
      </c>
      <c r="E282" t="str">
        <f>"98848"</f>
        <v>98848</v>
      </c>
      <c r="F282" t="s">
        <v>347</v>
      </c>
      <c r="G282" t="s">
        <v>3001</v>
      </c>
      <c r="I282" t="s">
        <v>14</v>
      </c>
      <c r="J282" t="s">
        <v>13</v>
      </c>
      <c r="K282" t="str">
        <f>"98296"</f>
        <v>98296</v>
      </c>
      <c r="L282">
        <v>28</v>
      </c>
      <c r="M282">
        <v>28</v>
      </c>
      <c r="N282">
        <v>0</v>
      </c>
    </row>
    <row r="283" spans="1:14" x14ac:dyDescent="0.25">
      <c r="A283" t="s">
        <v>871</v>
      </c>
      <c r="B283" t="s">
        <v>872</v>
      </c>
      <c r="C283" t="s">
        <v>873</v>
      </c>
      <c r="D283" t="s">
        <v>13</v>
      </c>
      <c r="E283" t="str">
        <f>"98837"</f>
        <v>98837</v>
      </c>
      <c r="F283" t="s">
        <v>347</v>
      </c>
      <c r="G283" t="s">
        <v>874</v>
      </c>
      <c r="I283" t="s">
        <v>12</v>
      </c>
      <c r="J283" t="s">
        <v>13</v>
      </c>
      <c r="K283" t="str">
        <f>"98037"</f>
        <v>98037</v>
      </c>
      <c r="L283">
        <v>108</v>
      </c>
      <c r="M283">
        <v>108</v>
      </c>
      <c r="N283">
        <v>0</v>
      </c>
    </row>
    <row r="284" spans="1:14" x14ac:dyDescent="0.25">
      <c r="A284" t="s">
        <v>2910</v>
      </c>
      <c r="B284" t="s">
        <v>2911</v>
      </c>
      <c r="C284" t="s">
        <v>2912</v>
      </c>
      <c r="D284" t="s">
        <v>13</v>
      </c>
      <c r="E284" t="str">
        <f>"99123"</f>
        <v>99123</v>
      </c>
      <c r="F284" t="s">
        <v>347</v>
      </c>
      <c r="G284" t="s">
        <v>2913</v>
      </c>
      <c r="I284" t="s">
        <v>2912</v>
      </c>
      <c r="J284" t="s">
        <v>13</v>
      </c>
      <c r="K284" t="str">
        <f>"99123"</f>
        <v>99123</v>
      </c>
      <c r="L284">
        <v>14</v>
      </c>
      <c r="M284">
        <v>7</v>
      </c>
      <c r="N284">
        <v>7</v>
      </c>
    </row>
    <row r="285" spans="1:14" x14ac:dyDescent="0.25">
      <c r="A285" t="s">
        <v>3340</v>
      </c>
      <c r="B285" t="s">
        <v>3341</v>
      </c>
      <c r="C285" t="s">
        <v>925</v>
      </c>
      <c r="D285" t="s">
        <v>13</v>
      </c>
      <c r="E285" t="str">
        <f>"98848"</f>
        <v>98848</v>
      </c>
      <c r="F285" t="s">
        <v>347</v>
      </c>
      <c r="G285" t="s">
        <v>3342</v>
      </c>
      <c r="I285" t="s">
        <v>148</v>
      </c>
      <c r="J285" t="s">
        <v>13</v>
      </c>
      <c r="K285" t="str">
        <f>"98335"</f>
        <v>98335</v>
      </c>
      <c r="L285">
        <v>31</v>
      </c>
      <c r="M285">
        <v>31</v>
      </c>
      <c r="N285">
        <v>0</v>
      </c>
    </row>
    <row r="286" spans="1:14" x14ac:dyDescent="0.25">
      <c r="A286" t="s">
        <v>3592</v>
      </c>
      <c r="B286" t="s">
        <v>3593</v>
      </c>
      <c r="C286" t="s">
        <v>2997</v>
      </c>
      <c r="D286" t="s">
        <v>13</v>
      </c>
      <c r="E286" t="str">
        <f>"98857"</f>
        <v>98857</v>
      </c>
      <c r="F286" t="s">
        <v>347</v>
      </c>
      <c r="G286" t="s">
        <v>3594</v>
      </c>
      <c r="I286" t="s">
        <v>2997</v>
      </c>
      <c r="J286" t="s">
        <v>13</v>
      </c>
      <c r="K286" t="str">
        <f>"98857"</f>
        <v>98857</v>
      </c>
      <c r="L286">
        <v>16</v>
      </c>
      <c r="M286">
        <v>14</v>
      </c>
      <c r="N286">
        <v>2</v>
      </c>
    </row>
    <row r="287" spans="1:14" x14ac:dyDescent="0.25">
      <c r="A287" t="s">
        <v>4025</v>
      </c>
      <c r="B287" t="s">
        <v>4026</v>
      </c>
      <c r="C287" t="s">
        <v>873</v>
      </c>
      <c r="D287" t="s">
        <v>13</v>
      </c>
      <c r="E287" t="str">
        <f>"98837"</f>
        <v>98837</v>
      </c>
      <c r="F287" t="s">
        <v>347</v>
      </c>
      <c r="G287" t="s">
        <v>4027</v>
      </c>
      <c r="I287" t="s">
        <v>4028</v>
      </c>
      <c r="J287" t="s">
        <v>821</v>
      </c>
      <c r="K287" t="str">
        <f>"97140"</f>
        <v>97140</v>
      </c>
      <c r="L287">
        <v>100</v>
      </c>
      <c r="M287">
        <v>100</v>
      </c>
      <c r="N287">
        <v>0</v>
      </c>
    </row>
    <row r="288" spans="1:14" x14ac:dyDescent="0.25">
      <c r="A288" t="s">
        <v>1530</v>
      </c>
      <c r="B288" t="s">
        <v>1531</v>
      </c>
      <c r="C288" t="s">
        <v>1234</v>
      </c>
      <c r="D288" t="s">
        <v>13</v>
      </c>
      <c r="E288" t="str">
        <f>"98823"</f>
        <v>98823</v>
      </c>
      <c r="F288" t="s">
        <v>347</v>
      </c>
      <c r="G288" t="s">
        <v>1528</v>
      </c>
      <c r="H288" t="s">
        <v>1529</v>
      </c>
      <c r="I288" t="s">
        <v>501</v>
      </c>
      <c r="J288" t="s">
        <v>13</v>
      </c>
      <c r="K288" t="str">
        <f>"98052"</f>
        <v>98052</v>
      </c>
      <c r="L288">
        <v>44</v>
      </c>
      <c r="M288">
        <v>44</v>
      </c>
      <c r="N288">
        <v>0</v>
      </c>
    </row>
    <row r="289" spans="1:14" x14ac:dyDescent="0.25">
      <c r="A289" t="s">
        <v>3192</v>
      </c>
      <c r="B289" t="s">
        <v>3193</v>
      </c>
      <c r="C289" t="s">
        <v>925</v>
      </c>
      <c r="D289" t="s">
        <v>13</v>
      </c>
      <c r="E289" t="str">
        <f>"98848"</f>
        <v>98848</v>
      </c>
      <c r="F289" t="s">
        <v>347</v>
      </c>
      <c r="G289" t="s">
        <v>3194</v>
      </c>
      <c r="I289" t="s">
        <v>925</v>
      </c>
      <c r="J289" t="s">
        <v>13</v>
      </c>
      <c r="K289" t="str">
        <f>"98848"</f>
        <v>98848</v>
      </c>
      <c r="L289">
        <v>7</v>
      </c>
      <c r="M289">
        <v>6</v>
      </c>
      <c r="N289">
        <v>1</v>
      </c>
    </row>
    <row r="290" spans="1:14" x14ac:dyDescent="0.25">
      <c r="A290" t="s">
        <v>1285</v>
      </c>
      <c r="B290" t="s">
        <v>1286</v>
      </c>
      <c r="C290" t="s">
        <v>873</v>
      </c>
      <c r="D290" t="s">
        <v>13</v>
      </c>
      <c r="E290" t="str">
        <f>"98837"</f>
        <v>98837</v>
      </c>
      <c r="F290" t="s">
        <v>347</v>
      </c>
      <c r="G290" t="s">
        <v>1286</v>
      </c>
      <c r="I290" t="s">
        <v>873</v>
      </c>
      <c r="J290" t="s">
        <v>13</v>
      </c>
      <c r="K290" t="str">
        <f>"98837"</f>
        <v>98837</v>
      </c>
      <c r="L290">
        <v>4</v>
      </c>
      <c r="M290">
        <v>4</v>
      </c>
      <c r="N290">
        <v>0</v>
      </c>
    </row>
    <row r="291" spans="1:14" x14ac:dyDescent="0.25">
      <c r="A291" t="s">
        <v>1232</v>
      </c>
      <c r="B291" t="s">
        <v>1233</v>
      </c>
      <c r="C291" t="s">
        <v>1234</v>
      </c>
      <c r="D291" t="s">
        <v>13</v>
      </c>
      <c r="E291" t="str">
        <f>"98823"</f>
        <v>98823</v>
      </c>
      <c r="F291" t="s">
        <v>347</v>
      </c>
      <c r="G291" t="s">
        <v>1235</v>
      </c>
      <c r="I291" t="s">
        <v>1236</v>
      </c>
      <c r="J291" t="s">
        <v>13</v>
      </c>
      <c r="K291" t="str">
        <f>"98247"</f>
        <v>98247</v>
      </c>
      <c r="L291">
        <v>22</v>
      </c>
      <c r="M291">
        <v>22</v>
      </c>
      <c r="N291">
        <v>0</v>
      </c>
    </row>
    <row r="292" spans="1:14" x14ac:dyDescent="0.25">
      <c r="A292" t="s">
        <v>2986</v>
      </c>
      <c r="B292" t="s">
        <v>2987</v>
      </c>
      <c r="C292" t="s">
        <v>2988</v>
      </c>
      <c r="D292" t="s">
        <v>13</v>
      </c>
      <c r="E292" t="str">
        <f>"98851"</f>
        <v>98851</v>
      </c>
      <c r="F292" t="s">
        <v>347</v>
      </c>
      <c r="G292" t="s">
        <v>2989</v>
      </c>
      <c r="I292" t="s">
        <v>2988</v>
      </c>
      <c r="J292" t="s">
        <v>13</v>
      </c>
      <c r="K292" t="str">
        <f>"98851"</f>
        <v>98851</v>
      </c>
      <c r="L292">
        <v>20</v>
      </c>
      <c r="M292">
        <v>13</v>
      </c>
      <c r="N292">
        <v>7</v>
      </c>
    </row>
    <row r="293" spans="1:14" x14ac:dyDescent="0.25">
      <c r="A293" t="s">
        <v>4037</v>
      </c>
      <c r="B293" t="s">
        <v>4038</v>
      </c>
      <c r="C293" t="s">
        <v>1234</v>
      </c>
      <c r="D293" t="s">
        <v>13</v>
      </c>
      <c r="E293" t="str">
        <f>"98823"</f>
        <v>98823</v>
      </c>
      <c r="F293" t="s">
        <v>347</v>
      </c>
      <c r="G293" t="s">
        <v>4038</v>
      </c>
      <c r="I293" t="s">
        <v>1234</v>
      </c>
      <c r="J293" t="s">
        <v>13</v>
      </c>
      <c r="K293" t="str">
        <f>"98823"</f>
        <v>98823</v>
      </c>
      <c r="L293">
        <v>10</v>
      </c>
      <c r="M293">
        <v>6</v>
      </c>
      <c r="N293">
        <v>4</v>
      </c>
    </row>
    <row r="294" spans="1:14" x14ac:dyDescent="0.25">
      <c r="A294" t="s">
        <v>3852</v>
      </c>
      <c r="B294" t="s">
        <v>3853</v>
      </c>
      <c r="C294" t="s">
        <v>873</v>
      </c>
      <c r="D294" t="s">
        <v>13</v>
      </c>
      <c r="E294" t="str">
        <f>"98837"</f>
        <v>98837</v>
      </c>
      <c r="F294" t="s">
        <v>347</v>
      </c>
      <c r="G294" t="s">
        <v>3854</v>
      </c>
      <c r="H294" t="s">
        <v>3855</v>
      </c>
      <c r="I294" t="s">
        <v>87</v>
      </c>
      <c r="J294" t="s">
        <v>13</v>
      </c>
      <c r="K294" t="str">
        <f>"98516"</f>
        <v>98516</v>
      </c>
      <c r="L294">
        <v>35</v>
      </c>
      <c r="M294">
        <v>35</v>
      </c>
      <c r="N294">
        <v>0</v>
      </c>
    </row>
    <row r="295" spans="1:14" x14ac:dyDescent="0.25">
      <c r="A295" t="s">
        <v>1457</v>
      </c>
      <c r="B295" t="s">
        <v>1458</v>
      </c>
      <c r="C295" t="s">
        <v>873</v>
      </c>
      <c r="D295" t="s">
        <v>13</v>
      </c>
      <c r="E295" t="str">
        <f>"98837"</f>
        <v>98837</v>
      </c>
      <c r="F295" t="s">
        <v>347</v>
      </c>
      <c r="G295" t="s">
        <v>326</v>
      </c>
      <c r="I295" t="s">
        <v>107</v>
      </c>
      <c r="J295" t="s">
        <v>13</v>
      </c>
      <c r="K295" t="str">
        <f>"98105"</f>
        <v>98105</v>
      </c>
      <c r="L295">
        <v>197</v>
      </c>
      <c r="M295">
        <v>181</v>
      </c>
      <c r="N295">
        <v>16</v>
      </c>
    </row>
    <row r="296" spans="1:14" x14ac:dyDescent="0.25">
      <c r="A296" t="s">
        <v>2633</v>
      </c>
      <c r="B296" t="s">
        <v>2634</v>
      </c>
      <c r="C296" t="s">
        <v>925</v>
      </c>
      <c r="D296" t="s">
        <v>13</v>
      </c>
      <c r="E296" t="str">
        <f>"98848"</f>
        <v>98848</v>
      </c>
      <c r="F296" t="s">
        <v>347</v>
      </c>
      <c r="G296" t="s">
        <v>2632</v>
      </c>
      <c r="I296" t="s">
        <v>925</v>
      </c>
      <c r="J296" t="s">
        <v>13</v>
      </c>
      <c r="K296" t="str">
        <f>"98848"</f>
        <v>98848</v>
      </c>
      <c r="L296">
        <v>12</v>
      </c>
      <c r="M296">
        <v>12</v>
      </c>
      <c r="N296">
        <v>0</v>
      </c>
    </row>
    <row r="297" spans="1:14" x14ac:dyDescent="0.25">
      <c r="A297" t="s">
        <v>3476</v>
      </c>
      <c r="B297" t="s">
        <v>3477</v>
      </c>
      <c r="C297" t="s">
        <v>873</v>
      </c>
      <c r="D297" t="s">
        <v>13</v>
      </c>
      <c r="E297" t="str">
        <f>"98837"</f>
        <v>98837</v>
      </c>
      <c r="F297" t="s">
        <v>347</v>
      </c>
      <c r="G297" t="s">
        <v>3478</v>
      </c>
      <c r="I297" t="s">
        <v>107</v>
      </c>
      <c r="J297" t="s">
        <v>13</v>
      </c>
      <c r="K297" t="str">
        <f>"98115"</f>
        <v>98115</v>
      </c>
      <c r="L297">
        <v>37</v>
      </c>
      <c r="M297">
        <v>21</v>
      </c>
      <c r="N297">
        <v>16</v>
      </c>
    </row>
    <row r="298" spans="1:14" x14ac:dyDescent="0.25">
      <c r="A298" t="s">
        <v>2438</v>
      </c>
      <c r="B298" t="s">
        <v>2439</v>
      </c>
      <c r="C298" t="s">
        <v>873</v>
      </c>
      <c r="D298" t="s">
        <v>13</v>
      </c>
      <c r="E298" t="str">
        <f>"98837"</f>
        <v>98837</v>
      </c>
      <c r="F298" t="s">
        <v>347</v>
      </c>
      <c r="G298" t="s">
        <v>2440</v>
      </c>
      <c r="I298" t="s">
        <v>12</v>
      </c>
      <c r="J298" t="s">
        <v>13</v>
      </c>
      <c r="K298" t="str">
        <f>"98037"</f>
        <v>98037</v>
      </c>
      <c r="L298">
        <v>39</v>
      </c>
      <c r="M298">
        <v>18</v>
      </c>
      <c r="N298">
        <v>21</v>
      </c>
    </row>
    <row r="299" spans="1:14" x14ac:dyDescent="0.25">
      <c r="A299" t="s">
        <v>1073</v>
      </c>
      <c r="B299" t="s">
        <v>1074</v>
      </c>
      <c r="C299" t="s">
        <v>873</v>
      </c>
      <c r="D299" t="s">
        <v>13</v>
      </c>
      <c r="E299" t="str">
        <f>"98837"</f>
        <v>98837</v>
      </c>
      <c r="F299" t="s">
        <v>347</v>
      </c>
      <c r="G299" t="s">
        <v>1075</v>
      </c>
      <c r="H299" t="s">
        <v>1076</v>
      </c>
      <c r="I299" t="s">
        <v>87</v>
      </c>
      <c r="J299" t="s">
        <v>13</v>
      </c>
      <c r="K299" t="str">
        <f>"98501"</f>
        <v>98501</v>
      </c>
      <c r="L299">
        <v>18</v>
      </c>
      <c r="M299">
        <v>16</v>
      </c>
      <c r="N299">
        <v>2</v>
      </c>
    </row>
    <row r="300" spans="1:14" x14ac:dyDescent="0.25">
      <c r="A300" t="s">
        <v>2279</v>
      </c>
      <c r="B300" t="s">
        <v>2280</v>
      </c>
      <c r="C300" t="s">
        <v>346</v>
      </c>
      <c r="D300" t="s">
        <v>13</v>
      </c>
      <c r="E300" t="str">
        <f>"99133"</f>
        <v>99133</v>
      </c>
      <c r="F300" t="s">
        <v>347</v>
      </c>
      <c r="G300" t="s">
        <v>2281</v>
      </c>
      <c r="I300" t="s">
        <v>2282</v>
      </c>
      <c r="J300" t="s">
        <v>433</v>
      </c>
      <c r="K300" t="str">
        <f>"91320"</f>
        <v>91320</v>
      </c>
      <c r="L300">
        <v>125</v>
      </c>
      <c r="M300">
        <v>37</v>
      </c>
      <c r="N300">
        <v>88</v>
      </c>
    </row>
    <row r="301" spans="1:14" x14ac:dyDescent="0.25">
      <c r="A301" t="s">
        <v>2631</v>
      </c>
      <c r="B301" t="s">
        <v>2632</v>
      </c>
      <c r="C301" t="s">
        <v>925</v>
      </c>
      <c r="D301" t="s">
        <v>13</v>
      </c>
      <c r="E301" t="str">
        <f>"98848"</f>
        <v>98848</v>
      </c>
      <c r="F301" t="s">
        <v>347</v>
      </c>
      <c r="G301" t="s">
        <v>2632</v>
      </c>
      <c r="I301" t="s">
        <v>925</v>
      </c>
      <c r="J301" t="s">
        <v>13</v>
      </c>
      <c r="K301" t="str">
        <f>"98848"</f>
        <v>98848</v>
      </c>
      <c r="L301">
        <v>11</v>
      </c>
      <c r="M301">
        <v>11</v>
      </c>
      <c r="N301">
        <v>0</v>
      </c>
    </row>
    <row r="302" spans="1:14" x14ac:dyDescent="0.25">
      <c r="A302" t="s">
        <v>2721</v>
      </c>
      <c r="B302" t="s">
        <v>3063</v>
      </c>
      <c r="C302" t="s">
        <v>925</v>
      </c>
      <c r="D302" t="s">
        <v>13</v>
      </c>
      <c r="E302" t="str">
        <f>"98848"</f>
        <v>98848</v>
      </c>
      <c r="F302" t="s">
        <v>347</v>
      </c>
      <c r="G302" t="s">
        <v>3064</v>
      </c>
      <c r="I302" t="s">
        <v>925</v>
      </c>
      <c r="J302" t="s">
        <v>13</v>
      </c>
      <c r="K302" t="str">
        <f>"98848"</f>
        <v>98848</v>
      </c>
      <c r="L302">
        <v>40</v>
      </c>
      <c r="M302">
        <v>40</v>
      </c>
      <c r="N302">
        <v>0</v>
      </c>
    </row>
    <row r="303" spans="1:14" x14ac:dyDescent="0.25">
      <c r="A303" t="s">
        <v>1463</v>
      </c>
      <c r="B303" t="s">
        <v>1464</v>
      </c>
      <c r="C303" t="s">
        <v>873</v>
      </c>
      <c r="D303" t="s">
        <v>13</v>
      </c>
      <c r="E303" t="str">
        <f>"98837"</f>
        <v>98837</v>
      </c>
      <c r="F303" t="s">
        <v>347</v>
      </c>
      <c r="G303" t="s">
        <v>1465</v>
      </c>
      <c r="I303" t="s">
        <v>873</v>
      </c>
      <c r="J303" t="s">
        <v>13</v>
      </c>
      <c r="K303" t="str">
        <f>"98837"</f>
        <v>98837</v>
      </c>
      <c r="L303">
        <v>6</v>
      </c>
      <c r="M303">
        <v>5</v>
      </c>
      <c r="N303">
        <v>1</v>
      </c>
    </row>
    <row r="304" spans="1:14" x14ac:dyDescent="0.25">
      <c r="A304" t="s">
        <v>2319</v>
      </c>
      <c r="B304" t="s">
        <v>2320</v>
      </c>
      <c r="C304" t="s">
        <v>873</v>
      </c>
      <c r="D304" t="s">
        <v>13</v>
      </c>
      <c r="E304" t="str">
        <f>"98837"</f>
        <v>98837</v>
      </c>
      <c r="F304" t="s">
        <v>347</v>
      </c>
      <c r="G304" t="s">
        <v>2321</v>
      </c>
      <c r="I304" t="s">
        <v>2322</v>
      </c>
      <c r="J304" t="s">
        <v>433</v>
      </c>
      <c r="K304" t="str">
        <f>"92688"</f>
        <v>92688</v>
      </c>
      <c r="L304">
        <v>13</v>
      </c>
      <c r="M304">
        <v>1</v>
      </c>
      <c r="N304">
        <v>12</v>
      </c>
    </row>
    <row r="305" spans="1:14" x14ac:dyDescent="0.25">
      <c r="A305" t="s">
        <v>2222</v>
      </c>
      <c r="B305" t="s">
        <v>2223</v>
      </c>
      <c r="C305" t="s">
        <v>873</v>
      </c>
      <c r="D305" t="s">
        <v>13</v>
      </c>
      <c r="E305" t="str">
        <f>"98837"</f>
        <v>98837</v>
      </c>
      <c r="F305" t="s">
        <v>347</v>
      </c>
      <c r="G305" t="s">
        <v>2224</v>
      </c>
      <c r="I305" t="s">
        <v>608</v>
      </c>
      <c r="J305" t="s">
        <v>13</v>
      </c>
      <c r="K305" t="str">
        <f>"99163"</f>
        <v>99163</v>
      </c>
      <c r="L305">
        <v>11</v>
      </c>
      <c r="M305">
        <v>4</v>
      </c>
      <c r="N305">
        <v>7</v>
      </c>
    </row>
    <row r="306" spans="1:14" x14ac:dyDescent="0.25">
      <c r="A306" t="s">
        <v>2397</v>
      </c>
      <c r="B306" t="s">
        <v>2398</v>
      </c>
      <c r="C306" t="s">
        <v>1234</v>
      </c>
      <c r="D306" t="s">
        <v>13</v>
      </c>
      <c r="E306" t="str">
        <f>"98823"</f>
        <v>98823</v>
      </c>
      <c r="F306" t="s">
        <v>347</v>
      </c>
      <c r="G306" t="s">
        <v>2070</v>
      </c>
      <c r="I306" t="s">
        <v>107</v>
      </c>
      <c r="J306" t="s">
        <v>13</v>
      </c>
      <c r="K306" t="str">
        <f>"98122"</f>
        <v>98122</v>
      </c>
      <c r="L306">
        <v>34</v>
      </c>
      <c r="M306">
        <v>33</v>
      </c>
      <c r="N306">
        <v>1</v>
      </c>
    </row>
    <row r="307" spans="1:14" x14ac:dyDescent="0.25">
      <c r="A307" t="s">
        <v>3120</v>
      </c>
      <c r="B307" t="s">
        <v>3121</v>
      </c>
      <c r="C307" t="s">
        <v>873</v>
      </c>
      <c r="D307" t="s">
        <v>13</v>
      </c>
      <c r="E307" t="str">
        <f>"98837"</f>
        <v>98837</v>
      </c>
      <c r="F307" t="s">
        <v>347</v>
      </c>
      <c r="G307" t="s">
        <v>3122</v>
      </c>
      <c r="I307" t="s">
        <v>873</v>
      </c>
      <c r="J307" t="s">
        <v>13</v>
      </c>
      <c r="K307" t="str">
        <f>"98837"</f>
        <v>98837</v>
      </c>
      <c r="L307">
        <v>19</v>
      </c>
      <c r="M307">
        <v>18</v>
      </c>
      <c r="N307">
        <v>1</v>
      </c>
    </row>
    <row r="308" spans="1:14" x14ac:dyDescent="0.25">
      <c r="A308" t="s">
        <v>2959</v>
      </c>
      <c r="B308" t="s">
        <v>2960</v>
      </c>
      <c r="C308" t="s">
        <v>2754</v>
      </c>
      <c r="D308" t="s">
        <v>13</v>
      </c>
      <c r="E308" t="str">
        <f>"99349"</f>
        <v>99349</v>
      </c>
      <c r="F308" t="s">
        <v>347</v>
      </c>
      <c r="G308" t="s">
        <v>2961</v>
      </c>
      <c r="I308" t="s">
        <v>100</v>
      </c>
      <c r="J308" t="s">
        <v>13</v>
      </c>
      <c r="K308" t="str">
        <f>"98908"</f>
        <v>98908</v>
      </c>
      <c r="L308">
        <v>15</v>
      </c>
      <c r="M308">
        <v>15</v>
      </c>
      <c r="N308">
        <v>0</v>
      </c>
    </row>
    <row r="309" spans="1:14" x14ac:dyDescent="0.25">
      <c r="A309" t="s">
        <v>3487</v>
      </c>
      <c r="B309" t="s">
        <v>3488</v>
      </c>
      <c r="C309" t="s">
        <v>2754</v>
      </c>
      <c r="D309" t="s">
        <v>13</v>
      </c>
      <c r="E309" t="str">
        <f>"99349"</f>
        <v>99349</v>
      </c>
      <c r="F309" t="s">
        <v>347</v>
      </c>
      <c r="G309" t="s">
        <v>3489</v>
      </c>
      <c r="I309" t="s">
        <v>2754</v>
      </c>
      <c r="J309" t="s">
        <v>13</v>
      </c>
      <c r="K309" t="str">
        <f>"99349"</f>
        <v>99349</v>
      </c>
      <c r="L309">
        <v>12</v>
      </c>
      <c r="M309">
        <v>12</v>
      </c>
      <c r="N309">
        <v>0</v>
      </c>
    </row>
    <row r="310" spans="1:14" x14ac:dyDescent="0.25">
      <c r="A310" t="s">
        <v>1042</v>
      </c>
      <c r="B310" t="s">
        <v>1043</v>
      </c>
      <c r="C310" t="s">
        <v>873</v>
      </c>
      <c r="D310" t="s">
        <v>13</v>
      </c>
      <c r="E310" t="str">
        <f>"98837"</f>
        <v>98837</v>
      </c>
      <c r="F310" t="s">
        <v>347</v>
      </c>
      <c r="G310" t="s">
        <v>1041</v>
      </c>
      <c r="I310" t="s">
        <v>454</v>
      </c>
      <c r="J310" t="s">
        <v>13</v>
      </c>
      <c r="K310" t="str">
        <f>"98201"</f>
        <v>98201</v>
      </c>
      <c r="L310">
        <v>210</v>
      </c>
      <c r="M310">
        <v>182</v>
      </c>
      <c r="N310">
        <v>28</v>
      </c>
    </row>
    <row r="311" spans="1:14" x14ac:dyDescent="0.25">
      <c r="A311" t="s">
        <v>1247</v>
      </c>
      <c r="B311" t="s">
        <v>1248</v>
      </c>
      <c r="C311" t="s">
        <v>1249</v>
      </c>
      <c r="D311" t="s">
        <v>13</v>
      </c>
      <c r="E311" t="str">
        <f>"98824"</f>
        <v>98824</v>
      </c>
      <c r="F311" t="s">
        <v>347</v>
      </c>
      <c r="G311" t="s">
        <v>1250</v>
      </c>
      <c r="I311" t="s">
        <v>925</v>
      </c>
      <c r="J311" t="s">
        <v>13</v>
      </c>
      <c r="K311" t="str">
        <f>"98848"</f>
        <v>98848</v>
      </c>
      <c r="L311">
        <v>21</v>
      </c>
      <c r="M311">
        <v>4</v>
      </c>
      <c r="N311">
        <v>17</v>
      </c>
    </row>
    <row r="312" spans="1:14" x14ac:dyDescent="0.25">
      <c r="A312" t="s">
        <v>1816</v>
      </c>
      <c r="B312" t="s">
        <v>1817</v>
      </c>
      <c r="C312" t="s">
        <v>873</v>
      </c>
      <c r="D312" t="s">
        <v>13</v>
      </c>
      <c r="E312" t="str">
        <f>"98837"</f>
        <v>98837</v>
      </c>
      <c r="F312" t="s">
        <v>347</v>
      </c>
      <c r="G312" t="s">
        <v>1268</v>
      </c>
      <c r="I312" t="s">
        <v>1269</v>
      </c>
      <c r="J312" t="s">
        <v>1270</v>
      </c>
      <c r="K312" t="str">
        <f>"83816"</f>
        <v>83816</v>
      </c>
      <c r="L312">
        <v>66</v>
      </c>
      <c r="M312">
        <v>50</v>
      </c>
      <c r="N312">
        <v>16</v>
      </c>
    </row>
    <row r="313" spans="1:14" x14ac:dyDescent="0.25">
      <c r="A313" t="s">
        <v>3418</v>
      </c>
      <c r="B313" t="s">
        <v>3419</v>
      </c>
      <c r="C313" t="s">
        <v>925</v>
      </c>
      <c r="D313" t="s">
        <v>13</v>
      </c>
      <c r="E313" t="str">
        <f>"98848"</f>
        <v>98848</v>
      </c>
      <c r="F313" t="s">
        <v>347</v>
      </c>
      <c r="G313" t="s">
        <v>3420</v>
      </c>
      <c r="I313" t="s">
        <v>107</v>
      </c>
      <c r="J313" t="s">
        <v>13</v>
      </c>
      <c r="K313" t="str">
        <f>"98107"</f>
        <v>98107</v>
      </c>
      <c r="L313">
        <v>27</v>
      </c>
      <c r="M313">
        <v>27</v>
      </c>
      <c r="N313">
        <v>0</v>
      </c>
    </row>
    <row r="314" spans="1:14" x14ac:dyDescent="0.25">
      <c r="A314" t="s">
        <v>2752</v>
      </c>
      <c r="B314" t="s">
        <v>2753</v>
      </c>
      <c r="C314" t="s">
        <v>2754</v>
      </c>
      <c r="D314" t="s">
        <v>13</v>
      </c>
      <c r="E314" t="str">
        <f>"99349"</f>
        <v>99349</v>
      </c>
      <c r="F314" t="s">
        <v>347</v>
      </c>
      <c r="G314" t="s">
        <v>2755</v>
      </c>
      <c r="I314" t="s">
        <v>2754</v>
      </c>
      <c r="J314" t="s">
        <v>13</v>
      </c>
      <c r="K314" t="str">
        <f>"99349"</f>
        <v>99349</v>
      </c>
      <c r="L314">
        <v>98</v>
      </c>
      <c r="M314">
        <v>98</v>
      </c>
      <c r="N314">
        <v>0</v>
      </c>
    </row>
    <row r="315" spans="1:14" x14ac:dyDescent="0.25">
      <c r="A315" t="s">
        <v>2935</v>
      </c>
      <c r="B315" t="s">
        <v>2936</v>
      </c>
      <c r="C315" t="s">
        <v>925</v>
      </c>
      <c r="D315" t="s">
        <v>13</v>
      </c>
      <c r="E315" t="str">
        <f>"98848"</f>
        <v>98848</v>
      </c>
      <c r="F315" t="s">
        <v>347</v>
      </c>
      <c r="G315" t="s">
        <v>2937</v>
      </c>
      <c r="I315" t="s">
        <v>925</v>
      </c>
      <c r="J315" t="s">
        <v>13</v>
      </c>
      <c r="K315" t="str">
        <f>"98848"</f>
        <v>98848</v>
      </c>
      <c r="L315">
        <v>19</v>
      </c>
      <c r="M315">
        <v>19</v>
      </c>
      <c r="N315">
        <v>0</v>
      </c>
    </row>
    <row r="316" spans="1:14" x14ac:dyDescent="0.25">
      <c r="A316" t="s">
        <v>3799</v>
      </c>
      <c r="B316" t="s">
        <v>3800</v>
      </c>
      <c r="C316" t="s">
        <v>1814</v>
      </c>
      <c r="D316" t="s">
        <v>13</v>
      </c>
      <c r="E316" t="str">
        <f>"99357"</f>
        <v>99357</v>
      </c>
      <c r="F316" t="s">
        <v>347</v>
      </c>
      <c r="G316" t="s">
        <v>3800</v>
      </c>
      <c r="I316" t="s">
        <v>1814</v>
      </c>
      <c r="J316" t="s">
        <v>13</v>
      </c>
      <c r="K316" t="str">
        <f>"99357"</f>
        <v>99357</v>
      </c>
      <c r="L316">
        <v>53</v>
      </c>
      <c r="M316">
        <v>53</v>
      </c>
      <c r="N316">
        <v>0</v>
      </c>
    </row>
    <row r="317" spans="1:14" x14ac:dyDescent="0.25">
      <c r="A317" t="s">
        <v>1569</v>
      </c>
      <c r="B317" t="s">
        <v>1570</v>
      </c>
      <c r="C317" t="s">
        <v>873</v>
      </c>
      <c r="D317" t="s">
        <v>13</v>
      </c>
      <c r="E317" t="str">
        <f>"98837"</f>
        <v>98837</v>
      </c>
      <c r="F317" t="s">
        <v>347</v>
      </c>
      <c r="G317" t="s">
        <v>1571</v>
      </c>
      <c r="I317" t="s">
        <v>1012</v>
      </c>
      <c r="J317" t="s">
        <v>821</v>
      </c>
      <c r="K317" t="str">
        <f>"97048"</f>
        <v>97048</v>
      </c>
      <c r="L317">
        <v>3</v>
      </c>
      <c r="M317">
        <v>3</v>
      </c>
      <c r="N317">
        <v>0</v>
      </c>
    </row>
    <row r="318" spans="1:14" x14ac:dyDescent="0.25">
      <c r="A318" t="s">
        <v>3735</v>
      </c>
      <c r="B318" t="s">
        <v>3736</v>
      </c>
      <c r="C318" t="s">
        <v>873</v>
      </c>
      <c r="D318" t="s">
        <v>13</v>
      </c>
      <c r="E318" t="str">
        <f>"98837"</f>
        <v>98837</v>
      </c>
      <c r="F318" t="s">
        <v>347</v>
      </c>
      <c r="G318" t="s">
        <v>3737</v>
      </c>
      <c r="H318" t="s">
        <v>3736</v>
      </c>
      <c r="I318" t="s">
        <v>873</v>
      </c>
      <c r="J318" t="s">
        <v>13</v>
      </c>
      <c r="K318" t="str">
        <f>"98837"</f>
        <v>98837</v>
      </c>
      <c r="L318">
        <v>72</v>
      </c>
      <c r="M318">
        <v>24</v>
      </c>
      <c r="N318">
        <v>48</v>
      </c>
    </row>
    <row r="319" spans="1:14" x14ac:dyDescent="0.25">
      <c r="A319" t="s">
        <v>2117</v>
      </c>
      <c r="B319" t="s">
        <v>2118</v>
      </c>
      <c r="C319" t="s">
        <v>873</v>
      </c>
      <c r="D319" t="s">
        <v>13</v>
      </c>
      <c r="E319" t="str">
        <f>"98837"</f>
        <v>98837</v>
      </c>
      <c r="F319" t="s">
        <v>347</v>
      </c>
      <c r="G319" t="s">
        <v>2119</v>
      </c>
      <c r="I319" t="s">
        <v>14</v>
      </c>
      <c r="J319" t="s">
        <v>13</v>
      </c>
      <c r="K319" t="str">
        <f>"98296"</f>
        <v>98296</v>
      </c>
      <c r="L319">
        <v>21</v>
      </c>
      <c r="M319">
        <v>21</v>
      </c>
      <c r="N319">
        <v>0</v>
      </c>
    </row>
    <row r="320" spans="1:14" x14ac:dyDescent="0.25">
      <c r="A320" t="s">
        <v>3906</v>
      </c>
      <c r="B320" t="s">
        <v>3907</v>
      </c>
      <c r="C320" t="s">
        <v>2912</v>
      </c>
      <c r="D320" t="s">
        <v>13</v>
      </c>
      <c r="E320" t="str">
        <f>"99123"</f>
        <v>99123</v>
      </c>
      <c r="F320" t="s">
        <v>347</v>
      </c>
      <c r="G320" t="s">
        <v>3908</v>
      </c>
      <c r="I320" t="s">
        <v>346</v>
      </c>
      <c r="J320" t="s">
        <v>13</v>
      </c>
      <c r="K320" t="str">
        <f>"99133"</f>
        <v>99133</v>
      </c>
      <c r="L320">
        <v>2</v>
      </c>
      <c r="M320">
        <v>2</v>
      </c>
      <c r="N320">
        <v>0</v>
      </c>
    </row>
    <row r="321" spans="1:14" x14ac:dyDescent="0.25">
      <c r="A321" t="s">
        <v>923</v>
      </c>
      <c r="B321" t="s">
        <v>924</v>
      </c>
      <c r="C321" t="s">
        <v>925</v>
      </c>
      <c r="D321" t="s">
        <v>13</v>
      </c>
      <c r="E321" t="str">
        <f>"98848"</f>
        <v>98848</v>
      </c>
      <c r="F321" t="s">
        <v>347</v>
      </c>
      <c r="G321" t="s">
        <v>926</v>
      </c>
      <c r="I321" t="s">
        <v>925</v>
      </c>
      <c r="J321" t="s">
        <v>13</v>
      </c>
      <c r="K321" t="str">
        <f>"98848"</f>
        <v>98848</v>
      </c>
      <c r="L321">
        <v>58</v>
      </c>
      <c r="M321">
        <v>58</v>
      </c>
      <c r="N321">
        <v>0</v>
      </c>
    </row>
    <row r="322" spans="1:14" x14ac:dyDescent="0.25">
      <c r="A322" t="s">
        <v>3780</v>
      </c>
      <c r="B322" t="s">
        <v>3781</v>
      </c>
      <c r="C322" t="s">
        <v>2988</v>
      </c>
      <c r="D322" t="s">
        <v>13</v>
      </c>
      <c r="E322" t="str">
        <f>"98851"</f>
        <v>98851</v>
      </c>
      <c r="F322" t="s">
        <v>347</v>
      </c>
      <c r="G322" t="s">
        <v>3782</v>
      </c>
      <c r="I322" t="s">
        <v>262</v>
      </c>
      <c r="J322" t="s">
        <v>13</v>
      </c>
      <c r="K322" t="str">
        <f>"98849"</f>
        <v>98849</v>
      </c>
      <c r="L322">
        <v>20</v>
      </c>
      <c r="M322">
        <v>20</v>
      </c>
      <c r="N322">
        <v>0</v>
      </c>
    </row>
    <row r="323" spans="1:14" x14ac:dyDescent="0.25">
      <c r="A323" t="s">
        <v>3490</v>
      </c>
      <c r="B323" t="s">
        <v>3491</v>
      </c>
      <c r="C323" t="s">
        <v>873</v>
      </c>
      <c r="D323" t="s">
        <v>13</v>
      </c>
      <c r="E323" t="str">
        <f>"98837"</f>
        <v>98837</v>
      </c>
      <c r="F323" t="s">
        <v>347</v>
      </c>
      <c r="G323" t="s">
        <v>3492</v>
      </c>
      <c r="I323" t="s">
        <v>873</v>
      </c>
      <c r="J323" t="s">
        <v>13</v>
      </c>
      <c r="K323" t="str">
        <f>"98837"</f>
        <v>98837</v>
      </c>
      <c r="L323">
        <v>20</v>
      </c>
      <c r="M323">
        <v>8</v>
      </c>
      <c r="N323">
        <v>12</v>
      </c>
    </row>
    <row r="324" spans="1:14" x14ac:dyDescent="0.25">
      <c r="A324" t="s">
        <v>2887</v>
      </c>
      <c r="B324" t="s">
        <v>2888</v>
      </c>
      <c r="C324" t="s">
        <v>2754</v>
      </c>
      <c r="D324" t="s">
        <v>13</v>
      </c>
      <c r="E324" t="str">
        <f>"99349"</f>
        <v>99349</v>
      </c>
      <c r="F324" t="s">
        <v>347</v>
      </c>
      <c r="G324" t="s">
        <v>2889</v>
      </c>
      <c r="I324" t="s">
        <v>100</v>
      </c>
      <c r="J324" t="s">
        <v>13</v>
      </c>
      <c r="K324" t="str">
        <f>"98902"</f>
        <v>98902</v>
      </c>
      <c r="L324">
        <v>36</v>
      </c>
      <c r="M324">
        <v>35</v>
      </c>
      <c r="N324">
        <v>1</v>
      </c>
    </row>
    <row r="325" spans="1:14" x14ac:dyDescent="0.25">
      <c r="A325" t="s">
        <v>3643</v>
      </c>
      <c r="B325" t="s">
        <v>3644</v>
      </c>
      <c r="C325" t="s">
        <v>1234</v>
      </c>
      <c r="D325" t="s">
        <v>13</v>
      </c>
      <c r="E325" t="str">
        <f>"98823"</f>
        <v>98823</v>
      </c>
      <c r="F325" t="s">
        <v>347</v>
      </c>
      <c r="G325" t="s">
        <v>1712</v>
      </c>
      <c r="I325" t="s">
        <v>146</v>
      </c>
      <c r="J325" t="s">
        <v>13</v>
      </c>
      <c r="K325" t="str">
        <f>"98374"</f>
        <v>98374</v>
      </c>
      <c r="L325">
        <v>37</v>
      </c>
      <c r="M325">
        <v>37</v>
      </c>
      <c r="N325">
        <v>0</v>
      </c>
    </row>
    <row r="326" spans="1:14" x14ac:dyDescent="0.25">
      <c r="A326" t="s">
        <v>344</v>
      </c>
      <c r="B326" t="s">
        <v>345</v>
      </c>
      <c r="C326" t="s">
        <v>346</v>
      </c>
      <c r="D326" t="s">
        <v>13</v>
      </c>
      <c r="E326" t="str">
        <f>"99133"</f>
        <v>99133</v>
      </c>
      <c r="F326" t="s">
        <v>347</v>
      </c>
      <c r="G326" t="s">
        <v>348</v>
      </c>
      <c r="H326" t="s">
        <v>349</v>
      </c>
      <c r="I326" t="s">
        <v>346</v>
      </c>
      <c r="J326" t="s">
        <v>13</v>
      </c>
      <c r="K326" t="str">
        <f>"99133"</f>
        <v>99133</v>
      </c>
      <c r="L326">
        <v>3</v>
      </c>
      <c r="M326">
        <v>3</v>
      </c>
      <c r="N326">
        <v>0</v>
      </c>
    </row>
    <row r="327" spans="1:14" x14ac:dyDescent="0.25">
      <c r="A327" t="s">
        <v>3635</v>
      </c>
      <c r="B327" t="s">
        <v>3636</v>
      </c>
      <c r="C327" t="s">
        <v>873</v>
      </c>
      <c r="D327" t="s">
        <v>13</v>
      </c>
      <c r="E327" t="str">
        <f>"98837"</f>
        <v>98837</v>
      </c>
      <c r="F327" t="s">
        <v>347</v>
      </c>
      <c r="G327" t="s">
        <v>3637</v>
      </c>
      <c r="I327" t="s">
        <v>873</v>
      </c>
      <c r="J327" t="s">
        <v>13</v>
      </c>
      <c r="K327" t="str">
        <f>"98837"</f>
        <v>98837</v>
      </c>
      <c r="L327">
        <v>32</v>
      </c>
      <c r="M327">
        <v>7</v>
      </c>
      <c r="N327">
        <v>25</v>
      </c>
    </row>
    <row r="328" spans="1:14" x14ac:dyDescent="0.25">
      <c r="A328" t="s">
        <v>2011</v>
      </c>
      <c r="B328" t="s">
        <v>2012</v>
      </c>
      <c r="C328" t="s">
        <v>873</v>
      </c>
      <c r="D328" t="s">
        <v>13</v>
      </c>
      <c r="E328" t="str">
        <f>"98837"</f>
        <v>98837</v>
      </c>
      <c r="F328" t="s">
        <v>347</v>
      </c>
      <c r="G328" t="s">
        <v>1428</v>
      </c>
      <c r="H328" t="s">
        <v>1246</v>
      </c>
      <c r="I328" t="s">
        <v>605</v>
      </c>
      <c r="J328" t="s">
        <v>13</v>
      </c>
      <c r="K328" t="str">
        <f>"98005"</f>
        <v>98005</v>
      </c>
      <c r="L328">
        <v>93</v>
      </c>
      <c r="M328">
        <v>65</v>
      </c>
      <c r="N328">
        <v>28</v>
      </c>
    </row>
    <row r="329" spans="1:14" x14ac:dyDescent="0.25">
      <c r="A329" t="s">
        <v>2716</v>
      </c>
      <c r="B329" t="s">
        <v>2717</v>
      </c>
      <c r="C329" t="s">
        <v>1234</v>
      </c>
      <c r="D329" t="s">
        <v>13</v>
      </c>
      <c r="E329" t="str">
        <f>"98823"</f>
        <v>98823</v>
      </c>
      <c r="F329" t="s">
        <v>347</v>
      </c>
      <c r="G329" t="s">
        <v>2718</v>
      </c>
      <c r="I329" t="s">
        <v>107</v>
      </c>
      <c r="J329" t="s">
        <v>13</v>
      </c>
      <c r="K329" t="str">
        <f>"98107"</f>
        <v>98107</v>
      </c>
      <c r="L329">
        <v>36</v>
      </c>
      <c r="M329">
        <v>33</v>
      </c>
      <c r="N329">
        <v>3</v>
      </c>
    </row>
    <row r="330" spans="1:14" x14ac:dyDescent="0.25">
      <c r="A330" t="s">
        <v>3224</v>
      </c>
      <c r="B330" t="s">
        <v>3225</v>
      </c>
      <c r="C330" t="s">
        <v>2997</v>
      </c>
      <c r="D330" t="s">
        <v>13</v>
      </c>
      <c r="E330" t="str">
        <f>"98857"</f>
        <v>98857</v>
      </c>
      <c r="F330" t="s">
        <v>347</v>
      </c>
      <c r="G330" t="s">
        <v>3226</v>
      </c>
      <c r="I330" t="s">
        <v>3227</v>
      </c>
      <c r="J330" t="s">
        <v>3228</v>
      </c>
      <c r="K330" t="str">
        <f>"80022"</f>
        <v>80022</v>
      </c>
      <c r="L330">
        <v>24</v>
      </c>
      <c r="M330">
        <v>24</v>
      </c>
      <c r="N330">
        <v>0</v>
      </c>
    </row>
    <row r="331" spans="1:14" x14ac:dyDescent="0.25">
      <c r="A331" t="s">
        <v>1812</v>
      </c>
      <c r="B331" t="s">
        <v>1813</v>
      </c>
      <c r="C331" t="s">
        <v>1814</v>
      </c>
      <c r="D331" t="s">
        <v>13</v>
      </c>
      <c r="E331" t="str">
        <f>"99357"</f>
        <v>99357</v>
      </c>
      <c r="F331" t="s">
        <v>347</v>
      </c>
      <c r="G331" t="s">
        <v>1815</v>
      </c>
      <c r="I331" t="s">
        <v>43</v>
      </c>
      <c r="J331" t="s">
        <v>13</v>
      </c>
      <c r="K331" t="str">
        <f>"98040"</f>
        <v>98040</v>
      </c>
      <c r="L331">
        <v>36</v>
      </c>
      <c r="M331">
        <v>36</v>
      </c>
      <c r="N331">
        <v>0</v>
      </c>
    </row>
    <row r="332" spans="1:14" x14ac:dyDescent="0.25">
      <c r="A332" t="s">
        <v>2995</v>
      </c>
      <c r="B332" t="s">
        <v>2996</v>
      </c>
      <c r="C332" t="s">
        <v>2997</v>
      </c>
      <c r="D332" t="s">
        <v>13</v>
      </c>
      <c r="E332" t="str">
        <f>"98857"</f>
        <v>98857</v>
      </c>
      <c r="F332" t="s">
        <v>347</v>
      </c>
      <c r="G332" t="s">
        <v>2998</v>
      </c>
      <c r="I332" t="s">
        <v>14</v>
      </c>
      <c r="J332" t="s">
        <v>13</v>
      </c>
      <c r="K332" t="str">
        <f>"98296"</f>
        <v>98296</v>
      </c>
      <c r="L332">
        <v>11</v>
      </c>
      <c r="M332">
        <v>11</v>
      </c>
      <c r="N332">
        <v>0</v>
      </c>
    </row>
    <row r="333" spans="1:14" x14ac:dyDescent="0.25">
      <c r="A333" t="s">
        <v>1724</v>
      </c>
      <c r="B333" t="s">
        <v>1725</v>
      </c>
      <c r="C333" t="s">
        <v>873</v>
      </c>
      <c r="D333" t="s">
        <v>13</v>
      </c>
      <c r="E333" t="str">
        <f>"98837"</f>
        <v>98837</v>
      </c>
      <c r="F333" t="s">
        <v>347</v>
      </c>
      <c r="G333" t="s">
        <v>1725</v>
      </c>
      <c r="I333" t="s">
        <v>873</v>
      </c>
      <c r="J333" t="s">
        <v>13</v>
      </c>
      <c r="K333" t="str">
        <f>"98837"</f>
        <v>98837</v>
      </c>
      <c r="L333">
        <v>10</v>
      </c>
      <c r="M333">
        <v>9</v>
      </c>
      <c r="N333">
        <v>1</v>
      </c>
    </row>
    <row r="334" spans="1:14" x14ac:dyDescent="0.25">
      <c r="A334" t="s">
        <v>1946</v>
      </c>
      <c r="B334" t="s">
        <v>1947</v>
      </c>
      <c r="C334" t="s">
        <v>585</v>
      </c>
      <c r="D334" t="s">
        <v>13</v>
      </c>
      <c r="E334" t="str">
        <f>"98595"</f>
        <v>98595</v>
      </c>
      <c r="F334" t="s">
        <v>128</v>
      </c>
      <c r="G334" t="s">
        <v>1948</v>
      </c>
      <c r="I334" t="s">
        <v>585</v>
      </c>
      <c r="J334" t="s">
        <v>13</v>
      </c>
      <c r="K334" t="str">
        <f>"98595"</f>
        <v>98595</v>
      </c>
      <c r="L334">
        <v>6</v>
      </c>
      <c r="M334">
        <v>5</v>
      </c>
      <c r="N334">
        <v>1</v>
      </c>
    </row>
    <row r="335" spans="1:14" x14ac:dyDescent="0.25">
      <c r="A335" t="s">
        <v>1002</v>
      </c>
      <c r="B335" t="s">
        <v>1003</v>
      </c>
      <c r="C335" t="s">
        <v>544</v>
      </c>
      <c r="D335" t="s">
        <v>13</v>
      </c>
      <c r="E335" t="str">
        <f>"98583"</f>
        <v>98583</v>
      </c>
      <c r="F335" t="s">
        <v>128</v>
      </c>
      <c r="G335" t="s">
        <v>1004</v>
      </c>
      <c r="I335" t="s">
        <v>1005</v>
      </c>
      <c r="J335" t="s">
        <v>13</v>
      </c>
      <c r="K335" t="str">
        <f>"98557"</f>
        <v>98557</v>
      </c>
      <c r="L335">
        <v>6</v>
      </c>
      <c r="M335">
        <v>3</v>
      </c>
      <c r="N335">
        <v>3</v>
      </c>
    </row>
    <row r="336" spans="1:14" x14ac:dyDescent="0.25">
      <c r="A336" t="s">
        <v>478</v>
      </c>
      <c r="B336" t="s">
        <v>479</v>
      </c>
      <c r="C336" t="s">
        <v>127</v>
      </c>
      <c r="D336" t="s">
        <v>13</v>
      </c>
      <c r="E336" t="str">
        <f>"98520"</f>
        <v>98520</v>
      </c>
      <c r="F336" t="s">
        <v>128</v>
      </c>
      <c r="G336" t="s">
        <v>473</v>
      </c>
      <c r="I336" t="s">
        <v>472</v>
      </c>
      <c r="J336" t="s">
        <v>13</v>
      </c>
      <c r="K336" t="str">
        <f>"98541"</f>
        <v>98541</v>
      </c>
      <c r="L336">
        <v>45</v>
      </c>
      <c r="M336">
        <v>45</v>
      </c>
      <c r="N336">
        <v>0</v>
      </c>
    </row>
    <row r="337" spans="1:14" x14ac:dyDescent="0.25">
      <c r="A337" t="s">
        <v>413</v>
      </c>
      <c r="B337" t="s">
        <v>414</v>
      </c>
      <c r="C337" t="s">
        <v>415</v>
      </c>
      <c r="D337" t="s">
        <v>13</v>
      </c>
      <c r="E337" t="str">
        <f>"98563"</f>
        <v>98563</v>
      </c>
      <c r="F337" t="s">
        <v>128</v>
      </c>
      <c r="G337" t="s">
        <v>416</v>
      </c>
      <c r="I337" t="s">
        <v>415</v>
      </c>
      <c r="J337" t="s">
        <v>13</v>
      </c>
      <c r="K337" t="str">
        <f>"98563"</f>
        <v>98563</v>
      </c>
      <c r="L337">
        <v>8</v>
      </c>
      <c r="M337">
        <v>8</v>
      </c>
      <c r="N337">
        <v>0</v>
      </c>
    </row>
    <row r="338" spans="1:14" x14ac:dyDescent="0.25">
      <c r="A338" t="s">
        <v>541</v>
      </c>
      <c r="B338" t="s">
        <v>542</v>
      </c>
      <c r="C338" t="s">
        <v>415</v>
      </c>
      <c r="D338" t="s">
        <v>13</v>
      </c>
      <c r="E338" t="str">
        <f>"98563"</f>
        <v>98563</v>
      </c>
      <c r="F338" t="s">
        <v>128</v>
      </c>
      <c r="G338" t="s">
        <v>543</v>
      </c>
      <c r="I338" t="s">
        <v>544</v>
      </c>
      <c r="J338" t="s">
        <v>13</v>
      </c>
      <c r="K338" t="str">
        <f>"98583"</f>
        <v>98583</v>
      </c>
      <c r="L338">
        <v>12</v>
      </c>
      <c r="M338">
        <v>12</v>
      </c>
      <c r="N338">
        <v>0</v>
      </c>
    </row>
    <row r="339" spans="1:14" x14ac:dyDescent="0.25">
      <c r="A339" t="s">
        <v>2917</v>
      </c>
      <c r="B339" t="s">
        <v>2918</v>
      </c>
      <c r="C339" t="s">
        <v>415</v>
      </c>
      <c r="D339" t="s">
        <v>13</v>
      </c>
      <c r="E339" t="str">
        <f>"98563"</f>
        <v>98563</v>
      </c>
      <c r="F339" t="s">
        <v>128</v>
      </c>
      <c r="G339" t="s">
        <v>2919</v>
      </c>
      <c r="H339" t="s">
        <v>2920</v>
      </c>
      <c r="I339" t="s">
        <v>472</v>
      </c>
      <c r="J339" t="s">
        <v>13</v>
      </c>
      <c r="K339" t="str">
        <f>"98541"</f>
        <v>98541</v>
      </c>
      <c r="L339">
        <v>4</v>
      </c>
      <c r="M339">
        <v>3</v>
      </c>
      <c r="N339">
        <v>1</v>
      </c>
    </row>
    <row r="340" spans="1:14" x14ac:dyDescent="0.25">
      <c r="A340" t="s">
        <v>3838</v>
      </c>
      <c r="B340" t="s">
        <v>3839</v>
      </c>
      <c r="C340" t="s">
        <v>472</v>
      </c>
      <c r="D340" t="s">
        <v>13</v>
      </c>
      <c r="E340" t="str">
        <f>"98541"</f>
        <v>98541</v>
      </c>
      <c r="F340" t="s">
        <v>128</v>
      </c>
      <c r="G340" t="s">
        <v>2061</v>
      </c>
      <c r="I340" t="s">
        <v>507</v>
      </c>
      <c r="J340" t="s">
        <v>13</v>
      </c>
      <c r="K340" t="str">
        <f>"98391"</f>
        <v>98391</v>
      </c>
      <c r="L340">
        <v>8</v>
      </c>
      <c r="M340">
        <v>8</v>
      </c>
      <c r="N340">
        <v>0</v>
      </c>
    </row>
    <row r="341" spans="1:14" x14ac:dyDescent="0.25">
      <c r="A341" t="s">
        <v>2302</v>
      </c>
      <c r="B341" t="s">
        <v>2303</v>
      </c>
      <c r="C341" t="s">
        <v>472</v>
      </c>
      <c r="D341" t="s">
        <v>13</v>
      </c>
      <c r="E341" t="str">
        <f>"98541"</f>
        <v>98541</v>
      </c>
      <c r="F341" t="s">
        <v>128</v>
      </c>
      <c r="G341" t="s">
        <v>2304</v>
      </c>
      <c r="I341" t="s">
        <v>164</v>
      </c>
      <c r="J341" t="s">
        <v>13</v>
      </c>
      <c r="K341" t="str">
        <f>"98248"</f>
        <v>98248</v>
      </c>
      <c r="L341">
        <v>81</v>
      </c>
      <c r="M341">
        <v>12</v>
      </c>
      <c r="N341">
        <v>69</v>
      </c>
    </row>
    <row r="342" spans="1:14" x14ac:dyDescent="0.25">
      <c r="A342" t="s">
        <v>1424</v>
      </c>
      <c r="B342" t="s">
        <v>1425</v>
      </c>
      <c r="C342" t="s">
        <v>472</v>
      </c>
      <c r="D342" t="s">
        <v>13</v>
      </c>
      <c r="E342" t="str">
        <f>"98541"</f>
        <v>98541</v>
      </c>
      <c r="F342" t="s">
        <v>128</v>
      </c>
      <c r="G342" t="s">
        <v>1423</v>
      </c>
      <c r="I342" t="s">
        <v>359</v>
      </c>
      <c r="J342" t="s">
        <v>13</v>
      </c>
      <c r="K342" t="str">
        <f>"98031"</f>
        <v>98031</v>
      </c>
      <c r="L342">
        <v>35</v>
      </c>
      <c r="M342">
        <v>31</v>
      </c>
      <c r="N342">
        <v>4</v>
      </c>
    </row>
    <row r="343" spans="1:14" x14ac:dyDescent="0.25">
      <c r="A343" t="s">
        <v>1285</v>
      </c>
      <c r="B343" t="s">
        <v>1323</v>
      </c>
      <c r="C343" t="s">
        <v>415</v>
      </c>
      <c r="D343" t="s">
        <v>13</v>
      </c>
      <c r="E343" t="str">
        <f>"98563"</f>
        <v>98563</v>
      </c>
      <c r="F343" t="s">
        <v>128</v>
      </c>
      <c r="G343" t="s">
        <v>1324</v>
      </c>
      <c r="H343" t="s">
        <v>1325</v>
      </c>
      <c r="I343" t="s">
        <v>886</v>
      </c>
      <c r="K343" t="str">
        <f>"     "</f>
        <v xml:space="preserve">     </v>
      </c>
      <c r="L343">
        <v>48</v>
      </c>
      <c r="M343">
        <v>48</v>
      </c>
      <c r="N343">
        <v>0</v>
      </c>
    </row>
    <row r="344" spans="1:14" x14ac:dyDescent="0.25">
      <c r="A344" t="s">
        <v>3237</v>
      </c>
      <c r="B344" t="s">
        <v>3238</v>
      </c>
      <c r="C344" t="s">
        <v>1924</v>
      </c>
      <c r="D344" t="s">
        <v>13</v>
      </c>
      <c r="E344" t="str">
        <f>"98550"</f>
        <v>98550</v>
      </c>
      <c r="F344" t="s">
        <v>128</v>
      </c>
      <c r="G344" t="s">
        <v>3239</v>
      </c>
      <c r="I344" t="s">
        <v>2595</v>
      </c>
      <c r="J344" t="s">
        <v>13</v>
      </c>
      <c r="K344" t="str">
        <f>"98038"</f>
        <v>98038</v>
      </c>
      <c r="L344">
        <v>6</v>
      </c>
      <c r="M344">
        <v>5</v>
      </c>
      <c r="N344">
        <v>1</v>
      </c>
    </row>
    <row r="345" spans="1:14" x14ac:dyDescent="0.25">
      <c r="A345" t="s">
        <v>476</v>
      </c>
      <c r="B345" t="s">
        <v>477</v>
      </c>
      <c r="C345" t="s">
        <v>472</v>
      </c>
      <c r="D345" t="s">
        <v>13</v>
      </c>
      <c r="E345" t="str">
        <f>"98541"</f>
        <v>98541</v>
      </c>
      <c r="F345" t="s">
        <v>128</v>
      </c>
      <c r="G345" t="s">
        <v>473</v>
      </c>
      <c r="I345" t="s">
        <v>472</v>
      </c>
      <c r="J345" t="s">
        <v>13</v>
      </c>
      <c r="K345" t="str">
        <f>"98541"</f>
        <v>98541</v>
      </c>
      <c r="L345">
        <v>39</v>
      </c>
      <c r="M345">
        <v>39</v>
      </c>
      <c r="N345">
        <v>0</v>
      </c>
    </row>
    <row r="346" spans="1:14" x14ac:dyDescent="0.25">
      <c r="A346" t="s">
        <v>3479</v>
      </c>
      <c r="B346" t="s">
        <v>3480</v>
      </c>
      <c r="C346" t="s">
        <v>1005</v>
      </c>
      <c r="D346" t="s">
        <v>13</v>
      </c>
      <c r="E346" t="str">
        <f>"98557"</f>
        <v>98557</v>
      </c>
      <c r="F346" t="s">
        <v>128</v>
      </c>
      <c r="G346" t="s">
        <v>111</v>
      </c>
      <c r="I346" t="s">
        <v>107</v>
      </c>
      <c r="J346" t="s">
        <v>13</v>
      </c>
      <c r="K346" t="str">
        <f>"98105"</f>
        <v>98105</v>
      </c>
      <c r="L346">
        <v>65</v>
      </c>
      <c r="M346">
        <v>58</v>
      </c>
      <c r="N346">
        <v>7</v>
      </c>
    </row>
    <row r="347" spans="1:14" x14ac:dyDescent="0.25">
      <c r="A347" t="s">
        <v>470</v>
      </c>
      <c r="B347" t="s">
        <v>471</v>
      </c>
      <c r="C347" t="s">
        <v>472</v>
      </c>
      <c r="D347" t="s">
        <v>13</v>
      </c>
      <c r="E347" t="str">
        <f>"98541"</f>
        <v>98541</v>
      </c>
      <c r="F347" t="s">
        <v>128</v>
      </c>
      <c r="G347" t="s">
        <v>473</v>
      </c>
      <c r="I347" t="s">
        <v>472</v>
      </c>
      <c r="J347" t="s">
        <v>13</v>
      </c>
      <c r="K347" t="str">
        <f>"98541"</f>
        <v>98541</v>
      </c>
      <c r="L347">
        <v>120</v>
      </c>
      <c r="M347">
        <v>120</v>
      </c>
      <c r="N347">
        <v>0</v>
      </c>
    </row>
    <row r="348" spans="1:14" x14ac:dyDescent="0.25">
      <c r="A348" t="s">
        <v>583</v>
      </c>
      <c r="B348" t="s">
        <v>584</v>
      </c>
      <c r="C348" t="s">
        <v>585</v>
      </c>
      <c r="D348" t="s">
        <v>13</v>
      </c>
      <c r="E348" t="str">
        <f>"98595"</f>
        <v>98595</v>
      </c>
      <c r="F348" t="s">
        <v>128</v>
      </c>
      <c r="G348" t="s">
        <v>586</v>
      </c>
      <c r="I348" t="s">
        <v>585</v>
      </c>
      <c r="J348" t="s">
        <v>13</v>
      </c>
      <c r="K348" t="str">
        <f>"98595"</f>
        <v>98595</v>
      </c>
      <c r="L348">
        <v>14</v>
      </c>
      <c r="M348">
        <v>14</v>
      </c>
      <c r="N348">
        <v>0</v>
      </c>
    </row>
    <row r="349" spans="1:14" x14ac:dyDescent="0.25">
      <c r="A349" t="s">
        <v>1928</v>
      </c>
      <c r="B349" t="s">
        <v>1929</v>
      </c>
      <c r="C349" t="s">
        <v>1930</v>
      </c>
      <c r="D349" t="s">
        <v>13</v>
      </c>
      <c r="E349" t="str">
        <f>"98537"</f>
        <v>98537</v>
      </c>
      <c r="F349" t="s">
        <v>128</v>
      </c>
      <c r="G349" t="s">
        <v>1925</v>
      </c>
      <c r="I349" t="s">
        <v>454</v>
      </c>
      <c r="J349" t="s">
        <v>13</v>
      </c>
      <c r="K349" t="str">
        <f>"98208"</f>
        <v>98208</v>
      </c>
      <c r="L349">
        <v>40</v>
      </c>
      <c r="M349">
        <v>40</v>
      </c>
      <c r="N349">
        <v>0</v>
      </c>
    </row>
    <row r="350" spans="1:14" x14ac:dyDescent="0.25">
      <c r="A350" t="s">
        <v>3080</v>
      </c>
      <c r="B350" t="s">
        <v>3081</v>
      </c>
      <c r="C350" t="s">
        <v>127</v>
      </c>
      <c r="D350" t="s">
        <v>13</v>
      </c>
      <c r="E350" t="str">
        <f>"98520"</f>
        <v>98520</v>
      </c>
      <c r="F350" t="s">
        <v>128</v>
      </c>
      <c r="G350" t="s">
        <v>3081</v>
      </c>
      <c r="I350" t="s">
        <v>127</v>
      </c>
      <c r="J350" t="s">
        <v>13</v>
      </c>
      <c r="K350" t="str">
        <f>"98520"</f>
        <v>98520</v>
      </c>
      <c r="L350">
        <v>11</v>
      </c>
      <c r="M350">
        <v>11</v>
      </c>
      <c r="N350">
        <v>0</v>
      </c>
    </row>
    <row r="351" spans="1:14" x14ac:dyDescent="0.25">
      <c r="A351" t="s">
        <v>474</v>
      </c>
      <c r="B351" t="s">
        <v>475</v>
      </c>
      <c r="C351" t="s">
        <v>415</v>
      </c>
      <c r="D351" t="s">
        <v>13</v>
      </c>
      <c r="E351" t="str">
        <f>"98563"</f>
        <v>98563</v>
      </c>
      <c r="F351" t="s">
        <v>128</v>
      </c>
      <c r="G351" t="s">
        <v>473</v>
      </c>
      <c r="I351" t="s">
        <v>472</v>
      </c>
      <c r="J351" t="s">
        <v>13</v>
      </c>
      <c r="K351" t="str">
        <f>"98541"</f>
        <v>98541</v>
      </c>
      <c r="L351">
        <v>83</v>
      </c>
      <c r="M351">
        <v>83</v>
      </c>
      <c r="N351">
        <v>0</v>
      </c>
    </row>
    <row r="352" spans="1:14" x14ac:dyDescent="0.25">
      <c r="A352" t="s">
        <v>1300</v>
      </c>
      <c r="B352" t="s">
        <v>1301</v>
      </c>
      <c r="C352" t="s">
        <v>472</v>
      </c>
      <c r="D352" t="s">
        <v>13</v>
      </c>
      <c r="E352" t="str">
        <f>"98541"</f>
        <v>98541</v>
      </c>
      <c r="F352" t="s">
        <v>128</v>
      </c>
      <c r="G352" t="s">
        <v>1104</v>
      </c>
      <c r="I352" t="s">
        <v>454</v>
      </c>
      <c r="J352" t="s">
        <v>13</v>
      </c>
      <c r="K352" t="str">
        <f>"98208"</f>
        <v>98208</v>
      </c>
      <c r="L352">
        <v>41</v>
      </c>
      <c r="M352">
        <v>25</v>
      </c>
      <c r="N352">
        <v>16</v>
      </c>
    </row>
    <row r="353" spans="1:14" x14ac:dyDescent="0.25">
      <c r="A353" t="s">
        <v>3176</v>
      </c>
      <c r="B353" t="s">
        <v>3177</v>
      </c>
      <c r="C353" t="s">
        <v>585</v>
      </c>
      <c r="D353" t="s">
        <v>13</v>
      </c>
      <c r="E353" t="str">
        <f>"98595"</f>
        <v>98595</v>
      </c>
      <c r="F353" t="s">
        <v>128</v>
      </c>
      <c r="G353" t="s">
        <v>3178</v>
      </c>
      <c r="I353" t="s">
        <v>107</v>
      </c>
      <c r="J353" t="s">
        <v>13</v>
      </c>
      <c r="K353" t="str">
        <f>"98119"</f>
        <v>98119</v>
      </c>
      <c r="L353">
        <v>11</v>
      </c>
      <c r="M353">
        <v>11</v>
      </c>
      <c r="N353">
        <v>0</v>
      </c>
    </row>
    <row r="354" spans="1:14" x14ac:dyDescent="0.25">
      <c r="A354" t="s">
        <v>2238</v>
      </c>
      <c r="B354" t="s">
        <v>2239</v>
      </c>
      <c r="C354" t="s">
        <v>127</v>
      </c>
      <c r="D354" t="s">
        <v>13</v>
      </c>
      <c r="E354" t="str">
        <f>"98520"</f>
        <v>98520</v>
      </c>
      <c r="F354" t="s">
        <v>128</v>
      </c>
      <c r="G354" t="s">
        <v>2234</v>
      </c>
      <c r="I354" t="s">
        <v>2235</v>
      </c>
      <c r="J354" t="s">
        <v>13</v>
      </c>
      <c r="K354" t="str">
        <f>"98346"</f>
        <v>98346</v>
      </c>
      <c r="L354">
        <v>200</v>
      </c>
      <c r="M354">
        <v>171</v>
      </c>
      <c r="N354">
        <v>29</v>
      </c>
    </row>
    <row r="355" spans="1:14" x14ac:dyDescent="0.25">
      <c r="A355" t="s">
        <v>3518</v>
      </c>
      <c r="B355" t="s">
        <v>3519</v>
      </c>
      <c r="C355" t="s">
        <v>127</v>
      </c>
      <c r="D355" t="s">
        <v>13</v>
      </c>
      <c r="E355" t="str">
        <f>"98520"</f>
        <v>98520</v>
      </c>
      <c r="F355" t="s">
        <v>128</v>
      </c>
      <c r="G355" t="s">
        <v>1963</v>
      </c>
      <c r="I355" t="s">
        <v>415</v>
      </c>
      <c r="J355" t="s">
        <v>13</v>
      </c>
      <c r="K355" t="str">
        <f>"98563"</f>
        <v>98563</v>
      </c>
      <c r="L355">
        <v>55</v>
      </c>
      <c r="M355">
        <v>28</v>
      </c>
      <c r="N355">
        <v>27</v>
      </c>
    </row>
    <row r="356" spans="1:14" x14ac:dyDescent="0.25">
      <c r="A356" t="s">
        <v>2840</v>
      </c>
      <c r="B356" t="s">
        <v>2841</v>
      </c>
      <c r="C356" t="s">
        <v>1924</v>
      </c>
      <c r="D356" t="s">
        <v>13</v>
      </c>
      <c r="E356" t="str">
        <f>"98550"</f>
        <v>98550</v>
      </c>
      <c r="F356" t="s">
        <v>128</v>
      </c>
      <c r="G356" t="s">
        <v>2841</v>
      </c>
      <c r="I356" t="s">
        <v>1924</v>
      </c>
      <c r="J356" t="s">
        <v>13</v>
      </c>
      <c r="K356" t="str">
        <f>"98550"</f>
        <v>98550</v>
      </c>
      <c r="L356">
        <v>8</v>
      </c>
      <c r="M356">
        <v>7</v>
      </c>
      <c r="N356">
        <v>1</v>
      </c>
    </row>
    <row r="357" spans="1:14" x14ac:dyDescent="0.25">
      <c r="A357" t="s">
        <v>2825</v>
      </c>
      <c r="B357" t="s">
        <v>2826</v>
      </c>
      <c r="C357" t="s">
        <v>2827</v>
      </c>
      <c r="D357" t="s">
        <v>13</v>
      </c>
      <c r="E357" t="str">
        <f>"98566"</f>
        <v>98566</v>
      </c>
      <c r="F357" t="s">
        <v>128</v>
      </c>
      <c r="G357" t="s">
        <v>2828</v>
      </c>
      <c r="I357" t="s">
        <v>2827</v>
      </c>
      <c r="J357" t="s">
        <v>13</v>
      </c>
      <c r="K357" t="str">
        <f>"98566"</f>
        <v>98566</v>
      </c>
      <c r="L357">
        <v>15</v>
      </c>
      <c r="M357">
        <v>10</v>
      </c>
      <c r="N357">
        <v>5</v>
      </c>
    </row>
    <row r="358" spans="1:14" x14ac:dyDescent="0.25">
      <c r="A358" t="s">
        <v>2491</v>
      </c>
      <c r="B358" t="s">
        <v>2492</v>
      </c>
      <c r="C358" t="s">
        <v>2493</v>
      </c>
      <c r="D358" t="s">
        <v>13</v>
      </c>
      <c r="E358" t="str">
        <f>"98547"</f>
        <v>98547</v>
      </c>
      <c r="F358" t="s">
        <v>128</v>
      </c>
      <c r="G358" t="s">
        <v>2490</v>
      </c>
      <c r="I358" t="s">
        <v>72</v>
      </c>
      <c r="J358" t="s">
        <v>13</v>
      </c>
      <c r="K358" t="str">
        <f>"98415"</f>
        <v>98415</v>
      </c>
      <c r="L358">
        <v>11</v>
      </c>
      <c r="M358">
        <v>9</v>
      </c>
      <c r="N358">
        <v>2</v>
      </c>
    </row>
    <row r="359" spans="1:14" x14ac:dyDescent="0.25">
      <c r="A359" t="s">
        <v>2745</v>
      </c>
      <c r="B359" t="s">
        <v>2746</v>
      </c>
      <c r="C359" t="s">
        <v>2747</v>
      </c>
      <c r="D359" t="s">
        <v>13</v>
      </c>
      <c r="E359" t="str">
        <f>"98526"</f>
        <v>98526</v>
      </c>
      <c r="F359" t="s">
        <v>128</v>
      </c>
      <c r="G359" t="s">
        <v>2748</v>
      </c>
      <c r="I359" t="s">
        <v>2747</v>
      </c>
      <c r="J359" t="s">
        <v>13</v>
      </c>
      <c r="K359" t="str">
        <f>"98526"</f>
        <v>98526</v>
      </c>
      <c r="L359">
        <v>23</v>
      </c>
      <c r="M359">
        <v>16</v>
      </c>
      <c r="N359">
        <v>7</v>
      </c>
    </row>
    <row r="360" spans="1:14" x14ac:dyDescent="0.25">
      <c r="A360" t="s">
        <v>831</v>
      </c>
      <c r="B360" t="s">
        <v>832</v>
      </c>
      <c r="C360" t="s">
        <v>833</v>
      </c>
      <c r="D360" t="s">
        <v>13</v>
      </c>
      <c r="E360" t="str">
        <f>"98552"</f>
        <v>98552</v>
      </c>
      <c r="F360" t="s">
        <v>128</v>
      </c>
      <c r="G360" t="s">
        <v>834</v>
      </c>
      <c r="I360" t="s">
        <v>833</v>
      </c>
      <c r="J360" t="s">
        <v>13</v>
      </c>
      <c r="K360" t="str">
        <f>"98552"</f>
        <v>98552</v>
      </c>
      <c r="L360">
        <v>10</v>
      </c>
      <c r="M360">
        <v>10</v>
      </c>
      <c r="N360">
        <v>0</v>
      </c>
    </row>
    <row r="361" spans="1:14" x14ac:dyDescent="0.25">
      <c r="A361" t="s">
        <v>1922</v>
      </c>
      <c r="B361" t="s">
        <v>1923</v>
      </c>
      <c r="C361" t="s">
        <v>1924</v>
      </c>
      <c r="D361" t="s">
        <v>13</v>
      </c>
      <c r="E361" t="str">
        <f>"98550"</f>
        <v>98550</v>
      </c>
      <c r="F361" t="s">
        <v>128</v>
      </c>
      <c r="G361" t="s">
        <v>1925</v>
      </c>
      <c r="I361" t="s">
        <v>454</v>
      </c>
      <c r="J361" t="s">
        <v>13</v>
      </c>
      <c r="K361" t="str">
        <f>"98208"</f>
        <v>98208</v>
      </c>
      <c r="L361">
        <v>20</v>
      </c>
      <c r="M361">
        <v>20</v>
      </c>
      <c r="N361">
        <v>0</v>
      </c>
    </row>
    <row r="362" spans="1:14" x14ac:dyDescent="0.25">
      <c r="A362" t="s">
        <v>1926</v>
      </c>
      <c r="B362" t="s">
        <v>1927</v>
      </c>
      <c r="C362" t="s">
        <v>127</v>
      </c>
      <c r="D362" t="s">
        <v>13</v>
      </c>
      <c r="E362" t="str">
        <f>"98520"</f>
        <v>98520</v>
      </c>
      <c r="F362" t="s">
        <v>128</v>
      </c>
      <c r="G362" t="s">
        <v>1925</v>
      </c>
      <c r="I362" t="s">
        <v>454</v>
      </c>
      <c r="J362" t="s">
        <v>13</v>
      </c>
      <c r="K362" t="str">
        <f>"98208"</f>
        <v>98208</v>
      </c>
      <c r="L362">
        <v>24</v>
      </c>
      <c r="M362">
        <v>24</v>
      </c>
      <c r="N362">
        <v>0</v>
      </c>
    </row>
    <row r="363" spans="1:14" x14ac:dyDescent="0.25">
      <c r="A363" t="s">
        <v>2212</v>
      </c>
      <c r="B363" t="s">
        <v>2213</v>
      </c>
      <c r="C363" t="s">
        <v>1924</v>
      </c>
      <c r="D363" t="s">
        <v>13</v>
      </c>
      <c r="E363" t="str">
        <f>"98550"</f>
        <v>98550</v>
      </c>
      <c r="F363" t="s">
        <v>128</v>
      </c>
      <c r="G363" t="s">
        <v>2214</v>
      </c>
      <c r="I363" t="s">
        <v>132</v>
      </c>
      <c r="J363" t="s">
        <v>13</v>
      </c>
      <c r="K363" t="str">
        <f>"98382"</f>
        <v>98382</v>
      </c>
      <c r="L363">
        <v>45</v>
      </c>
      <c r="M363">
        <v>45</v>
      </c>
      <c r="N363">
        <v>0</v>
      </c>
    </row>
    <row r="364" spans="1:14" x14ac:dyDescent="0.25">
      <c r="A364" t="s">
        <v>3919</v>
      </c>
      <c r="B364" t="s">
        <v>3920</v>
      </c>
      <c r="C364" t="s">
        <v>127</v>
      </c>
      <c r="D364" t="s">
        <v>13</v>
      </c>
      <c r="E364" t="str">
        <f>"98520"</f>
        <v>98520</v>
      </c>
      <c r="F364" t="s">
        <v>128</v>
      </c>
      <c r="G364" t="s">
        <v>3921</v>
      </c>
      <c r="I364" t="s">
        <v>3922</v>
      </c>
      <c r="J364" t="s">
        <v>821</v>
      </c>
      <c r="K364" t="str">
        <f>"97035"</f>
        <v>97035</v>
      </c>
      <c r="L364">
        <v>22</v>
      </c>
      <c r="M364">
        <v>22</v>
      </c>
      <c r="N364">
        <v>0</v>
      </c>
    </row>
    <row r="365" spans="1:14" x14ac:dyDescent="0.25">
      <c r="A365" t="s">
        <v>3095</v>
      </c>
      <c r="B365" t="s">
        <v>3096</v>
      </c>
      <c r="C365" t="s">
        <v>2493</v>
      </c>
      <c r="D365" t="s">
        <v>13</v>
      </c>
      <c r="E365" t="str">
        <f>"98547"</f>
        <v>98547</v>
      </c>
      <c r="F365" t="s">
        <v>128</v>
      </c>
      <c r="G365" t="s">
        <v>3097</v>
      </c>
      <c r="I365" t="s">
        <v>302</v>
      </c>
      <c r="J365" t="s">
        <v>13</v>
      </c>
      <c r="K365" t="str">
        <f>"98168"</f>
        <v>98168</v>
      </c>
      <c r="L365">
        <v>7</v>
      </c>
      <c r="M365">
        <v>7</v>
      </c>
      <c r="N365">
        <v>0</v>
      </c>
    </row>
    <row r="366" spans="1:14" x14ac:dyDescent="0.25">
      <c r="A366" t="s">
        <v>1580</v>
      </c>
      <c r="B366" t="s">
        <v>2104</v>
      </c>
      <c r="C366" t="s">
        <v>1924</v>
      </c>
      <c r="D366" t="s">
        <v>13</v>
      </c>
      <c r="E366" t="str">
        <f>"98550"</f>
        <v>98550</v>
      </c>
      <c r="F366" t="s">
        <v>128</v>
      </c>
      <c r="G366" t="s">
        <v>2105</v>
      </c>
      <c r="I366" t="s">
        <v>72</v>
      </c>
      <c r="J366" t="s">
        <v>13</v>
      </c>
      <c r="K366" t="str">
        <f>"98445"</f>
        <v>98445</v>
      </c>
      <c r="L366">
        <v>17</v>
      </c>
      <c r="M366">
        <v>15</v>
      </c>
      <c r="N366">
        <v>2</v>
      </c>
    </row>
    <row r="367" spans="1:14" x14ac:dyDescent="0.25">
      <c r="A367" t="s">
        <v>125</v>
      </c>
      <c r="B367" t="s">
        <v>126</v>
      </c>
      <c r="C367" t="s">
        <v>127</v>
      </c>
      <c r="D367" t="s">
        <v>13</v>
      </c>
      <c r="E367" t="str">
        <f>"98520"</f>
        <v>98520</v>
      </c>
      <c r="F367" t="s">
        <v>128</v>
      </c>
      <c r="G367" t="s">
        <v>129</v>
      </c>
      <c r="I367" t="s">
        <v>127</v>
      </c>
      <c r="J367" t="s">
        <v>13</v>
      </c>
      <c r="K367" t="str">
        <f>"98520"</f>
        <v>98520</v>
      </c>
      <c r="L367">
        <v>2</v>
      </c>
      <c r="M367">
        <v>2</v>
      </c>
      <c r="N367">
        <v>0</v>
      </c>
    </row>
    <row r="368" spans="1:14" x14ac:dyDescent="0.25">
      <c r="A368" t="s">
        <v>2713</v>
      </c>
      <c r="B368" t="s">
        <v>2714</v>
      </c>
      <c r="C368" t="s">
        <v>585</v>
      </c>
      <c r="D368" t="s">
        <v>13</v>
      </c>
      <c r="E368" t="str">
        <f>"98595"</f>
        <v>98595</v>
      </c>
      <c r="F368" t="s">
        <v>128</v>
      </c>
      <c r="G368" t="s">
        <v>2715</v>
      </c>
      <c r="I368" t="s">
        <v>87</v>
      </c>
      <c r="J368" t="s">
        <v>13</v>
      </c>
      <c r="K368" t="str">
        <f>"98501"</f>
        <v>98501</v>
      </c>
      <c r="L368">
        <v>5</v>
      </c>
      <c r="M368">
        <v>2</v>
      </c>
      <c r="N368">
        <v>3</v>
      </c>
    </row>
    <row r="369" spans="1:14" x14ac:dyDescent="0.25">
      <c r="A369" t="s">
        <v>2606</v>
      </c>
      <c r="B369" t="s">
        <v>2607</v>
      </c>
      <c r="C369" t="s">
        <v>833</v>
      </c>
      <c r="D369" t="s">
        <v>13</v>
      </c>
      <c r="E369" t="str">
        <f>"98552"</f>
        <v>98552</v>
      </c>
      <c r="F369" t="s">
        <v>128</v>
      </c>
      <c r="G369" t="s">
        <v>2608</v>
      </c>
      <c r="I369" t="s">
        <v>72</v>
      </c>
      <c r="J369" t="s">
        <v>13</v>
      </c>
      <c r="K369" t="str">
        <f>"98419"</f>
        <v>98419</v>
      </c>
      <c r="L369">
        <v>12</v>
      </c>
      <c r="M369">
        <v>10</v>
      </c>
      <c r="N369">
        <v>2</v>
      </c>
    </row>
    <row r="370" spans="1:14" x14ac:dyDescent="0.25">
      <c r="A370" t="s">
        <v>3256</v>
      </c>
      <c r="B370" t="s">
        <v>3257</v>
      </c>
      <c r="C370" t="s">
        <v>415</v>
      </c>
      <c r="D370" t="s">
        <v>13</v>
      </c>
      <c r="E370" t="str">
        <f>"98563"</f>
        <v>98563</v>
      </c>
      <c r="F370" t="s">
        <v>128</v>
      </c>
      <c r="G370" t="s">
        <v>3257</v>
      </c>
      <c r="I370" t="s">
        <v>415</v>
      </c>
      <c r="J370" t="s">
        <v>13</v>
      </c>
      <c r="K370" t="str">
        <f>"98563"</f>
        <v>98563</v>
      </c>
      <c r="L370">
        <v>8</v>
      </c>
      <c r="M370">
        <v>6</v>
      </c>
      <c r="N370">
        <v>2</v>
      </c>
    </row>
    <row r="371" spans="1:14" x14ac:dyDescent="0.25">
      <c r="A371" t="s">
        <v>1391</v>
      </c>
      <c r="B371" t="s">
        <v>1392</v>
      </c>
      <c r="C371" t="s">
        <v>472</v>
      </c>
      <c r="D371" t="s">
        <v>13</v>
      </c>
      <c r="E371" t="str">
        <f>"98541"</f>
        <v>98541</v>
      </c>
      <c r="F371" t="s">
        <v>128</v>
      </c>
      <c r="G371" t="s">
        <v>1393</v>
      </c>
      <c r="I371" t="s">
        <v>127</v>
      </c>
      <c r="J371" t="s">
        <v>13</v>
      </c>
      <c r="K371" t="str">
        <f>"98520"</f>
        <v>98520</v>
      </c>
      <c r="L371">
        <v>52</v>
      </c>
      <c r="M371">
        <v>52</v>
      </c>
      <c r="N371">
        <v>0</v>
      </c>
    </row>
    <row r="372" spans="1:14" x14ac:dyDescent="0.25">
      <c r="A372" t="s">
        <v>3939</v>
      </c>
      <c r="B372" t="s">
        <v>3940</v>
      </c>
      <c r="C372" t="s">
        <v>585</v>
      </c>
      <c r="D372" t="s">
        <v>13</v>
      </c>
      <c r="E372" t="str">
        <f>"98595"</f>
        <v>98595</v>
      </c>
      <c r="F372" t="s">
        <v>128</v>
      </c>
      <c r="G372" t="s">
        <v>3941</v>
      </c>
      <c r="I372" t="s">
        <v>3942</v>
      </c>
      <c r="J372" t="s">
        <v>268</v>
      </c>
      <c r="K372" t="str">
        <f>"85268"</f>
        <v>85268</v>
      </c>
      <c r="L372">
        <v>44</v>
      </c>
      <c r="M372">
        <v>44</v>
      </c>
      <c r="N372">
        <v>0</v>
      </c>
    </row>
    <row r="373" spans="1:14" x14ac:dyDescent="0.25">
      <c r="A373" t="s">
        <v>3754</v>
      </c>
      <c r="B373" t="s">
        <v>3755</v>
      </c>
      <c r="C373" t="s">
        <v>127</v>
      </c>
      <c r="D373" t="s">
        <v>13</v>
      </c>
      <c r="E373" t="str">
        <f>"98520"</f>
        <v>98520</v>
      </c>
      <c r="F373" t="s">
        <v>128</v>
      </c>
      <c r="G373" t="s">
        <v>3756</v>
      </c>
      <c r="I373" t="s">
        <v>87</v>
      </c>
      <c r="J373" t="s">
        <v>13</v>
      </c>
      <c r="K373" t="str">
        <f>"98503"</f>
        <v>98503</v>
      </c>
      <c r="L373">
        <v>30</v>
      </c>
      <c r="M373">
        <v>3</v>
      </c>
      <c r="N373">
        <v>27</v>
      </c>
    </row>
    <row r="374" spans="1:14" x14ac:dyDescent="0.25">
      <c r="A374" t="s">
        <v>1031</v>
      </c>
      <c r="B374" t="s">
        <v>1032</v>
      </c>
      <c r="C374" t="s">
        <v>585</v>
      </c>
      <c r="D374" t="s">
        <v>13</v>
      </c>
      <c r="E374" t="str">
        <f>"98595"</f>
        <v>98595</v>
      </c>
      <c r="F374" t="s">
        <v>128</v>
      </c>
      <c r="G374" t="s">
        <v>1033</v>
      </c>
      <c r="I374" t="s">
        <v>585</v>
      </c>
      <c r="J374" t="s">
        <v>13</v>
      </c>
      <c r="K374" t="str">
        <f>"98595"</f>
        <v>98595</v>
      </c>
      <c r="L374">
        <v>21</v>
      </c>
      <c r="M374">
        <v>20</v>
      </c>
      <c r="N374">
        <v>1</v>
      </c>
    </row>
    <row r="375" spans="1:14" x14ac:dyDescent="0.25">
      <c r="A375" t="s">
        <v>3210</v>
      </c>
      <c r="B375" t="s">
        <v>3211</v>
      </c>
      <c r="C375" t="s">
        <v>415</v>
      </c>
      <c r="D375" t="s">
        <v>13</v>
      </c>
      <c r="E375" t="str">
        <f>"98563"</f>
        <v>98563</v>
      </c>
      <c r="F375" t="s">
        <v>128</v>
      </c>
      <c r="G375" t="s">
        <v>3212</v>
      </c>
      <c r="I375" t="s">
        <v>87</v>
      </c>
      <c r="J375" t="s">
        <v>13</v>
      </c>
      <c r="K375" t="str">
        <f>"98502"</f>
        <v>98502</v>
      </c>
      <c r="L375">
        <v>7</v>
      </c>
      <c r="M375">
        <v>7</v>
      </c>
      <c r="N375">
        <v>0</v>
      </c>
    </row>
    <row r="376" spans="1:14" x14ac:dyDescent="0.25">
      <c r="A376" t="s">
        <v>1023</v>
      </c>
      <c r="B376" t="s">
        <v>1024</v>
      </c>
      <c r="C376" t="s">
        <v>170</v>
      </c>
      <c r="D376" t="s">
        <v>13</v>
      </c>
      <c r="E376" t="str">
        <f>"98277"</f>
        <v>98277</v>
      </c>
      <c r="F376" t="s">
        <v>171</v>
      </c>
      <c r="G376" t="s">
        <v>1025</v>
      </c>
      <c r="I376" t="s">
        <v>170</v>
      </c>
      <c r="J376" t="s">
        <v>13</v>
      </c>
      <c r="K376" t="str">
        <f>"98277"</f>
        <v>98277</v>
      </c>
      <c r="L376">
        <v>27</v>
      </c>
      <c r="M376">
        <v>27</v>
      </c>
      <c r="N376">
        <v>0</v>
      </c>
    </row>
    <row r="377" spans="1:14" x14ac:dyDescent="0.25">
      <c r="A377" t="s">
        <v>796</v>
      </c>
      <c r="B377" t="s">
        <v>797</v>
      </c>
      <c r="C377" t="s">
        <v>170</v>
      </c>
      <c r="D377" t="s">
        <v>13</v>
      </c>
      <c r="E377" t="str">
        <f>"98277"</f>
        <v>98277</v>
      </c>
      <c r="F377" t="s">
        <v>171</v>
      </c>
      <c r="G377" t="s">
        <v>798</v>
      </c>
      <c r="I377" t="s">
        <v>170</v>
      </c>
      <c r="J377" t="s">
        <v>13</v>
      </c>
      <c r="K377" t="str">
        <f>"98277"</f>
        <v>98277</v>
      </c>
      <c r="L377">
        <v>80</v>
      </c>
      <c r="M377">
        <v>65</v>
      </c>
      <c r="N377">
        <v>15</v>
      </c>
    </row>
    <row r="378" spans="1:14" x14ac:dyDescent="0.25">
      <c r="A378" t="s">
        <v>4065</v>
      </c>
      <c r="B378" t="s">
        <v>4066</v>
      </c>
      <c r="C378" t="s">
        <v>170</v>
      </c>
      <c r="D378" t="s">
        <v>13</v>
      </c>
      <c r="E378" t="str">
        <f>"98277"</f>
        <v>98277</v>
      </c>
      <c r="F378" t="s">
        <v>171</v>
      </c>
      <c r="G378" t="s">
        <v>175</v>
      </c>
      <c r="I378" t="s">
        <v>170</v>
      </c>
      <c r="J378" t="s">
        <v>13</v>
      </c>
      <c r="K378" t="str">
        <f>"98277"</f>
        <v>98277</v>
      </c>
      <c r="L378">
        <v>34</v>
      </c>
      <c r="M378">
        <v>28</v>
      </c>
      <c r="N378">
        <v>6</v>
      </c>
    </row>
    <row r="379" spans="1:14" x14ac:dyDescent="0.25">
      <c r="A379" t="s">
        <v>1285</v>
      </c>
      <c r="B379" t="s">
        <v>2855</v>
      </c>
      <c r="C379" t="s">
        <v>170</v>
      </c>
      <c r="D379" t="s">
        <v>13</v>
      </c>
      <c r="E379" t="str">
        <f>"98277"</f>
        <v>98277</v>
      </c>
      <c r="F379" t="s">
        <v>171</v>
      </c>
      <c r="G379" t="s">
        <v>2856</v>
      </c>
      <c r="I379" t="s">
        <v>170</v>
      </c>
      <c r="J379" t="s">
        <v>13</v>
      </c>
      <c r="K379" t="str">
        <f>"98277"</f>
        <v>98277</v>
      </c>
      <c r="L379">
        <v>19</v>
      </c>
      <c r="M379">
        <v>18</v>
      </c>
      <c r="N379">
        <v>1</v>
      </c>
    </row>
    <row r="380" spans="1:14" x14ac:dyDescent="0.25">
      <c r="A380" t="s">
        <v>168</v>
      </c>
      <c r="B380" t="s">
        <v>169</v>
      </c>
      <c r="C380" t="s">
        <v>170</v>
      </c>
      <c r="D380" t="s">
        <v>13</v>
      </c>
      <c r="E380" t="str">
        <f>"98277"</f>
        <v>98277</v>
      </c>
      <c r="F380" t="s">
        <v>171</v>
      </c>
      <c r="G380" t="s">
        <v>172</v>
      </c>
      <c r="I380" t="s">
        <v>170</v>
      </c>
      <c r="J380" t="s">
        <v>13</v>
      </c>
      <c r="K380" t="str">
        <f>"98277"</f>
        <v>98277</v>
      </c>
      <c r="L380">
        <v>40</v>
      </c>
      <c r="M380">
        <v>40</v>
      </c>
      <c r="N380">
        <v>0</v>
      </c>
    </row>
    <row r="381" spans="1:14" x14ac:dyDescent="0.25">
      <c r="A381" t="s">
        <v>2928</v>
      </c>
      <c r="B381" t="s">
        <v>2929</v>
      </c>
      <c r="C381" t="s">
        <v>2930</v>
      </c>
      <c r="D381" t="s">
        <v>13</v>
      </c>
      <c r="E381" t="str">
        <f>"98249"</f>
        <v>98249</v>
      </c>
      <c r="F381" t="s">
        <v>171</v>
      </c>
      <c r="G381" t="s">
        <v>2931</v>
      </c>
      <c r="I381" t="s">
        <v>1906</v>
      </c>
      <c r="J381" t="s">
        <v>433</v>
      </c>
      <c r="K381" t="str">
        <f>"95157"</f>
        <v>95157</v>
      </c>
      <c r="L381">
        <v>19</v>
      </c>
      <c r="M381">
        <v>19</v>
      </c>
      <c r="N381">
        <v>0</v>
      </c>
    </row>
    <row r="382" spans="1:14" x14ac:dyDescent="0.25">
      <c r="A382" t="s">
        <v>3916</v>
      </c>
      <c r="B382" t="s">
        <v>3917</v>
      </c>
      <c r="C382" t="s">
        <v>170</v>
      </c>
      <c r="D382" t="s">
        <v>13</v>
      </c>
      <c r="E382" t="str">
        <f>"98277"</f>
        <v>98277</v>
      </c>
      <c r="F382" t="s">
        <v>171</v>
      </c>
      <c r="G382" t="s">
        <v>3918</v>
      </c>
      <c r="I382" t="s">
        <v>37</v>
      </c>
      <c r="J382" t="s">
        <v>13</v>
      </c>
      <c r="K382" t="str">
        <f>"98029"</f>
        <v>98029</v>
      </c>
      <c r="L382">
        <v>19</v>
      </c>
      <c r="M382">
        <v>19</v>
      </c>
      <c r="N382">
        <v>0</v>
      </c>
    </row>
    <row r="383" spans="1:14" x14ac:dyDescent="0.25">
      <c r="A383" t="s">
        <v>173</v>
      </c>
      <c r="B383" t="s">
        <v>174</v>
      </c>
      <c r="C383" t="s">
        <v>170</v>
      </c>
      <c r="D383" t="s">
        <v>13</v>
      </c>
      <c r="E383" t="str">
        <f>"98277"</f>
        <v>98277</v>
      </c>
      <c r="F383" t="s">
        <v>171</v>
      </c>
      <c r="G383" t="s">
        <v>175</v>
      </c>
      <c r="I383" t="s">
        <v>170</v>
      </c>
      <c r="J383" t="s">
        <v>13</v>
      </c>
      <c r="K383" t="str">
        <f>"98277"</f>
        <v>98277</v>
      </c>
      <c r="L383">
        <v>12</v>
      </c>
      <c r="M383">
        <v>9</v>
      </c>
      <c r="N383">
        <v>3</v>
      </c>
    </row>
    <row r="384" spans="1:14" x14ac:dyDescent="0.25">
      <c r="A384" t="s">
        <v>2446</v>
      </c>
      <c r="B384" t="s">
        <v>2447</v>
      </c>
      <c r="C384" t="s">
        <v>170</v>
      </c>
      <c r="D384" t="s">
        <v>13</v>
      </c>
      <c r="E384" t="str">
        <f>"98277"</f>
        <v>98277</v>
      </c>
      <c r="F384" t="s">
        <v>171</v>
      </c>
      <c r="G384" t="s">
        <v>2448</v>
      </c>
      <c r="I384" t="s">
        <v>2449</v>
      </c>
      <c r="J384" t="s">
        <v>13</v>
      </c>
      <c r="K384" t="str">
        <f>"98050"</f>
        <v>98050</v>
      </c>
      <c r="L384">
        <v>87</v>
      </c>
      <c r="M384">
        <v>87</v>
      </c>
      <c r="N384">
        <v>0</v>
      </c>
    </row>
    <row r="385" spans="1:14" x14ac:dyDescent="0.25">
      <c r="A385" t="s">
        <v>2623</v>
      </c>
      <c r="B385" t="s">
        <v>2624</v>
      </c>
      <c r="C385" t="s">
        <v>665</v>
      </c>
      <c r="D385" t="s">
        <v>13</v>
      </c>
      <c r="E385" t="str">
        <f>"98239"</f>
        <v>98239</v>
      </c>
      <c r="F385" t="s">
        <v>171</v>
      </c>
      <c r="G385" t="s">
        <v>2625</v>
      </c>
      <c r="I385" t="s">
        <v>428</v>
      </c>
      <c r="J385" t="s">
        <v>13</v>
      </c>
      <c r="K385" t="str">
        <f>"98292"</f>
        <v>98292</v>
      </c>
      <c r="L385">
        <v>60</v>
      </c>
      <c r="M385">
        <v>58</v>
      </c>
      <c r="N385">
        <v>2</v>
      </c>
    </row>
    <row r="386" spans="1:14" x14ac:dyDescent="0.25">
      <c r="A386" t="s">
        <v>3850</v>
      </c>
      <c r="B386" t="s">
        <v>3851</v>
      </c>
      <c r="C386" t="s">
        <v>170</v>
      </c>
      <c r="D386" t="s">
        <v>13</v>
      </c>
      <c r="E386" t="str">
        <f>"98277"</f>
        <v>98277</v>
      </c>
      <c r="F386" t="s">
        <v>171</v>
      </c>
      <c r="G386" t="s">
        <v>2619</v>
      </c>
      <c r="I386" t="s">
        <v>2620</v>
      </c>
      <c r="J386" t="s">
        <v>433</v>
      </c>
      <c r="K386" t="str">
        <f>"94080"</f>
        <v>94080</v>
      </c>
      <c r="L386">
        <v>199</v>
      </c>
      <c r="M386">
        <v>199</v>
      </c>
      <c r="N386">
        <v>0</v>
      </c>
    </row>
    <row r="387" spans="1:14" x14ac:dyDescent="0.25">
      <c r="A387" t="s">
        <v>663</v>
      </c>
      <c r="B387" t="s">
        <v>664</v>
      </c>
      <c r="C387" t="s">
        <v>665</v>
      </c>
      <c r="D387" t="s">
        <v>13</v>
      </c>
      <c r="E387" t="str">
        <f>"98239"</f>
        <v>98239</v>
      </c>
      <c r="F387" t="s">
        <v>171</v>
      </c>
      <c r="G387" t="s">
        <v>666</v>
      </c>
      <c r="I387" t="s">
        <v>170</v>
      </c>
      <c r="J387" t="s">
        <v>13</v>
      </c>
      <c r="K387" t="str">
        <f>"98277"</f>
        <v>98277</v>
      </c>
      <c r="L387">
        <v>58</v>
      </c>
      <c r="M387">
        <v>58</v>
      </c>
      <c r="N387">
        <v>0</v>
      </c>
    </row>
    <row r="388" spans="1:14" x14ac:dyDescent="0.25">
      <c r="A388" t="s">
        <v>849</v>
      </c>
      <c r="B388" t="s">
        <v>1402</v>
      </c>
      <c r="C388" t="s">
        <v>665</v>
      </c>
      <c r="D388" t="s">
        <v>13</v>
      </c>
      <c r="E388" t="str">
        <f>"98239"</f>
        <v>98239</v>
      </c>
      <c r="F388" t="s">
        <v>171</v>
      </c>
      <c r="G388" t="s">
        <v>1403</v>
      </c>
      <c r="I388" t="s">
        <v>665</v>
      </c>
      <c r="J388" t="s">
        <v>13</v>
      </c>
      <c r="K388" t="str">
        <f>"98239"</f>
        <v>98239</v>
      </c>
      <c r="L388">
        <v>10</v>
      </c>
      <c r="M388">
        <v>10</v>
      </c>
      <c r="N388">
        <v>0</v>
      </c>
    </row>
    <row r="389" spans="1:14" x14ac:dyDescent="0.25">
      <c r="A389" t="s">
        <v>2256</v>
      </c>
      <c r="B389" t="s">
        <v>2257</v>
      </c>
      <c r="C389" t="s">
        <v>170</v>
      </c>
      <c r="D389" t="s">
        <v>13</v>
      </c>
      <c r="E389" t="str">
        <f>"98277"</f>
        <v>98277</v>
      </c>
      <c r="F389" t="s">
        <v>171</v>
      </c>
      <c r="G389" t="s">
        <v>2258</v>
      </c>
      <c r="I389" t="s">
        <v>41</v>
      </c>
      <c r="J389" t="s">
        <v>13</v>
      </c>
      <c r="K389" t="str">
        <f>"98270"</f>
        <v>98270</v>
      </c>
      <c r="L389">
        <v>47</v>
      </c>
      <c r="M389">
        <v>47</v>
      </c>
      <c r="N389">
        <v>0</v>
      </c>
    </row>
    <row r="390" spans="1:14" x14ac:dyDescent="0.25">
      <c r="A390" t="s">
        <v>2776</v>
      </c>
      <c r="B390" t="s">
        <v>2777</v>
      </c>
      <c r="C390" t="s">
        <v>170</v>
      </c>
      <c r="D390" t="s">
        <v>13</v>
      </c>
      <c r="E390" t="str">
        <f>"98277"</f>
        <v>98277</v>
      </c>
      <c r="F390" t="s">
        <v>171</v>
      </c>
      <c r="G390" t="s">
        <v>2778</v>
      </c>
      <c r="I390" t="s">
        <v>170</v>
      </c>
      <c r="J390" t="s">
        <v>13</v>
      </c>
      <c r="K390" t="str">
        <f>"98277"</f>
        <v>98277</v>
      </c>
      <c r="L390">
        <v>70</v>
      </c>
      <c r="M390">
        <v>51</v>
      </c>
      <c r="N390">
        <v>19</v>
      </c>
    </row>
    <row r="391" spans="1:14" x14ac:dyDescent="0.25">
      <c r="A391" t="s">
        <v>2079</v>
      </c>
      <c r="B391" t="s">
        <v>2080</v>
      </c>
      <c r="C391" t="s">
        <v>2081</v>
      </c>
      <c r="D391" t="s">
        <v>13</v>
      </c>
      <c r="E391" t="str">
        <f>"98236"</f>
        <v>98236</v>
      </c>
      <c r="F391" t="s">
        <v>171</v>
      </c>
      <c r="G391" t="s">
        <v>2082</v>
      </c>
      <c r="I391" t="s">
        <v>2081</v>
      </c>
      <c r="J391" t="s">
        <v>13</v>
      </c>
      <c r="K391" t="str">
        <f>"98236"</f>
        <v>98236</v>
      </c>
      <c r="L391">
        <v>45</v>
      </c>
      <c r="M391">
        <v>45</v>
      </c>
      <c r="N391">
        <v>0</v>
      </c>
    </row>
    <row r="392" spans="1:14" x14ac:dyDescent="0.25">
      <c r="A392" t="s">
        <v>1167</v>
      </c>
      <c r="B392" t="s">
        <v>1168</v>
      </c>
      <c r="C392" t="s">
        <v>170</v>
      </c>
      <c r="D392" t="s">
        <v>13</v>
      </c>
      <c r="E392" t="str">
        <f>"98277"</f>
        <v>98277</v>
      </c>
      <c r="F392" t="s">
        <v>171</v>
      </c>
      <c r="G392" t="s">
        <v>1169</v>
      </c>
      <c r="H392" t="s">
        <v>1170</v>
      </c>
      <c r="I392" t="s">
        <v>886</v>
      </c>
      <c r="K392" t="str">
        <f>"     "</f>
        <v xml:space="preserve">     </v>
      </c>
      <c r="L392">
        <v>112</v>
      </c>
      <c r="M392">
        <v>104</v>
      </c>
      <c r="N392">
        <v>8</v>
      </c>
    </row>
    <row r="393" spans="1:14" x14ac:dyDescent="0.25">
      <c r="A393" t="s">
        <v>1859</v>
      </c>
      <c r="B393" t="s">
        <v>1860</v>
      </c>
      <c r="C393" t="s">
        <v>1861</v>
      </c>
      <c r="D393" t="s">
        <v>13</v>
      </c>
      <c r="E393" t="str">
        <f>"98260"</f>
        <v>98260</v>
      </c>
      <c r="F393" t="s">
        <v>171</v>
      </c>
      <c r="G393" t="s">
        <v>1862</v>
      </c>
      <c r="I393" t="s">
        <v>437</v>
      </c>
      <c r="J393" t="s">
        <v>13</v>
      </c>
      <c r="K393" t="str">
        <f>"98026"</f>
        <v>98026</v>
      </c>
      <c r="L393">
        <v>39</v>
      </c>
      <c r="M393">
        <v>39</v>
      </c>
      <c r="N393">
        <v>0</v>
      </c>
    </row>
    <row r="394" spans="1:14" x14ac:dyDescent="0.25">
      <c r="A394" t="s">
        <v>786</v>
      </c>
      <c r="B394" t="s">
        <v>787</v>
      </c>
      <c r="C394" t="s">
        <v>515</v>
      </c>
      <c r="D394" t="s">
        <v>13</v>
      </c>
      <c r="E394" t="str">
        <f>"98339"</f>
        <v>98339</v>
      </c>
      <c r="F394" t="s">
        <v>516</v>
      </c>
      <c r="G394" t="s">
        <v>788</v>
      </c>
      <c r="I394" t="s">
        <v>515</v>
      </c>
      <c r="J394" t="s">
        <v>13</v>
      </c>
      <c r="K394" t="str">
        <f>"98339"</f>
        <v>98339</v>
      </c>
      <c r="L394">
        <v>77</v>
      </c>
      <c r="M394">
        <v>74</v>
      </c>
      <c r="N394">
        <v>3</v>
      </c>
    </row>
    <row r="395" spans="1:14" x14ac:dyDescent="0.25">
      <c r="A395" t="s">
        <v>513</v>
      </c>
      <c r="B395" t="s">
        <v>514</v>
      </c>
      <c r="C395" t="s">
        <v>515</v>
      </c>
      <c r="D395" t="s">
        <v>13</v>
      </c>
      <c r="E395" t="str">
        <f>"98339"</f>
        <v>98339</v>
      </c>
      <c r="F395" t="s">
        <v>516</v>
      </c>
      <c r="G395" t="s">
        <v>517</v>
      </c>
      <c r="I395" t="s">
        <v>515</v>
      </c>
      <c r="J395" t="s">
        <v>13</v>
      </c>
      <c r="K395" t="str">
        <f>"98339"</f>
        <v>98339</v>
      </c>
      <c r="L395">
        <v>24</v>
      </c>
      <c r="M395">
        <v>2</v>
      </c>
      <c r="N395">
        <v>22</v>
      </c>
    </row>
    <row r="396" spans="1:14" x14ac:dyDescent="0.25">
      <c r="A396" t="s">
        <v>518</v>
      </c>
      <c r="B396" t="s">
        <v>519</v>
      </c>
      <c r="C396" t="s">
        <v>515</v>
      </c>
      <c r="D396" t="s">
        <v>13</v>
      </c>
      <c r="E396" t="str">
        <f>"98339"</f>
        <v>98339</v>
      </c>
      <c r="F396" t="s">
        <v>516</v>
      </c>
      <c r="G396" t="s">
        <v>520</v>
      </c>
      <c r="I396" t="s">
        <v>521</v>
      </c>
      <c r="J396" t="s">
        <v>13</v>
      </c>
      <c r="K396" t="str">
        <f>"98365"</f>
        <v>98365</v>
      </c>
      <c r="L396">
        <v>18</v>
      </c>
      <c r="M396">
        <v>1</v>
      </c>
      <c r="N396">
        <v>17</v>
      </c>
    </row>
    <row r="397" spans="1:14" x14ac:dyDescent="0.25">
      <c r="A397" t="s">
        <v>3801</v>
      </c>
      <c r="B397" t="s">
        <v>3802</v>
      </c>
      <c r="C397" t="s">
        <v>1138</v>
      </c>
      <c r="D397" t="s">
        <v>13</v>
      </c>
      <c r="E397" t="str">
        <f>"98368"</f>
        <v>98368</v>
      </c>
      <c r="F397" t="s">
        <v>516</v>
      </c>
      <c r="G397" t="s">
        <v>3803</v>
      </c>
      <c r="I397" t="s">
        <v>366</v>
      </c>
      <c r="J397" t="s">
        <v>13</v>
      </c>
      <c r="K397" t="str">
        <f>"98367"</f>
        <v>98367</v>
      </c>
      <c r="L397">
        <v>13</v>
      </c>
      <c r="M397">
        <v>13</v>
      </c>
      <c r="N397">
        <v>0</v>
      </c>
    </row>
    <row r="398" spans="1:14" x14ac:dyDescent="0.25">
      <c r="A398" t="s">
        <v>1674</v>
      </c>
      <c r="B398" t="s">
        <v>1675</v>
      </c>
      <c r="C398" t="s">
        <v>515</v>
      </c>
      <c r="D398" t="s">
        <v>13</v>
      </c>
      <c r="E398" t="str">
        <f>"98339"</f>
        <v>98339</v>
      </c>
      <c r="F398" t="s">
        <v>516</v>
      </c>
      <c r="G398" t="s">
        <v>1675</v>
      </c>
      <c r="I398" t="s">
        <v>515</v>
      </c>
      <c r="J398" t="s">
        <v>13</v>
      </c>
      <c r="K398" t="str">
        <f>"98339"</f>
        <v>98339</v>
      </c>
      <c r="L398">
        <v>53</v>
      </c>
      <c r="M398">
        <v>6</v>
      </c>
      <c r="N398">
        <v>47</v>
      </c>
    </row>
    <row r="399" spans="1:14" x14ac:dyDescent="0.25">
      <c r="A399" t="s">
        <v>4029</v>
      </c>
      <c r="B399" t="s">
        <v>4030</v>
      </c>
      <c r="C399" t="s">
        <v>1138</v>
      </c>
      <c r="D399" t="s">
        <v>13</v>
      </c>
      <c r="E399" t="str">
        <f>"98368"</f>
        <v>98368</v>
      </c>
      <c r="F399" t="s">
        <v>516</v>
      </c>
      <c r="G399" t="s">
        <v>4031</v>
      </c>
      <c r="I399" t="s">
        <v>132</v>
      </c>
      <c r="J399" t="s">
        <v>13</v>
      </c>
      <c r="K399" t="str">
        <f>"98382"</f>
        <v>98382</v>
      </c>
      <c r="L399">
        <v>76</v>
      </c>
      <c r="M399">
        <v>74</v>
      </c>
      <c r="N399">
        <v>2</v>
      </c>
    </row>
    <row r="400" spans="1:14" x14ac:dyDescent="0.25">
      <c r="A400" t="s">
        <v>3568</v>
      </c>
      <c r="B400" t="s">
        <v>3569</v>
      </c>
      <c r="C400" t="s">
        <v>1138</v>
      </c>
      <c r="D400" t="s">
        <v>13</v>
      </c>
      <c r="E400" t="str">
        <f>"98368"</f>
        <v>98368</v>
      </c>
      <c r="F400" t="s">
        <v>516</v>
      </c>
      <c r="G400" t="s">
        <v>3569</v>
      </c>
      <c r="I400" t="s">
        <v>1138</v>
      </c>
      <c r="J400" t="s">
        <v>13</v>
      </c>
      <c r="K400" t="str">
        <f>"98368"</f>
        <v>98368</v>
      </c>
      <c r="L400">
        <v>43</v>
      </c>
      <c r="M400">
        <v>43</v>
      </c>
      <c r="N400">
        <v>0</v>
      </c>
    </row>
    <row r="401" spans="1:14" x14ac:dyDescent="0.25">
      <c r="A401" t="s">
        <v>1135</v>
      </c>
      <c r="B401" t="s">
        <v>1136</v>
      </c>
      <c r="C401" t="s">
        <v>515</v>
      </c>
      <c r="D401" t="s">
        <v>13</v>
      </c>
      <c r="E401" t="str">
        <f>"98339"</f>
        <v>98339</v>
      </c>
      <c r="F401" t="s">
        <v>516</v>
      </c>
      <c r="G401" t="s">
        <v>1137</v>
      </c>
      <c r="I401" t="s">
        <v>1138</v>
      </c>
      <c r="J401" t="s">
        <v>13</v>
      </c>
      <c r="K401" t="str">
        <f>"98368"</f>
        <v>98368</v>
      </c>
      <c r="L401">
        <v>45</v>
      </c>
      <c r="M401">
        <v>28</v>
      </c>
      <c r="N401">
        <v>17</v>
      </c>
    </row>
    <row r="402" spans="1:14" x14ac:dyDescent="0.25">
      <c r="A402" t="s">
        <v>3882</v>
      </c>
      <c r="B402" t="s">
        <v>3883</v>
      </c>
      <c r="C402" t="s">
        <v>1138</v>
      </c>
      <c r="D402" t="s">
        <v>13</v>
      </c>
      <c r="E402" t="str">
        <f>"98368"</f>
        <v>98368</v>
      </c>
      <c r="F402" t="s">
        <v>516</v>
      </c>
      <c r="G402" t="s">
        <v>3884</v>
      </c>
      <c r="I402" t="s">
        <v>605</v>
      </c>
      <c r="J402" t="s">
        <v>13</v>
      </c>
      <c r="K402" t="str">
        <f>"98005"</f>
        <v>98005</v>
      </c>
      <c r="L402">
        <v>33</v>
      </c>
      <c r="M402">
        <v>13</v>
      </c>
      <c r="N402">
        <v>20</v>
      </c>
    </row>
    <row r="403" spans="1:14" x14ac:dyDescent="0.25">
      <c r="A403" t="s">
        <v>3744</v>
      </c>
      <c r="B403" t="s">
        <v>3745</v>
      </c>
      <c r="C403" t="s">
        <v>3746</v>
      </c>
      <c r="D403" t="s">
        <v>13</v>
      </c>
      <c r="E403" t="str">
        <f>"98320"</f>
        <v>98320</v>
      </c>
      <c r="F403" t="s">
        <v>516</v>
      </c>
      <c r="G403" t="s">
        <v>3747</v>
      </c>
      <c r="I403" t="s">
        <v>3746</v>
      </c>
      <c r="J403" t="s">
        <v>13</v>
      </c>
      <c r="K403" t="str">
        <f>"98320"</f>
        <v>98320</v>
      </c>
      <c r="L403">
        <v>8</v>
      </c>
      <c r="M403">
        <v>5</v>
      </c>
      <c r="N403">
        <v>3</v>
      </c>
    </row>
    <row r="404" spans="1:14" x14ac:dyDescent="0.25">
      <c r="A404" t="s">
        <v>2598</v>
      </c>
      <c r="B404" t="s">
        <v>2599</v>
      </c>
      <c r="C404" t="s">
        <v>2600</v>
      </c>
      <c r="D404" t="s">
        <v>13</v>
      </c>
      <c r="E404" t="str">
        <f>"98376"</f>
        <v>98376</v>
      </c>
      <c r="F404" t="s">
        <v>516</v>
      </c>
      <c r="G404" t="s">
        <v>2601</v>
      </c>
      <c r="I404" t="s">
        <v>2600</v>
      </c>
      <c r="J404" t="s">
        <v>13</v>
      </c>
      <c r="K404" t="str">
        <f>"98376"</f>
        <v>98376</v>
      </c>
      <c r="L404">
        <v>13</v>
      </c>
      <c r="M404">
        <v>13</v>
      </c>
      <c r="N404">
        <v>0</v>
      </c>
    </row>
    <row r="405" spans="1:14" x14ac:dyDescent="0.25">
      <c r="A405" t="s">
        <v>2346</v>
      </c>
      <c r="B405" t="s">
        <v>2347</v>
      </c>
      <c r="C405" t="s">
        <v>37</v>
      </c>
      <c r="D405" t="s">
        <v>13</v>
      </c>
      <c r="E405" t="str">
        <f>"98027"</f>
        <v>98027</v>
      </c>
      <c r="F405" t="s">
        <v>38</v>
      </c>
      <c r="G405" t="s">
        <v>2347</v>
      </c>
      <c r="I405" t="s">
        <v>37</v>
      </c>
      <c r="J405" t="s">
        <v>13</v>
      </c>
      <c r="K405" t="str">
        <f>"98027"</f>
        <v>98027</v>
      </c>
      <c r="L405">
        <v>46</v>
      </c>
      <c r="M405">
        <v>46</v>
      </c>
      <c r="N405">
        <v>0</v>
      </c>
    </row>
    <row r="406" spans="1:14" x14ac:dyDescent="0.25">
      <c r="A406" t="s">
        <v>1481</v>
      </c>
      <c r="B406" t="s">
        <v>1482</v>
      </c>
      <c r="C406" t="s">
        <v>110</v>
      </c>
      <c r="D406" t="s">
        <v>13</v>
      </c>
      <c r="E406" t="str">
        <f>"98198"</f>
        <v>98198</v>
      </c>
      <c r="F406" t="s">
        <v>38</v>
      </c>
      <c r="G406" t="s">
        <v>1483</v>
      </c>
      <c r="I406" t="s">
        <v>1484</v>
      </c>
      <c r="J406" t="s">
        <v>13</v>
      </c>
      <c r="K406" t="str">
        <f>"98033"</f>
        <v>98033</v>
      </c>
      <c r="L406">
        <v>65</v>
      </c>
      <c r="M406">
        <v>65</v>
      </c>
      <c r="N406">
        <v>0</v>
      </c>
    </row>
    <row r="407" spans="1:14" x14ac:dyDescent="0.25">
      <c r="A407" t="s">
        <v>3923</v>
      </c>
      <c r="B407" t="s">
        <v>3924</v>
      </c>
      <c r="C407" t="s">
        <v>3279</v>
      </c>
      <c r="D407" t="s">
        <v>13</v>
      </c>
      <c r="E407" t="str">
        <f>"98166"</f>
        <v>98166</v>
      </c>
      <c r="F407" t="s">
        <v>38</v>
      </c>
      <c r="G407" t="s">
        <v>3925</v>
      </c>
      <c r="I407" t="s">
        <v>3926</v>
      </c>
      <c r="J407" t="s">
        <v>13</v>
      </c>
      <c r="K407" t="str">
        <f>"98062"</f>
        <v>98062</v>
      </c>
      <c r="L407">
        <v>10</v>
      </c>
      <c r="M407">
        <v>10</v>
      </c>
      <c r="N407">
        <v>0</v>
      </c>
    </row>
    <row r="408" spans="1:14" x14ac:dyDescent="0.25">
      <c r="A408" t="s">
        <v>2433</v>
      </c>
      <c r="B408" t="s">
        <v>2434</v>
      </c>
      <c r="C408" t="s">
        <v>297</v>
      </c>
      <c r="D408" t="s">
        <v>13</v>
      </c>
      <c r="E408" t="str">
        <f>"98002"</f>
        <v>98002</v>
      </c>
      <c r="F408" t="s">
        <v>38</v>
      </c>
      <c r="G408" t="s">
        <v>2435</v>
      </c>
      <c r="I408" t="s">
        <v>1522</v>
      </c>
      <c r="J408" t="s">
        <v>433</v>
      </c>
      <c r="K408" t="str">
        <f>"92614"</f>
        <v>92614</v>
      </c>
      <c r="L408">
        <v>100</v>
      </c>
      <c r="M408">
        <v>98</v>
      </c>
      <c r="N408">
        <v>2</v>
      </c>
    </row>
    <row r="409" spans="1:14" x14ac:dyDescent="0.25">
      <c r="A409" t="s">
        <v>2867</v>
      </c>
      <c r="B409" t="s">
        <v>2868</v>
      </c>
      <c r="C409" t="s">
        <v>297</v>
      </c>
      <c r="D409" t="s">
        <v>13</v>
      </c>
      <c r="E409" t="str">
        <f>"98092"</f>
        <v>98092</v>
      </c>
      <c r="F409" t="s">
        <v>38</v>
      </c>
      <c r="G409" t="s">
        <v>2869</v>
      </c>
      <c r="I409" t="s">
        <v>2870</v>
      </c>
      <c r="J409" t="s">
        <v>13</v>
      </c>
      <c r="K409" t="str">
        <f>"98004"</f>
        <v>98004</v>
      </c>
      <c r="L409">
        <v>99</v>
      </c>
      <c r="M409">
        <v>97</v>
      </c>
      <c r="N409">
        <v>2</v>
      </c>
    </row>
    <row r="410" spans="1:14" x14ac:dyDescent="0.25">
      <c r="A410" t="s">
        <v>1340</v>
      </c>
      <c r="B410" t="s">
        <v>1341</v>
      </c>
      <c r="C410" t="s">
        <v>297</v>
      </c>
      <c r="D410" t="s">
        <v>13</v>
      </c>
      <c r="E410" t="str">
        <f>"98002"</f>
        <v>98002</v>
      </c>
      <c r="F410" t="s">
        <v>38</v>
      </c>
      <c r="G410" t="s">
        <v>1342</v>
      </c>
      <c r="I410" t="s">
        <v>1343</v>
      </c>
      <c r="J410" t="s">
        <v>433</v>
      </c>
      <c r="K410" t="str">
        <f>"92626"</f>
        <v>92626</v>
      </c>
      <c r="L410">
        <v>148</v>
      </c>
      <c r="M410">
        <v>131</v>
      </c>
      <c r="N410">
        <v>17</v>
      </c>
    </row>
    <row r="411" spans="1:14" x14ac:dyDescent="0.25">
      <c r="A411" t="s">
        <v>2871</v>
      </c>
      <c r="B411" t="s">
        <v>2872</v>
      </c>
      <c r="C411" t="s">
        <v>297</v>
      </c>
      <c r="D411" t="s">
        <v>13</v>
      </c>
      <c r="E411" t="str">
        <f>"98002"</f>
        <v>98002</v>
      </c>
      <c r="F411" t="s">
        <v>38</v>
      </c>
      <c r="G411" t="s">
        <v>2869</v>
      </c>
      <c r="I411" t="s">
        <v>2870</v>
      </c>
      <c r="J411" t="s">
        <v>13</v>
      </c>
      <c r="K411" t="str">
        <f>"98004"</f>
        <v>98004</v>
      </c>
      <c r="L411">
        <v>89</v>
      </c>
      <c r="M411">
        <v>80</v>
      </c>
      <c r="N411">
        <v>9</v>
      </c>
    </row>
    <row r="412" spans="1:14" x14ac:dyDescent="0.25">
      <c r="A412" t="s">
        <v>1115</v>
      </c>
      <c r="B412" t="s">
        <v>1116</v>
      </c>
      <c r="C412" t="s">
        <v>501</v>
      </c>
      <c r="D412" t="s">
        <v>13</v>
      </c>
      <c r="E412" t="str">
        <f>"98052"</f>
        <v>98052</v>
      </c>
      <c r="F412" t="s">
        <v>38</v>
      </c>
      <c r="G412" t="s">
        <v>106</v>
      </c>
      <c r="I412" t="s">
        <v>107</v>
      </c>
      <c r="J412" t="s">
        <v>13</v>
      </c>
      <c r="K412" t="str">
        <f>"98122"</f>
        <v>98122</v>
      </c>
      <c r="L412">
        <v>111</v>
      </c>
      <c r="M412">
        <v>83</v>
      </c>
      <c r="N412">
        <v>28</v>
      </c>
    </row>
    <row r="413" spans="1:14" x14ac:dyDescent="0.25">
      <c r="A413" t="s">
        <v>559</v>
      </c>
      <c r="B413" t="s">
        <v>560</v>
      </c>
      <c r="C413" t="s">
        <v>561</v>
      </c>
      <c r="D413" t="s">
        <v>13</v>
      </c>
      <c r="E413" t="str">
        <f>"98028"</f>
        <v>98028</v>
      </c>
      <c r="F413" t="s">
        <v>38</v>
      </c>
      <c r="G413" t="s">
        <v>560</v>
      </c>
      <c r="I413" t="s">
        <v>561</v>
      </c>
      <c r="J413" t="s">
        <v>13</v>
      </c>
      <c r="K413" t="str">
        <f>"98028"</f>
        <v>98028</v>
      </c>
      <c r="L413">
        <v>18</v>
      </c>
      <c r="M413">
        <v>18</v>
      </c>
      <c r="N413">
        <v>0</v>
      </c>
    </row>
    <row r="414" spans="1:14" x14ac:dyDescent="0.25">
      <c r="A414" t="s">
        <v>429</v>
      </c>
      <c r="B414" t="s">
        <v>430</v>
      </c>
      <c r="C414" t="s">
        <v>107</v>
      </c>
      <c r="D414" t="s">
        <v>13</v>
      </c>
      <c r="E414" t="str">
        <f>"98133"</f>
        <v>98133</v>
      </c>
      <c r="F414" t="s">
        <v>38</v>
      </c>
      <c r="G414" t="s">
        <v>431</v>
      </c>
      <c r="I414" t="s">
        <v>432</v>
      </c>
      <c r="J414" t="s">
        <v>433</v>
      </c>
      <c r="K414" t="str">
        <f>"90403"</f>
        <v>90403</v>
      </c>
      <c r="L414">
        <v>67</v>
      </c>
      <c r="M414">
        <v>65</v>
      </c>
      <c r="N414">
        <v>2</v>
      </c>
    </row>
    <row r="415" spans="1:14" x14ac:dyDescent="0.25">
      <c r="A415" t="s">
        <v>737</v>
      </c>
      <c r="B415" t="s">
        <v>738</v>
      </c>
      <c r="C415" t="s">
        <v>681</v>
      </c>
      <c r="D415" t="s">
        <v>13</v>
      </c>
      <c r="E415" t="str">
        <f>"98003"</f>
        <v>98003</v>
      </c>
      <c r="F415" t="s">
        <v>38</v>
      </c>
      <c r="G415" t="s">
        <v>738</v>
      </c>
      <c r="I415" t="s">
        <v>681</v>
      </c>
      <c r="J415" t="s">
        <v>13</v>
      </c>
      <c r="K415" t="str">
        <f>"98003"</f>
        <v>98003</v>
      </c>
      <c r="L415">
        <v>339</v>
      </c>
      <c r="M415">
        <v>339</v>
      </c>
      <c r="N415">
        <v>0</v>
      </c>
    </row>
    <row r="416" spans="1:14" x14ac:dyDescent="0.25">
      <c r="A416" t="s">
        <v>3966</v>
      </c>
      <c r="B416" t="s">
        <v>738</v>
      </c>
      <c r="C416" t="s">
        <v>681</v>
      </c>
      <c r="D416" t="s">
        <v>13</v>
      </c>
      <c r="E416" t="str">
        <f>"98003"</f>
        <v>98003</v>
      </c>
      <c r="F416" t="s">
        <v>38</v>
      </c>
      <c r="G416" t="s">
        <v>738</v>
      </c>
      <c r="I416" t="s">
        <v>681</v>
      </c>
      <c r="J416" t="s">
        <v>13</v>
      </c>
      <c r="K416" t="str">
        <f>"98003"</f>
        <v>98003</v>
      </c>
      <c r="L416">
        <v>336</v>
      </c>
      <c r="M416">
        <v>284</v>
      </c>
      <c r="N416">
        <v>52</v>
      </c>
    </row>
    <row r="417" spans="1:14" x14ac:dyDescent="0.25">
      <c r="A417" t="s">
        <v>2774</v>
      </c>
      <c r="B417" t="s">
        <v>2775</v>
      </c>
      <c r="C417" t="s">
        <v>359</v>
      </c>
      <c r="D417" t="s">
        <v>13</v>
      </c>
      <c r="E417" t="str">
        <f>"98031"</f>
        <v>98031</v>
      </c>
      <c r="F417" t="s">
        <v>38</v>
      </c>
      <c r="G417" t="s">
        <v>2686</v>
      </c>
      <c r="I417" t="s">
        <v>2687</v>
      </c>
      <c r="J417" t="s">
        <v>433</v>
      </c>
      <c r="K417" t="str">
        <f>"93455"</f>
        <v>93455</v>
      </c>
      <c r="L417">
        <v>39</v>
      </c>
      <c r="M417">
        <v>39</v>
      </c>
      <c r="N417">
        <v>0</v>
      </c>
    </row>
    <row r="418" spans="1:14" x14ac:dyDescent="0.25">
      <c r="A418" t="s">
        <v>2193</v>
      </c>
      <c r="B418" t="s">
        <v>2194</v>
      </c>
      <c r="C418" t="s">
        <v>2128</v>
      </c>
      <c r="D418" t="s">
        <v>13</v>
      </c>
      <c r="E418" t="str">
        <f>"98198"</f>
        <v>98198</v>
      </c>
      <c r="F418" t="s">
        <v>38</v>
      </c>
      <c r="G418" t="s">
        <v>2195</v>
      </c>
      <c r="I418" t="s">
        <v>605</v>
      </c>
      <c r="J418" t="s">
        <v>13</v>
      </c>
      <c r="K418" t="str">
        <f>"98008"</f>
        <v>98008</v>
      </c>
      <c r="L418">
        <v>18</v>
      </c>
      <c r="M418">
        <v>14</v>
      </c>
      <c r="N418">
        <v>4</v>
      </c>
    </row>
    <row r="419" spans="1:14" x14ac:dyDescent="0.25">
      <c r="A419" t="s">
        <v>1123</v>
      </c>
      <c r="B419" t="s">
        <v>1124</v>
      </c>
      <c r="C419" t="s">
        <v>359</v>
      </c>
      <c r="D419" t="s">
        <v>13</v>
      </c>
      <c r="E419" t="str">
        <f>"98032"</f>
        <v>98032</v>
      </c>
      <c r="F419" t="s">
        <v>38</v>
      </c>
      <c r="G419" t="s">
        <v>106</v>
      </c>
      <c r="I419" t="s">
        <v>107</v>
      </c>
      <c r="J419" t="s">
        <v>13</v>
      </c>
      <c r="K419" t="str">
        <f>"98122"</f>
        <v>98122</v>
      </c>
      <c r="L419">
        <v>107</v>
      </c>
      <c r="M419">
        <v>105</v>
      </c>
      <c r="N419">
        <v>2</v>
      </c>
    </row>
    <row r="420" spans="1:14" x14ac:dyDescent="0.25">
      <c r="A420" t="s">
        <v>108</v>
      </c>
      <c r="B420" t="s">
        <v>109</v>
      </c>
      <c r="C420" t="s">
        <v>110</v>
      </c>
      <c r="D420" t="s">
        <v>13</v>
      </c>
      <c r="E420" t="str">
        <f>"98188"</f>
        <v>98188</v>
      </c>
      <c r="F420" t="s">
        <v>38</v>
      </c>
      <c r="G420" t="s">
        <v>111</v>
      </c>
      <c r="I420" t="s">
        <v>107</v>
      </c>
      <c r="J420" t="s">
        <v>13</v>
      </c>
      <c r="K420" t="str">
        <f>"98105"</f>
        <v>98105</v>
      </c>
      <c r="L420">
        <v>447</v>
      </c>
      <c r="M420">
        <v>407</v>
      </c>
      <c r="N420">
        <v>40</v>
      </c>
    </row>
    <row r="421" spans="1:14" x14ac:dyDescent="0.25">
      <c r="A421" t="s">
        <v>1015</v>
      </c>
      <c r="B421" t="s">
        <v>1016</v>
      </c>
      <c r="C421" t="s">
        <v>107</v>
      </c>
      <c r="D421" t="s">
        <v>13</v>
      </c>
      <c r="E421" t="str">
        <f>"98178"</f>
        <v>98178</v>
      </c>
      <c r="F421" t="s">
        <v>38</v>
      </c>
      <c r="G421" t="s">
        <v>1017</v>
      </c>
      <c r="I421" t="s">
        <v>43</v>
      </c>
      <c r="J421" t="s">
        <v>13</v>
      </c>
      <c r="K421" t="str">
        <f>"98040"</f>
        <v>98040</v>
      </c>
      <c r="L421">
        <v>27</v>
      </c>
      <c r="M421">
        <v>27</v>
      </c>
      <c r="N421">
        <v>0</v>
      </c>
    </row>
    <row r="422" spans="1:14" x14ac:dyDescent="0.25">
      <c r="A422" t="s">
        <v>803</v>
      </c>
      <c r="B422" t="s">
        <v>804</v>
      </c>
      <c r="C422" t="s">
        <v>681</v>
      </c>
      <c r="D422" t="s">
        <v>13</v>
      </c>
      <c r="E422" t="str">
        <f>"98003"</f>
        <v>98003</v>
      </c>
      <c r="F422" t="s">
        <v>38</v>
      </c>
      <c r="G422" t="s">
        <v>805</v>
      </c>
      <c r="H422" t="s">
        <v>804</v>
      </c>
      <c r="I422" t="s">
        <v>681</v>
      </c>
      <c r="J422" t="s">
        <v>13</v>
      </c>
      <c r="K422" t="str">
        <f>"98003"</f>
        <v>98003</v>
      </c>
      <c r="L422">
        <v>400</v>
      </c>
      <c r="M422">
        <v>397</v>
      </c>
      <c r="N422">
        <v>3</v>
      </c>
    </row>
    <row r="423" spans="1:14" x14ac:dyDescent="0.25">
      <c r="A423" t="s">
        <v>2054</v>
      </c>
      <c r="B423" t="s">
        <v>2055</v>
      </c>
      <c r="C423" t="s">
        <v>302</v>
      </c>
      <c r="D423" t="s">
        <v>13</v>
      </c>
      <c r="E423" t="str">
        <f>"98168"</f>
        <v>98168</v>
      </c>
      <c r="F423" t="s">
        <v>38</v>
      </c>
      <c r="G423" t="s">
        <v>2056</v>
      </c>
      <c r="I423" t="s">
        <v>200</v>
      </c>
      <c r="J423" t="s">
        <v>13</v>
      </c>
      <c r="K423" t="str">
        <f>"98166"</f>
        <v>98166</v>
      </c>
      <c r="L423">
        <v>20</v>
      </c>
      <c r="M423">
        <v>1</v>
      </c>
      <c r="N423">
        <v>19</v>
      </c>
    </row>
    <row r="424" spans="1:14" x14ac:dyDescent="0.25">
      <c r="A424" t="s">
        <v>899</v>
      </c>
      <c r="B424" t="s">
        <v>900</v>
      </c>
      <c r="C424" t="s">
        <v>359</v>
      </c>
      <c r="D424" t="s">
        <v>13</v>
      </c>
      <c r="E424" t="str">
        <f>"98031"</f>
        <v>98031</v>
      </c>
      <c r="F424" t="s">
        <v>38</v>
      </c>
      <c r="G424" t="s">
        <v>901</v>
      </c>
      <c r="H424" t="s">
        <v>902</v>
      </c>
      <c r="I424" t="s">
        <v>903</v>
      </c>
      <c r="J424" t="s">
        <v>433</v>
      </c>
      <c r="K424" t="str">
        <f>"96145"</f>
        <v>96145</v>
      </c>
      <c r="L424">
        <v>92</v>
      </c>
      <c r="M424">
        <v>92</v>
      </c>
      <c r="N424">
        <v>0</v>
      </c>
    </row>
    <row r="425" spans="1:14" x14ac:dyDescent="0.25">
      <c r="A425" t="s">
        <v>776</v>
      </c>
      <c r="B425" t="s">
        <v>777</v>
      </c>
      <c r="C425" t="s">
        <v>443</v>
      </c>
      <c r="D425" t="s">
        <v>13</v>
      </c>
      <c r="E425" t="str">
        <f>"98014"</f>
        <v>98014</v>
      </c>
      <c r="F425" t="s">
        <v>38</v>
      </c>
      <c r="G425" t="s">
        <v>778</v>
      </c>
      <c r="I425" t="s">
        <v>779</v>
      </c>
      <c r="J425" t="s">
        <v>13</v>
      </c>
      <c r="K425" t="str">
        <f>"98036"</f>
        <v>98036</v>
      </c>
      <c r="L425">
        <v>42</v>
      </c>
      <c r="M425">
        <v>41</v>
      </c>
      <c r="N425">
        <v>1</v>
      </c>
    </row>
    <row r="426" spans="1:14" x14ac:dyDescent="0.25">
      <c r="A426" t="s">
        <v>3536</v>
      </c>
      <c r="B426" t="s">
        <v>3537</v>
      </c>
      <c r="C426" t="s">
        <v>359</v>
      </c>
      <c r="D426" t="s">
        <v>13</v>
      </c>
      <c r="E426" t="str">
        <f>"98042"</f>
        <v>98042</v>
      </c>
      <c r="F426" t="s">
        <v>38</v>
      </c>
      <c r="G426" t="s">
        <v>2594</v>
      </c>
      <c r="I426" t="s">
        <v>2595</v>
      </c>
      <c r="J426" t="s">
        <v>13</v>
      </c>
      <c r="K426" t="str">
        <f>"98038"</f>
        <v>98038</v>
      </c>
      <c r="L426">
        <v>117</v>
      </c>
      <c r="M426">
        <v>117</v>
      </c>
      <c r="N426">
        <v>0</v>
      </c>
    </row>
    <row r="427" spans="1:14" x14ac:dyDescent="0.25">
      <c r="A427" t="s">
        <v>2472</v>
      </c>
      <c r="B427" t="s">
        <v>2473</v>
      </c>
      <c r="C427" t="s">
        <v>300</v>
      </c>
      <c r="D427" t="s">
        <v>13</v>
      </c>
      <c r="E427" t="str">
        <f>"98010"</f>
        <v>98010</v>
      </c>
      <c r="F427" t="s">
        <v>38</v>
      </c>
      <c r="G427" t="s">
        <v>2474</v>
      </c>
      <c r="I427" t="s">
        <v>107</v>
      </c>
      <c r="J427" t="s">
        <v>13</v>
      </c>
      <c r="K427" t="str">
        <f>"98122"</f>
        <v>98122</v>
      </c>
      <c r="L427">
        <v>121</v>
      </c>
      <c r="M427">
        <v>89</v>
      </c>
      <c r="N427">
        <v>32</v>
      </c>
    </row>
    <row r="428" spans="1:14" x14ac:dyDescent="0.25">
      <c r="A428" t="s">
        <v>1993</v>
      </c>
      <c r="B428" t="s">
        <v>1994</v>
      </c>
      <c r="C428" t="s">
        <v>68</v>
      </c>
      <c r="D428" t="s">
        <v>13</v>
      </c>
      <c r="E428" t="str">
        <f>"98047"</f>
        <v>98047</v>
      </c>
      <c r="F428" t="s">
        <v>38</v>
      </c>
      <c r="G428" t="s">
        <v>1995</v>
      </c>
      <c r="I428" t="s">
        <v>43</v>
      </c>
      <c r="J428" t="s">
        <v>13</v>
      </c>
      <c r="K428" t="str">
        <f>"98040"</f>
        <v>98040</v>
      </c>
      <c r="L428">
        <v>17</v>
      </c>
      <c r="M428">
        <v>13</v>
      </c>
      <c r="N428">
        <v>4</v>
      </c>
    </row>
    <row r="429" spans="1:14" x14ac:dyDescent="0.25">
      <c r="A429" t="s">
        <v>2099</v>
      </c>
      <c r="B429" t="s">
        <v>2100</v>
      </c>
      <c r="C429" t="s">
        <v>681</v>
      </c>
      <c r="D429" t="s">
        <v>13</v>
      </c>
      <c r="E429" t="str">
        <f>"98003"</f>
        <v>98003</v>
      </c>
      <c r="F429" t="s">
        <v>38</v>
      </c>
      <c r="G429" t="s">
        <v>1483</v>
      </c>
      <c r="I429" t="s">
        <v>1484</v>
      </c>
      <c r="J429" t="s">
        <v>13</v>
      </c>
      <c r="K429" t="str">
        <f>"98033"</f>
        <v>98033</v>
      </c>
      <c r="L429">
        <v>73</v>
      </c>
      <c r="M429">
        <v>73</v>
      </c>
      <c r="N429">
        <v>0</v>
      </c>
    </row>
    <row r="430" spans="1:14" x14ac:dyDescent="0.25">
      <c r="A430" t="s">
        <v>682</v>
      </c>
      <c r="B430" t="s">
        <v>683</v>
      </c>
      <c r="C430" t="s">
        <v>359</v>
      </c>
      <c r="D430" t="s">
        <v>13</v>
      </c>
      <c r="E430" t="str">
        <f>"98402"</f>
        <v>98402</v>
      </c>
      <c r="F430" t="s">
        <v>38</v>
      </c>
      <c r="G430" t="s">
        <v>684</v>
      </c>
      <c r="I430" t="s">
        <v>598</v>
      </c>
      <c r="J430" t="s">
        <v>13</v>
      </c>
      <c r="K430" t="str">
        <f>"98370"</f>
        <v>98370</v>
      </c>
      <c r="L430">
        <v>45</v>
      </c>
      <c r="M430">
        <v>45</v>
      </c>
      <c r="N430">
        <v>0</v>
      </c>
    </row>
    <row r="431" spans="1:14" x14ac:dyDescent="0.25">
      <c r="A431" t="s">
        <v>643</v>
      </c>
      <c r="B431" t="s">
        <v>644</v>
      </c>
      <c r="C431" t="s">
        <v>297</v>
      </c>
      <c r="D431" t="s">
        <v>13</v>
      </c>
      <c r="E431" t="str">
        <f>"98092"</f>
        <v>98092</v>
      </c>
      <c r="F431" t="s">
        <v>38</v>
      </c>
      <c r="G431" t="s">
        <v>645</v>
      </c>
      <c r="I431" t="s">
        <v>297</v>
      </c>
      <c r="J431" t="s">
        <v>13</v>
      </c>
      <c r="K431" t="str">
        <f>"98092"</f>
        <v>98092</v>
      </c>
      <c r="L431">
        <v>226</v>
      </c>
      <c r="M431">
        <v>217</v>
      </c>
      <c r="N431">
        <v>9</v>
      </c>
    </row>
    <row r="432" spans="1:14" x14ac:dyDescent="0.25">
      <c r="A432" t="s">
        <v>44</v>
      </c>
      <c r="B432" t="s">
        <v>45</v>
      </c>
      <c r="C432" t="s">
        <v>46</v>
      </c>
      <c r="D432" t="s">
        <v>13</v>
      </c>
      <c r="E432" t="str">
        <f>"98072"</f>
        <v>98072</v>
      </c>
      <c r="F432" t="s">
        <v>38</v>
      </c>
      <c r="G432" t="s">
        <v>47</v>
      </c>
      <c r="I432" t="s">
        <v>46</v>
      </c>
      <c r="J432" t="s">
        <v>13</v>
      </c>
      <c r="K432" t="str">
        <f>"98072"</f>
        <v>98072</v>
      </c>
      <c r="L432">
        <v>151</v>
      </c>
      <c r="M432">
        <v>142</v>
      </c>
      <c r="N432">
        <v>9</v>
      </c>
    </row>
    <row r="433" spans="1:14" x14ac:dyDescent="0.25">
      <c r="A433" t="s">
        <v>3816</v>
      </c>
      <c r="B433" t="s">
        <v>3817</v>
      </c>
      <c r="C433" t="s">
        <v>48</v>
      </c>
      <c r="D433" t="s">
        <v>13</v>
      </c>
      <c r="E433" t="str">
        <f>"98021"</f>
        <v>98021</v>
      </c>
      <c r="F433" t="s">
        <v>38</v>
      </c>
      <c r="G433" t="s">
        <v>1521</v>
      </c>
      <c r="I433" t="s">
        <v>1522</v>
      </c>
      <c r="J433" t="s">
        <v>433</v>
      </c>
      <c r="K433" t="str">
        <f>"92614"</f>
        <v>92614</v>
      </c>
      <c r="L433">
        <v>108</v>
      </c>
      <c r="M433">
        <v>106</v>
      </c>
      <c r="N433">
        <v>2</v>
      </c>
    </row>
    <row r="434" spans="1:14" x14ac:dyDescent="0.25">
      <c r="A434" t="s">
        <v>2733</v>
      </c>
      <c r="B434" t="s">
        <v>2734</v>
      </c>
      <c r="C434" t="s">
        <v>638</v>
      </c>
      <c r="D434" t="s">
        <v>13</v>
      </c>
      <c r="E434" t="str">
        <f>"98022"</f>
        <v>98022</v>
      </c>
      <c r="F434" t="s">
        <v>38</v>
      </c>
      <c r="G434" t="s">
        <v>1943</v>
      </c>
      <c r="I434" t="s">
        <v>1484</v>
      </c>
      <c r="J434" t="s">
        <v>13</v>
      </c>
      <c r="K434" t="str">
        <f>"98083"</f>
        <v>98083</v>
      </c>
      <c r="L434">
        <v>38</v>
      </c>
      <c r="M434">
        <v>38</v>
      </c>
      <c r="N434">
        <v>0</v>
      </c>
    </row>
    <row r="435" spans="1:14" x14ac:dyDescent="0.25">
      <c r="A435" t="s">
        <v>3579</v>
      </c>
      <c r="B435" t="s">
        <v>1329</v>
      </c>
      <c r="C435" t="s">
        <v>43</v>
      </c>
      <c r="D435" t="s">
        <v>13</v>
      </c>
      <c r="E435" t="str">
        <f>"98040"</f>
        <v>98040</v>
      </c>
      <c r="F435" t="s">
        <v>38</v>
      </c>
      <c r="G435" t="s">
        <v>1328</v>
      </c>
      <c r="I435" t="s">
        <v>43</v>
      </c>
      <c r="J435" t="s">
        <v>13</v>
      </c>
      <c r="K435" t="str">
        <f>"98040"</f>
        <v>98040</v>
      </c>
      <c r="L435">
        <v>23</v>
      </c>
      <c r="M435">
        <v>23</v>
      </c>
      <c r="N435">
        <v>0</v>
      </c>
    </row>
    <row r="436" spans="1:14" x14ac:dyDescent="0.25">
      <c r="A436" t="s">
        <v>838</v>
      </c>
      <c r="B436" t="s">
        <v>839</v>
      </c>
      <c r="C436" t="s">
        <v>681</v>
      </c>
      <c r="D436" t="s">
        <v>13</v>
      </c>
      <c r="E436" t="str">
        <f>"98003"</f>
        <v>98003</v>
      </c>
      <c r="F436" t="s">
        <v>38</v>
      </c>
      <c r="G436" t="s">
        <v>840</v>
      </c>
      <c r="I436" t="s">
        <v>107</v>
      </c>
      <c r="J436" t="s">
        <v>13</v>
      </c>
      <c r="K436" t="str">
        <f>"98109"</f>
        <v>98109</v>
      </c>
      <c r="L436">
        <v>102</v>
      </c>
      <c r="M436">
        <v>102</v>
      </c>
      <c r="N436">
        <v>0</v>
      </c>
    </row>
    <row r="437" spans="1:14" x14ac:dyDescent="0.25">
      <c r="A437" t="s">
        <v>1641</v>
      </c>
      <c r="B437" t="s">
        <v>1642</v>
      </c>
      <c r="C437" t="s">
        <v>638</v>
      </c>
      <c r="D437" t="s">
        <v>13</v>
      </c>
      <c r="E437" t="str">
        <f>"98022"</f>
        <v>98022</v>
      </c>
      <c r="F437" t="s">
        <v>38</v>
      </c>
      <c r="G437" t="s">
        <v>1643</v>
      </c>
      <c r="I437" t="s">
        <v>146</v>
      </c>
      <c r="J437" t="s">
        <v>13</v>
      </c>
      <c r="K437" t="str">
        <f>"98373"</f>
        <v>98373</v>
      </c>
      <c r="L437">
        <v>123</v>
      </c>
      <c r="M437">
        <v>122</v>
      </c>
      <c r="N437">
        <v>1</v>
      </c>
    </row>
    <row r="438" spans="1:14" x14ac:dyDescent="0.25">
      <c r="A438" t="s">
        <v>4022</v>
      </c>
      <c r="B438" t="s">
        <v>4023</v>
      </c>
      <c r="C438" t="s">
        <v>2128</v>
      </c>
      <c r="D438" t="s">
        <v>13</v>
      </c>
      <c r="E438" t="str">
        <f>"98198"</f>
        <v>98198</v>
      </c>
      <c r="F438" t="s">
        <v>38</v>
      </c>
      <c r="G438" t="s">
        <v>4024</v>
      </c>
      <c r="I438" t="s">
        <v>605</v>
      </c>
      <c r="J438" t="s">
        <v>13</v>
      </c>
      <c r="K438" t="str">
        <f>"98004"</f>
        <v>98004</v>
      </c>
      <c r="L438">
        <v>8</v>
      </c>
      <c r="M438">
        <v>5</v>
      </c>
      <c r="N438">
        <v>3</v>
      </c>
    </row>
    <row r="439" spans="1:14" x14ac:dyDescent="0.25">
      <c r="A439" t="s">
        <v>2126</v>
      </c>
      <c r="B439" t="s">
        <v>2127</v>
      </c>
      <c r="C439" t="s">
        <v>2128</v>
      </c>
      <c r="D439" t="s">
        <v>13</v>
      </c>
      <c r="E439" t="str">
        <f>"98198"</f>
        <v>98198</v>
      </c>
      <c r="F439" t="s">
        <v>38</v>
      </c>
      <c r="G439" t="s">
        <v>2129</v>
      </c>
      <c r="I439" t="s">
        <v>2130</v>
      </c>
      <c r="J439" t="s">
        <v>13</v>
      </c>
      <c r="K439" t="str">
        <f>"98039"</f>
        <v>98039</v>
      </c>
      <c r="L439">
        <v>53</v>
      </c>
      <c r="M439">
        <v>53</v>
      </c>
      <c r="N439">
        <v>0</v>
      </c>
    </row>
    <row r="440" spans="1:14" x14ac:dyDescent="0.25">
      <c r="A440" t="s">
        <v>635</v>
      </c>
      <c r="B440" t="s">
        <v>636</v>
      </c>
      <c r="C440" t="s">
        <v>297</v>
      </c>
      <c r="D440" t="s">
        <v>13</v>
      </c>
      <c r="E440" t="str">
        <f>"98002"</f>
        <v>98002</v>
      </c>
      <c r="F440" t="s">
        <v>38</v>
      </c>
      <c r="G440" t="s">
        <v>637</v>
      </c>
      <c r="I440" t="s">
        <v>638</v>
      </c>
      <c r="J440" t="s">
        <v>13</v>
      </c>
      <c r="K440" t="str">
        <f>"98022"</f>
        <v>98022</v>
      </c>
      <c r="L440">
        <v>76</v>
      </c>
      <c r="M440">
        <v>76</v>
      </c>
      <c r="N440">
        <v>0</v>
      </c>
    </row>
    <row r="441" spans="1:14" x14ac:dyDescent="0.25">
      <c r="A441" t="s">
        <v>2486</v>
      </c>
      <c r="B441" t="s">
        <v>2487</v>
      </c>
      <c r="C441" t="s">
        <v>1547</v>
      </c>
      <c r="D441" t="s">
        <v>13</v>
      </c>
      <c r="E441" t="str">
        <f>"98019"</f>
        <v>98019</v>
      </c>
      <c r="F441" t="s">
        <v>38</v>
      </c>
      <c r="G441" t="s">
        <v>2073</v>
      </c>
      <c r="I441" t="s">
        <v>1522</v>
      </c>
      <c r="J441" t="s">
        <v>433</v>
      </c>
      <c r="K441" t="str">
        <f>"92612"</f>
        <v>92612</v>
      </c>
      <c r="L441">
        <v>150</v>
      </c>
      <c r="M441">
        <v>148</v>
      </c>
      <c r="N441">
        <v>2</v>
      </c>
    </row>
    <row r="442" spans="1:14" x14ac:dyDescent="0.25">
      <c r="A442" t="s">
        <v>3911</v>
      </c>
      <c r="B442" t="s">
        <v>3912</v>
      </c>
      <c r="C442" t="s">
        <v>104</v>
      </c>
      <c r="D442" t="s">
        <v>13</v>
      </c>
      <c r="E442" t="str">
        <f>"98059"</f>
        <v>98059</v>
      </c>
      <c r="F442" t="s">
        <v>38</v>
      </c>
      <c r="G442" t="s">
        <v>3912</v>
      </c>
      <c r="I442" t="s">
        <v>104</v>
      </c>
      <c r="J442" t="s">
        <v>13</v>
      </c>
      <c r="K442" t="str">
        <f>"98059"</f>
        <v>98059</v>
      </c>
      <c r="L442">
        <v>44</v>
      </c>
      <c r="M442">
        <v>44</v>
      </c>
      <c r="N442">
        <v>0</v>
      </c>
    </row>
    <row r="443" spans="1:14" x14ac:dyDescent="0.25">
      <c r="A443" t="s">
        <v>1117</v>
      </c>
      <c r="B443" t="s">
        <v>1118</v>
      </c>
      <c r="C443" t="s">
        <v>107</v>
      </c>
      <c r="D443" t="s">
        <v>13</v>
      </c>
      <c r="E443" t="str">
        <f>"98178"</f>
        <v>98178</v>
      </c>
      <c r="F443" t="s">
        <v>38</v>
      </c>
      <c r="G443" t="s">
        <v>106</v>
      </c>
      <c r="I443" t="s">
        <v>107</v>
      </c>
      <c r="J443" t="s">
        <v>13</v>
      </c>
      <c r="K443" t="str">
        <f>"98122"</f>
        <v>98122</v>
      </c>
      <c r="L443">
        <v>51</v>
      </c>
      <c r="M443">
        <v>50</v>
      </c>
      <c r="N443">
        <v>1</v>
      </c>
    </row>
    <row r="444" spans="1:14" x14ac:dyDescent="0.25">
      <c r="A444" t="s">
        <v>3053</v>
      </c>
      <c r="B444" t="s">
        <v>3054</v>
      </c>
      <c r="C444" t="s">
        <v>104</v>
      </c>
      <c r="D444" t="s">
        <v>13</v>
      </c>
      <c r="E444" t="str">
        <f>"98059"</f>
        <v>98059</v>
      </c>
      <c r="F444" t="s">
        <v>38</v>
      </c>
      <c r="G444" t="s">
        <v>3054</v>
      </c>
      <c r="I444" t="s">
        <v>104</v>
      </c>
      <c r="J444" t="s">
        <v>13</v>
      </c>
      <c r="K444" t="str">
        <f>"98059"</f>
        <v>98059</v>
      </c>
      <c r="L444">
        <v>27</v>
      </c>
      <c r="M444">
        <v>27</v>
      </c>
      <c r="N444">
        <v>0</v>
      </c>
    </row>
    <row r="445" spans="1:14" x14ac:dyDescent="0.25">
      <c r="A445" t="s">
        <v>960</v>
      </c>
      <c r="B445" t="s">
        <v>961</v>
      </c>
      <c r="C445" t="s">
        <v>962</v>
      </c>
      <c r="D445" t="s">
        <v>13</v>
      </c>
      <c r="E445" t="str">
        <f>"98024"</f>
        <v>98024</v>
      </c>
      <c r="F445" t="s">
        <v>38</v>
      </c>
      <c r="G445" t="s">
        <v>963</v>
      </c>
      <c r="I445" t="s">
        <v>962</v>
      </c>
      <c r="J445" t="s">
        <v>13</v>
      </c>
      <c r="K445" t="str">
        <f>"98024"</f>
        <v>98024</v>
      </c>
      <c r="L445">
        <v>32</v>
      </c>
      <c r="M445">
        <v>31</v>
      </c>
      <c r="N445">
        <v>1</v>
      </c>
    </row>
    <row r="446" spans="1:14" x14ac:dyDescent="0.25">
      <c r="A446" t="s">
        <v>2478</v>
      </c>
      <c r="B446" t="s">
        <v>2479</v>
      </c>
      <c r="C446" t="s">
        <v>2278</v>
      </c>
      <c r="D446" t="s">
        <v>13</v>
      </c>
      <c r="E446" t="str">
        <f>"98070"</f>
        <v>98070</v>
      </c>
      <c r="F446" t="s">
        <v>38</v>
      </c>
      <c r="G446" t="s">
        <v>2480</v>
      </c>
      <c r="I446" t="s">
        <v>2278</v>
      </c>
      <c r="J446" t="s">
        <v>13</v>
      </c>
      <c r="K446" t="str">
        <f>"98070"</f>
        <v>98070</v>
      </c>
      <c r="L446">
        <v>6</v>
      </c>
      <c r="M446">
        <v>5</v>
      </c>
      <c r="N446">
        <v>1</v>
      </c>
    </row>
    <row r="447" spans="1:14" x14ac:dyDescent="0.25">
      <c r="A447" t="s">
        <v>679</v>
      </c>
      <c r="B447" t="s">
        <v>680</v>
      </c>
      <c r="C447" t="s">
        <v>110</v>
      </c>
      <c r="D447" t="s">
        <v>13</v>
      </c>
      <c r="E447" t="str">
        <f>"98198"</f>
        <v>98198</v>
      </c>
      <c r="F447" t="s">
        <v>38</v>
      </c>
      <c r="G447" t="s">
        <v>680</v>
      </c>
      <c r="I447" t="s">
        <v>110</v>
      </c>
      <c r="J447" t="s">
        <v>13</v>
      </c>
      <c r="K447" t="str">
        <f>"98198"</f>
        <v>98198</v>
      </c>
      <c r="L447">
        <v>70</v>
      </c>
      <c r="M447">
        <v>69</v>
      </c>
      <c r="N447">
        <v>1</v>
      </c>
    </row>
    <row r="448" spans="1:14" x14ac:dyDescent="0.25">
      <c r="A448" t="s">
        <v>1018</v>
      </c>
      <c r="B448" t="s">
        <v>1019</v>
      </c>
      <c r="C448" t="s">
        <v>297</v>
      </c>
      <c r="D448" t="s">
        <v>13</v>
      </c>
      <c r="E448" t="str">
        <f>"98092"</f>
        <v>98092</v>
      </c>
      <c r="F448" t="s">
        <v>38</v>
      </c>
      <c r="G448" t="s">
        <v>111</v>
      </c>
      <c r="I448" t="s">
        <v>107</v>
      </c>
      <c r="J448" t="s">
        <v>13</v>
      </c>
      <c r="K448" t="str">
        <f>"98105"</f>
        <v>98105</v>
      </c>
      <c r="L448">
        <v>125</v>
      </c>
      <c r="M448">
        <v>115</v>
      </c>
      <c r="N448">
        <v>10</v>
      </c>
    </row>
    <row r="449" spans="1:14" x14ac:dyDescent="0.25">
      <c r="A449" t="s">
        <v>499</v>
      </c>
      <c r="B449" t="s">
        <v>500</v>
      </c>
      <c r="C449" t="s">
        <v>501</v>
      </c>
      <c r="D449" t="s">
        <v>13</v>
      </c>
      <c r="E449" t="str">
        <f>"98052"</f>
        <v>98052</v>
      </c>
      <c r="F449" t="s">
        <v>38</v>
      </c>
      <c r="G449" t="s">
        <v>502</v>
      </c>
      <c r="I449" t="s">
        <v>87</v>
      </c>
      <c r="J449" t="s">
        <v>13</v>
      </c>
      <c r="K449" t="str">
        <f>"98502"</f>
        <v>98502</v>
      </c>
      <c r="L449">
        <v>224</v>
      </c>
      <c r="M449">
        <v>223</v>
      </c>
      <c r="N449">
        <v>1</v>
      </c>
    </row>
    <row r="450" spans="1:14" x14ac:dyDescent="0.25">
      <c r="A450" t="s">
        <v>4060</v>
      </c>
      <c r="B450" t="s">
        <v>1943</v>
      </c>
      <c r="C450" t="s">
        <v>1484</v>
      </c>
      <c r="D450" t="s">
        <v>13</v>
      </c>
      <c r="E450" t="str">
        <f>"98083"</f>
        <v>98083</v>
      </c>
      <c r="F450" t="s">
        <v>38</v>
      </c>
      <c r="G450" t="s">
        <v>1943</v>
      </c>
      <c r="I450" t="s">
        <v>1484</v>
      </c>
      <c r="J450" t="s">
        <v>13</v>
      </c>
      <c r="K450" t="str">
        <f>"98083"</f>
        <v>98083</v>
      </c>
      <c r="L450">
        <v>18</v>
      </c>
      <c r="M450">
        <v>18</v>
      </c>
      <c r="N450">
        <v>0</v>
      </c>
    </row>
    <row r="451" spans="1:14" x14ac:dyDescent="0.25">
      <c r="A451" t="s">
        <v>3035</v>
      </c>
      <c r="B451" t="s">
        <v>3036</v>
      </c>
      <c r="C451" t="s">
        <v>359</v>
      </c>
      <c r="D451" t="s">
        <v>13</v>
      </c>
      <c r="E451" t="str">
        <f>"98032"</f>
        <v>98032</v>
      </c>
      <c r="F451" t="s">
        <v>38</v>
      </c>
      <c r="G451" t="s">
        <v>1328</v>
      </c>
      <c r="I451" t="s">
        <v>37</v>
      </c>
      <c r="J451" t="s">
        <v>13</v>
      </c>
      <c r="K451" t="str">
        <f>"98027"</f>
        <v>98027</v>
      </c>
      <c r="L451">
        <v>34</v>
      </c>
      <c r="M451">
        <v>34</v>
      </c>
      <c r="N451">
        <v>0</v>
      </c>
    </row>
    <row r="452" spans="1:14" x14ac:dyDescent="0.25">
      <c r="A452" t="s">
        <v>198</v>
      </c>
      <c r="B452" t="s">
        <v>199</v>
      </c>
      <c r="C452" t="s">
        <v>200</v>
      </c>
      <c r="D452" t="s">
        <v>13</v>
      </c>
      <c r="E452" t="str">
        <f>"98146"</f>
        <v>98146</v>
      </c>
      <c r="F452" t="s">
        <v>38</v>
      </c>
      <c r="G452" t="s">
        <v>201</v>
      </c>
      <c r="H452" t="s">
        <v>202</v>
      </c>
      <c r="I452" t="s">
        <v>107</v>
      </c>
      <c r="J452" t="s">
        <v>13</v>
      </c>
      <c r="K452" t="str">
        <f>"98199"</f>
        <v>98199</v>
      </c>
      <c r="L452">
        <v>10</v>
      </c>
      <c r="M452">
        <v>6</v>
      </c>
      <c r="N452">
        <v>4</v>
      </c>
    </row>
    <row r="453" spans="1:14" x14ac:dyDescent="0.25">
      <c r="A453" t="s">
        <v>315</v>
      </c>
      <c r="B453" t="s">
        <v>316</v>
      </c>
      <c r="C453" t="s">
        <v>107</v>
      </c>
      <c r="D453" t="s">
        <v>13</v>
      </c>
      <c r="E453" t="str">
        <f>"98133"</f>
        <v>98133</v>
      </c>
      <c r="F453" t="s">
        <v>38</v>
      </c>
      <c r="G453" t="s">
        <v>317</v>
      </c>
      <c r="H453" t="s">
        <v>318</v>
      </c>
      <c r="I453" t="s">
        <v>107</v>
      </c>
      <c r="J453" t="s">
        <v>13</v>
      </c>
      <c r="K453" t="str">
        <f>"98101"</f>
        <v>98101</v>
      </c>
      <c r="L453">
        <v>76</v>
      </c>
      <c r="M453">
        <v>76</v>
      </c>
      <c r="N453">
        <v>0</v>
      </c>
    </row>
    <row r="454" spans="1:14" x14ac:dyDescent="0.25">
      <c r="A454" t="s">
        <v>3722</v>
      </c>
      <c r="B454" t="s">
        <v>3723</v>
      </c>
      <c r="C454" t="s">
        <v>681</v>
      </c>
      <c r="D454" t="s">
        <v>13</v>
      </c>
      <c r="E454" t="str">
        <f>"98023"</f>
        <v>98023</v>
      </c>
      <c r="F454" t="s">
        <v>38</v>
      </c>
      <c r="G454" t="s">
        <v>3724</v>
      </c>
      <c r="I454" t="s">
        <v>200</v>
      </c>
      <c r="J454" t="s">
        <v>13</v>
      </c>
      <c r="K454" t="str">
        <f>"98148"</f>
        <v>98148</v>
      </c>
      <c r="L454">
        <v>49</v>
      </c>
      <c r="M454">
        <v>45</v>
      </c>
      <c r="N454">
        <v>4</v>
      </c>
    </row>
    <row r="455" spans="1:14" x14ac:dyDescent="0.25">
      <c r="A455" t="s">
        <v>3132</v>
      </c>
      <c r="B455" t="s">
        <v>3133</v>
      </c>
      <c r="C455" t="s">
        <v>104</v>
      </c>
      <c r="D455" t="s">
        <v>13</v>
      </c>
      <c r="E455" t="str">
        <f>"98056"</f>
        <v>98056</v>
      </c>
      <c r="F455" t="s">
        <v>38</v>
      </c>
      <c r="G455" t="s">
        <v>3134</v>
      </c>
      <c r="I455" t="s">
        <v>454</v>
      </c>
      <c r="J455" t="s">
        <v>13</v>
      </c>
      <c r="K455" t="str">
        <f>"98206"</f>
        <v>98206</v>
      </c>
      <c r="L455">
        <v>48</v>
      </c>
      <c r="M455">
        <v>48</v>
      </c>
      <c r="N455">
        <v>0</v>
      </c>
    </row>
    <row r="456" spans="1:14" x14ac:dyDescent="0.25">
      <c r="A456" t="s">
        <v>3989</v>
      </c>
      <c r="B456" t="s">
        <v>3990</v>
      </c>
      <c r="C456" t="s">
        <v>104</v>
      </c>
      <c r="D456" t="s">
        <v>13</v>
      </c>
      <c r="E456" t="str">
        <f>"98059"</f>
        <v>98059</v>
      </c>
      <c r="F456" t="s">
        <v>38</v>
      </c>
      <c r="G456" t="s">
        <v>3991</v>
      </c>
      <c r="I456" t="s">
        <v>962</v>
      </c>
      <c r="J456" t="s">
        <v>13</v>
      </c>
      <c r="K456" t="str">
        <f>"98024"</f>
        <v>98024</v>
      </c>
      <c r="L456">
        <v>20</v>
      </c>
      <c r="M456">
        <v>5</v>
      </c>
      <c r="N456">
        <v>15</v>
      </c>
    </row>
    <row r="457" spans="1:14" x14ac:dyDescent="0.25">
      <c r="A457" t="s">
        <v>1876</v>
      </c>
      <c r="B457" t="s">
        <v>1877</v>
      </c>
      <c r="C457" t="s">
        <v>359</v>
      </c>
      <c r="D457" t="s">
        <v>13</v>
      </c>
      <c r="E457" t="str">
        <f>"98032"</f>
        <v>98032</v>
      </c>
      <c r="F457" t="s">
        <v>38</v>
      </c>
      <c r="G457" t="s">
        <v>1878</v>
      </c>
      <c r="I457" t="s">
        <v>437</v>
      </c>
      <c r="J457" t="s">
        <v>13</v>
      </c>
      <c r="K457" t="str">
        <f>"98020"</f>
        <v>98020</v>
      </c>
      <c r="L457">
        <v>35</v>
      </c>
      <c r="M457">
        <v>35</v>
      </c>
      <c r="N457">
        <v>0</v>
      </c>
    </row>
    <row r="458" spans="1:14" x14ac:dyDescent="0.25">
      <c r="A458" t="s">
        <v>2810</v>
      </c>
      <c r="B458" t="s">
        <v>2811</v>
      </c>
      <c r="C458" t="s">
        <v>297</v>
      </c>
      <c r="D458" t="s">
        <v>13</v>
      </c>
      <c r="E458" t="str">
        <f>"98002"</f>
        <v>98002</v>
      </c>
      <c r="F458" t="s">
        <v>38</v>
      </c>
      <c r="G458" t="s">
        <v>2812</v>
      </c>
      <c r="I458" t="s">
        <v>72</v>
      </c>
      <c r="J458" t="s">
        <v>13</v>
      </c>
      <c r="K458" t="str">
        <f>"98422"</f>
        <v>98422</v>
      </c>
      <c r="L458">
        <v>13</v>
      </c>
      <c r="M458">
        <v>13</v>
      </c>
      <c r="N458">
        <v>0</v>
      </c>
    </row>
    <row r="459" spans="1:14" x14ac:dyDescent="0.25">
      <c r="A459" t="s">
        <v>3679</v>
      </c>
      <c r="B459" t="s">
        <v>3680</v>
      </c>
      <c r="C459" t="s">
        <v>561</v>
      </c>
      <c r="D459" t="s">
        <v>13</v>
      </c>
      <c r="E459" t="str">
        <f>"98028"</f>
        <v>98028</v>
      </c>
      <c r="F459" t="s">
        <v>38</v>
      </c>
      <c r="G459" t="s">
        <v>2594</v>
      </c>
      <c r="I459" t="s">
        <v>2595</v>
      </c>
      <c r="J459" t="s">
        <v>13</v>
      </c>
      <c r="K459" t="str">
        <f>"98038"</f>
        <v>98038</v>
      </c>
      <c r="L459">
        <v>78</v>
      </c>
      <c r="M459">
        <v>78</v>
      </c>
      <c r="N459">
        <v>0</v>
      </c>
    </row>
    <row r="460" spans="1:14" x14ac:dyDescent="0.25">
      <c r="A460" t="s">
        <v>35</v>
      </c>
      <c r="B460" t="s">
        <v>36</v>
      </c>
      <c r="C460" t="s">
        <v>37</v>
      </c>
      <c r="D460" t="s">
        <v>13</v>
      </c>
      <c r="E460" t="str">
        <f>"98027"</f>
        <v>98027</v>
      </c>
      <c r="F460" t="s">
        <v>38</v>
      </c>
      <c r="G460" t="s">
        <v>36</v>
      </c>
      <c r="I460" t="s">
        <v>37</v>
      </c>
      <c r="J460" t="s">
        <v>13</v>
      </c>
      <c r="K460" t="str">
        <f>"98027"</f>
        <v>98027</v>
      </c>
      <c r="L460">
        <v>59</v>
      </c>
      <c r="M460">
        <v>1</v>
      </c>
      <c r="N460">
        <v>58</v>
      </c>
    </row>
    <row r="461" spans="1:14" x14ac:dyDescent="0.25">
      <c r="A461" t="s">
        <v>357</v>
      </c>
      <c r="B461" t="s">
        <v>358</v>
      </c>
      <c r="C461" t="s">
        <v>359</v>
      </c>
      <c r="D461" t="s">
        <v>13</v>
      </c>
      <c r="E461" t="str">
        <f>"98032"</f>
        <v>98032</v>
      </c>
      <c r="F461" t="s">
        <v>38</v>
      </c>
      <c r="G461" t="s">
        <v>360</v>
      </c>
      <c r="I461" t="s">
        <v>107</v>
      </c>
      <c r="J461" t="s">
        <v>13</v>
      </c>
      <c r="K461" t="str">
        <f>"98133"</f>
        <v>98133</v>
      </c>
      <c r="L461">
        <v>18</v>
      </c>
      <c r="M461">
        <v>18</v>
      </c>
      <c r="N461">
        <v>0</v>
      </c>
    </row>
    <row r="462" spans="1:14" x14ac:dyDescent="0.25">
      <c r="A462" t="s">
        <v>3748</v>
      </c>
      <c r="B462" t="s">
        <v>3749</v>
      </c>
      <c r="C462" t="s">
        <v>561</v>
      </c>
      <c r="D462" t="s">
        <v>13</v>
      </c>
      <c r="E462" t="str">
        <f>"98028"</f>
        <v>98028</v>
      </c>
      <c r="F462" t="s">
        <v>38</v>
      </c>
      <c r="G462" t="s">
        <v>3750</v>
      </c>
      <c r="I462" t="s">
        <v>540</v>
      </c>
      <c r="J462" t="s">
        <v>13</v>
      </c>
      <c r="K462" t="str">
        <f>"98160"</f>
        <v>98160</v>
      </c>
      <c r="L462">
        <v>25</v>
      </c>
      <c r="M462">
        <v>25</v>
      </c>
      <c r="N462">
        <v>0</v>
      </c>
    </row>
    <row r="463" spans="1:14" x14ac:dyDescent="0.25">
      <c r="A463" t="s">
        <v>533</v>
      </c>
      <c r="B463" t="s">
        <v>534</v>
      </c>
      <c r="C463" t="s">
        <v>359</v>
      </c>
      <c r="D463" t="s">
        <v>13</v>
      </c>
      <c r="E463" t="str">
        <f>"98031"</f>
        <v>98031</v>
      </c>
      <c r="F463" t="s">
        <v>38</v>
      </c>
      <c r="G463" t="s">
        <v>535</v>
      </c>
      <c r="I463" t="s">
        <v>536</v>
      </c>
      <c r="J463" t="s">
        <v>13</v>
      </c>
      <c r="K463" t="str">
        <f>"98499"</f>
        <v>98499</v>
      </c>
      <c r="L463">
        <v>43</v>
      </c>
      <c r="M463">
        <v>41</v>
      </c>
      <c r="N463">
        <v>2</v>
      </c>
    </row>
    <row r="464" spans="1:14" x14ac:dyDescent="0.25">
      <c r="A464" t="s">
        <v>1282</v>
      </c>
      <c r="B464" t="s">
        <v>1283</v>
      </c>
      <c r="C464" t="s">
        <v>681</v>
      </c>
      <c r="D464" t="s">
        <v>13</v>
      </c>
      <c r="E464" t="str">
        <f>"98003"</f>
        <v>98003</v>
      </c>
      <c r="F464" t="s">
        <v>38</v>
      </c>
      <c r="G464" t="s">
        <v>1284</v>
      </c>
      <c r="I464" t="s">
        <v>148</v>
      </c>
      <c r="J464" t="s">
        <v>13</v>
      </c>
      <c r="K464" t="str">
        <f>"98335"</f>
        <v>98335</v>
      </c>
      <c r="L464">
        <v>76</v>
      </c>
      <c r="M464">
        <v>76</v>
      </c>
      <c r="N464">
        <v>0</v>
      </c>
    </row>
    <row r="465" spans="1:14" x14ac:dyDescent="0.25">
      <c r="A465" t="s">
        <v>1732</v>
      </c>
      <c r="B465" t="s">
        <v>1733</v>
      </c>
      <c r="C465" t="s">
        <v>681</v>
      </c>
      <c r="D465" t="s">
        <v>13</v>
      </c>
      <c r="E465" t="str">
        <f>"98003"</f>
        <v>98003</v>
      </c>
      <c r="F465" t="s">
        <v>38</v>
      </c>
      <c r="G465" t="s">
        <v>1733</v>
      </c>
      <c r="I465" t="s">
        <v>681</v>
      </c>
      <c r="J465" t="s">
        <v>13</v>
      </c>
      <c r="K465" t="str">
        <f>"98003"</f>
        <v>98003</v>
      </c>
      <c r="L465">
        <v>258</v>
      </c>
      <c r="M465">
        <v>252</v>
      </c>
      <c r="N465">
        <v>6</v>
      </c>
    </row>
    <row r="466" spans="1:14" x14ac:dyDescent="0.25">
      <c r="A466" t="s">
        <v>1903</v>
      </c>
      <c r="B466" t="s">
        <v>1904</v>
      </c>
      <c r="C466" t="s">
        <v>359</v>
      </c>
      <c r="D466" t="s">
        <v>13</v>
      </c>
      <c r="E466" t="str">
        <f>"98042"</f>
        <v>98042</v>
      </c>
      <c r="F466" t="s">
        <v>38</v>
      </c>
      <c r="G466" t="s">
        <v>1905</v>
      </c>
      <c r="I466" t="s">
        <v>1906</v>
      </c>
      <c r="J466" t="s">
        <v>433</v>
      </c>
      <c r="K466" t="str">
        <f>"95129"</f>
        <v>95129</v>
      </c>
      <c r="L466">
        <v>77</v>
      </c>
      <c r="M466">
        <v>77</v>
      </c>
      <c r="N466">
        <v>0</v>
      </c>
    </row>
    <row r="467" spans="1:14" x14ac:dyDescent="0.25">
      <c r="A467" t="s">
        <v>3845</v>
      </c>
      <c r="B467" t="s">
        <v>3846</v>
      </c>
      <c r="C467" t="s">
        <v>107</v>
      </c>
      <c r="D467" t="s">
        <v>13</v>
      </c>
      <c r="E467" t="str">
        <f>"98178"</f>
        <v>98178</v>
      </c>
      <c r="F467" t="s">
        <v>38</v>
      </c>
      <c r="G467" t="s">
        <v>326</v>
      </c>
      <c r="I467" t="s">
        <v>107</v>
      </c>
      <c r="J467" t="s">
        <v>13</v>
      </c>
      <c r="K467" t="str">
        <f>"98105"</f>
        <v>98105</v>
      </c>
      <c r="L467">
        <v>32</v>
      </c>
      <c r="M467">
        <v>32</v>
      </c>
      <c r="N467">
        <v>0</v>
      </c>
    </row>
    <row r="468" spans="1:14" x14ac:dyDescent="0.25">
      <c r="A468" t="s">
        <v>3947</v>
      </c>
      <c r="B468" t="s">
        <v>3948</v>
      </c>
      <c r="C468" t="s">
        <v>107</v>
      </c>
      <c r="D468" t="s">
        <v>13</v>
      </c>
      <c r="E468" t="str">
        <f>"98125"</f>
        <v>98125</v>
      </c>
      <c r="F468" t="s">
        <v>38</v>
      </c>
      <c r="G468" t="s">
        <v>3948</v>
      </c>
      <c r="I468" t="s">
        <v>107</v>
      </c>
      <c r="J468" t="s">
        <v>13</v>
      </c>
      <c r="K468" t="str">
        <f>"98125"</f>
        <v>98125</v>
      </c>
      <c r="L468">
        <v>40</v>
      </c>
      <c r="M468">
        <v>40</v>
      </c>
      <c r="N468">
        <v>0</v>
      </c>
    </row>
    <row r="469" spans="1:14" x14ac:dyDescent="0.25">
      <c r="A469" t="s">
        <v>1938</v>
      </c>
      <c r="B469" t="s">
        <v>1939</v>
      </c>
      <c r="C469" t="s">
        <v>561</v>
      </c>
      <c r="D469" t="s">
        <v>13</v>
      </c>
      <c r="E469" t="str">
        <f>"98028"</f>
        <v>98028</v>
      </c>
      <c r="F469" t="s">
        <v>38</v>
      </c>
      <c r="G469" t="s">
        <v>1940</v>
      </c>
      <c r="I469" t="s">
        <v>107</v>
      </c>
      <c r="J469" t="s">
        <v>13</v>
      </c>
      <c r="K469" t="str">
        <f>"98177"</f>
        <v>98177</v>
      </c>
      <c r="L469">
        <v>58</v>
      </c>
      <c r="M469">
        <v>58</v>
      </c>
      <c r="N469">
        <v>0</v>
      </c>
    </row>
    <row r="470" spans="1:14" x14ac:dyDescent="0.25">
      <c r="A470" t="s">
        <v>1720</v>
      </c>
      <c r="B470" t="s">
        <v>1721</v>
      </c>
      <c r="C470" t="s">
        <v>561</v>
      </c>
      <c r="D470" t="s">
        <v>13</v>
      </c>
      <c r="E470" t="str">
        <f>"98028"</f>
        <v>98028</v>
      </c>
      <c r="F470" t="s">
        <v>38</v>
      </c>
      <c r="G470" t="s">
        <v>1721</v>
      </c>
      <c r="I470" t="s">
        <v>561</v>
      </c>
      <c r="J470" t="s">
        <v>13</v>
      </c>
      <c r="K470" t="str">
        <f>"98028"</f>
        <v>98028</v>
      </c>
      <c r="L470">
        <v>56</v>
      </c>
      <c r="M470">
        <v>56</v>
      </c>
      <c r="N470">
        <v>0</v>
      </c>
    </row>
    <row r="471" spans="1:14" x14ac:dyDescent="0.25">
      <c r="A471" t="s">
        <v>2683</v>
      </c>
      <c r="B471" t="s">
        <v>2684</v>
      </c>
      <c r="C471" t="s">
        <v>681</v>
      </c>
      <c r="D471" t="s">
        <v>13</v>
      </c>
      <c r="E471" t="str">
        <f>"98003"</f>
        <v>98003</v>
      </c>
      <c r="F471" t="s">
        <v>38</v>
      </c>
      <c r="G471" t="s">
        <v>2685</v>
      </c>
      <c r="H471" t="s">
        <v>2686</v>
      </c>
      <c r="I471" t="s">
        <v>2687</v>
      </c>
      <c r="J471" t="s">
        <v>433</v>
      </c>
      <c r="K471" t="str">
        <f>"93455"</f>
        <v>93455</v>
      </c>
      <c r="L471">
        <v>64</v>
      </c>
      <c r="M471">
        <v>64</v>
      </c>
      <c r="N471">
        <v>0</v>
      </c>
    </row>
    <row r="472" spans="1:14" x14ac:dyDescent="0.25">
      <c r="A472" t="s">
        <v>3757</v>
      </c>
      <c r="B472" t="s">
        <v>3758</v>
      </c>
      <c r="C472" t="s">
        <v>48</v>
      </c>
      <c r="D472" t="s">
        <v>13</v>
      </c>
      <c r="E472" t="str">
        <f>"98011"</f>
        <v>98011</v>
      </c>
      <c r="F472" t="s">
        <v>38</v>
      </c>
      <c r="G472" t="s">
        <v>3759</v>
      </c>
      <c r="I472" t="s">
        <v>232</v>
      </c>
      <c r="J472" t="s">
        <v>13</v>
      </c>
      <c r="K472" t="str">
        <f>"98082"</f>
        <v>98082</v>
      </c>
      <c r="L472">
        <v>97</v>
      </c>
      <c r="M472">
        <v>96</v>
      </c>
      <c r="N472">
        <v>1</v>
      </c>
    </row>
    <row r="473" spans="1:14" x14ac:dyDescent="0.25">
      <c r="A473" t="s">
        <v>2741</v>
      </c>
      <c r="B473" t="s">
        <v>2742</v>
      </c>
      <c r="C473" t="s">
        <v>104</v>
      </c>
      <c r="D473" t="s">
        <v>13</v>
      </c>
      <c r="E473" t="str">
        <f>"98059"</f>
        <v>98059</v>
      </c>
      <c r="F473" t="s">
        <v>38</v>
      </c>
      <c r="G473" t="s">
        <v>2742</v>
      </c>
      <c r="I473" t="s">
        <v>104</v>
      </c>
      <c r="J473" t="s">
        <v>13</v>
      </c>
      <c r="K473" t="str">
        <f>"98059"</f>
        <v>98059</v>
      </c>
      <c r="L473">
        <v>254</v>
      </c>
      <c r="M473">
        <v>254</v>
      </c>
      <c r="N473">
        <v>0</v>
      </c>
    </row>
    <row r="474" spans="1:14" x14ac:dyDescent="0.25">
      <c r="A474" t="s">
        <v>728</v>
      </c>
      <c r="B474" t="s">
        <v>729</v>
      </c>
      <c r="C474" t="s">
        <v>359</v>
      </c>
      <c r="D474" t="s">
        <v>13</v>
      </c>
      <c r="E474" t="str">
        <f>"98030"</f>
        <v>98030</v>
      </c>
      <c r="F474" t="s">
        <v>38</v>
      </c>
      <c r="G474" t="s">
        <v>326</v>
      </c>
      <c r="I474" t="s">
        <v>107</v>
      </c>
      <c r="J474" t="s">
        <v>13</v>
      </c>
      <c r="K474" t="str">
        <f>"98105"</f>
        <v>98105</v>
      </c>
      <c r="L474">
        <v>35</v>
      </c>
      <c r="M474">
        <v>35</v>
      </c>
      <c r="N474">
        <v>0</v>
      </c>
    </row>
    <row r="475" spans="1:14" x14ac:dyDescent="0.25">
      <c r="A475" t="s">
        <v>3560</v>
      </c>
      <c r="B475" t="s">
        <v>3561</v>
      </c>
      <c r="C475" t="s">
        <v>501</v>
      </c>
      <c r="D475" t="s">
        <v>13</v>
      </c>
      <c r="E475" t="str">
        <f>"98052"</f>
        <v>98052</v>
      </c>
      <c r="F475" t="s">
        <v>38</v>
      </c>
      <c r="G475" t="s">
        <v>3562</v>
      </c>
      <c r="I475" t="s">
        <v>107</v>
      </c>
      <c r="J475" t="s">
        <v>13</v>
      </c>
      <c r="K475" t="str">
        <f>"98115"</f>
        <v>98115</v>
      </c>
      <c r="L475">
        <v>33</v>
      </c>
      <c r="M475">
        <v>32</v>
      </c>
      <c r="N475">
        <v>1</v>
      </c>
    </row>
    <row r="476" spans="1:14" x14ac:dyDescent="0.25">
      <c r="A476" t="s">
        <v>1086</v>
      </c>
      <c r="B476" t="s">
        <v>1087</v>
      </c>
      <c r="C476" t="s">
        <v>104</v>
      </c>
      <c r="D476" t="s">
        <v>13</v>
      </c>
      <c r="E476" t="str">
        <f>"98059"</f>
        <v>98059</v>
      </c>
      <c r="F476" t="s">
        <v>38</v>
      </c>
      <c r="G476" t="s">
        <v>1087</v>
      </c>
      <c r="I476" t="s">
        <v>104</v>
      </c>
      <c r="J476" t="s">
        <v>13</v>
      </c>
      <c r="K476" t="str">
        <f>"98059"</f>
        <v>98059</v>
      </c>
      <c r="L476">
        <v>58</v>
      </c>
      <c r="M476">
        <v>58</v>
      </c>
      <c r="N476">
        <v>0</v>
      </c>
    </row>
    <row r="477" spans="1:14" x14ac:dyDescent="0.25">
      <c r="A477" t="s">
        <v>1510</v>
      </c>
      <c r="B477" t="s">
        <v>1511</v>
      </c>
      <c r="C477" t="s">
        <v>359</v>
      </c>
      <c r="D477" t="s">
        <v>13</v>
      </c>
      <c r="E477" t="str">
        <f>"98032"</f>
        <v>98032</v>
      </c>
      <c r="F477" t="s">
        <v>38</v>
      </c>
      <c r="G477" t="s">
        <v>1509</v>
      </c>
      <c r="I477" t="s">
        <v>1484</v>
      </c>
      <c r="J477" t="s">
        <v>13</v>
      </c>
      <c r="K477" t="str">
        <f>"98033"</f>
        <v>98033</v>
      </c>
      <c r="L477">
        <v>39</v>
      </c>
      <c r="M477">
        <v>38</v>
      </c>
      <c r="N477">
        <v>1</v>
      </c>
    </row>
    <row r="478" spans="1:14" x14ac:dyDescent="0.25">
      <c r="A478" t="s">
        <v>3459</v>
      </c>
      <c r="B478" t="s">
        <v>3460</v>
      </c>
      <c r="C478" t="s">
        <v>638</v>
      </c>
      <c r="D478" t="s">
        <v>13</v>
      </c>
      <c r="E478" t="str">
        <f>"98022"</f>
        <v>98022</v>
      </c>
      <c r="F478" t="s">
        <v>38</v>
      </c>
      <c r="G478" t="s">
        <v>1566</v>
      </c>
      <c r="I478" t="s">
        <v>107</v>
      </c>
      <c r="J478" t="s">
        <v>13</v>
      </c>
      <c r="K478" t="str">
        <f>"98198"</f>
        <v>98198</v>
      </c>
      <c r="L478">
        <v>185</v>
      </c>
      <c r="M478">
        <v>175</v>
      </c>
      <c r="N478">
        <v>10</v>
      </c>
    </row>
    <row r="479" spans="1:14" x14ac:dyDescent="0.25">
      <c r="A479" t="s">
        <v>1346</v>
      </c>
      <c r="B479" t="s">
        <v>1347</v>
      </c>
      <c r="C479" t="s">
        <v>638</v>
      </c>
      <c r="D479" t="s">
        <v>13</v>
      </c>
      <c r="E479" t="str">
        <f>"98022"</f>
        <v>98022</v>
      </c>
      <c r="F479" t="s">
        <v>38</v>
      </c>
      <c r="G479" t="s">
        <v>1342</v>
      </c>
      <c r="I479" t="s">
        <v>1343</v>
      </c>
      <c r="J479" t="s">
        <v>433</v>
      </c>
      <c r="K479" t="str">
        <f>"92626"</f>
        <v>92626</v>
      </c>
      <c r="L479">
        <v>184</v>
      </c>
      <c r="M479">
        <v>178</v>
      </c>
      <c r="N479">
        <v>6</v>
      </c>
    </row>
    <row r="480" spans="1:14" x14ac:dyDescent="0.25">
      <c r="A480" t="s">
        <v>1952</v>
      </c>
      <c r="B480" t="s">
        <v>1953</v>
      </c>
      <c r="C480" t="s">
        <v>1498</v>
      </c>
      <c r="D480" t="s">
        <v>13</v>
      </c>
      <c r="E480" t="str">
        <f>"98045"</f>
        <v>98045</v>
      </c>
      <c r="F480" t="s">
        <v>38</v>
      </c>
      <c r="G480" t="s">
        <v>1954</v>
      </c>
      <c r="I480" t="s">
        <v>1498</v>
      </c>
      <c r="J480" t="s">
        <v>13</v>
      </c>
      <c r="K480" t="str">
        <f>"98045"</f>
        <v>98045</v>
      </c>
      <c r="L480">
        <v>85</v>
      </c>
      <c r="M480">
        <v>85</v>
      </c>
      <c r="N480">
        <v>0</v>
      </c>
    </row>
    <row r="481" spans="1:14" x14ac:dyDescent="0.25">
      <c r="A481" t="s">
        <v>2409</v>
      </c>
      <c r="B481" t="s">
        <v>2410</v>
      </c>
      <c r="C481" t="s">
        <v>359</v>
      </c>
      <c r="D481" t="s">
        <v>13</v>
      </c>
      <c r="E481" t="str">
        <f>"98032"</f>
        <v>98032</v>
      </c>
      <c r="F481" t="s">
        <v>38</v>
      </c>
      <c r="G481" t="s">
        <v>2411</v>
      </c>
      <c r="I481" t="s">
        <v>2128</v>
      </c>
      <c r="J481" t="s">
        <v>13</v>
      </c>
      <c r="K481" t="str">
        <f>"98198"</f>
        <v>98198</v>
      </c>
      <c r="L481">
        <v>24</v>
      </c>
      <c r="M481">
        <v>4</v>
      </c>
      <c r="N481">
        <v>20</v>
      </c>
    </row>
    <row r="482" spans="1:14" x14ac:dyDescent="0.25">
      <c r="A482" t="s">
        <v>2139</v>
      </c>
      <c r="B482" t="s">
        <v>2140</v>
      </c>
      <c r="C482" t="s">
        <v>1498</v>
      </c>
      <c r="D482" t="s">
        <v>13</v>
      </c>
      <c r="E482" t="str">
        <f>"98045"</f>
        <v>98045</v>
      </c>
      <c r="F482" t="s">
        <v>38</v>
      </c>
      <c r="G482" t="s">
        <v>2140</v>
      </c>
      <c r="I482" t="s">
        <v>1498</v>
      </c>
      <c r="J482" t="s">
        <v>13</v>
      </c>
      <c r="K482" t="str">
        <f>"98045"</f>
        <v>98045</v>
      </c>
      <c r="L482">
        <v>24</v>
      </c>
      <c r="M482">
        <v>24</v>
      </c>
      <c r="N482">
        <v>0</v>
      </c>
    </row>
    <row r="483" spans="1:14" x14ac:dyDescent="0.25">
      <c r="A483" t="s">
        <v>1544</v>
      </c>
      <c r="B483" t="s">
        <v>1545</v>
      </c>
      <c r="C483" t="s">
        <v>48</v>
      </c>
      <c r="D483" t="s">
        <v>13</v>
      </c>
      <c r="E483" t="str">
        <f>"98012"</f>
        <v>98012</v>
      </c>
      <c r="F483" t="s">
        <v>38</v>
      </c>
      <c r="G483" t="s">
        <v>1546</v>
      </c>
      <c r="I483" t="s">
        <v>1547</v>
      </c>
      <c r="J483" t="s">
        <v>13</v>
      </c>
      <c r="K483" t="str">
        <f>"98019"</f>
        <v>98019</v>
      </c>
      <c r="L483">
        <v>54</v>
      </c>
      <c r="M483">
        <v>54</v>
      </c>
      <c r="N483">
        <v>0</v>
      </c>
    </row>
    <row r="484" spans="1:14" x14ac:dyDescent="0.25">
      <c r="A484" t="s">
        <v>2418</v>
      </c>
      <c r="B484" t="s">
        <v>3796</v>
      </c>
      <c r="C484" t="s">
        <v>48</v>
      </c>
      <c r="D484" t="s">
        <v>13</v>
      </c>
      <c r="E484" t="str">
        <f>"98021"</f>
        <v>98021</v>
      </c>
      <c r="F484" t="s">
        <v>38</v>
      </c>
      <c r="G484" t="s">
        <v>1828</v>
      </c>
      <c r="I484" t="s">
        <v>41</v>
      </c>
      <c r="J484" t="s">
        <v>13</v>
      </c>
      <c r="K484" t="str">
        <f>"98271"</f>
        <v>98271</v>
      </c>
      <c r="L484">
        <v>40</v>
      </c>
      <c r="M484">
        <v>29</v>
      </c>
      <c r="N484">
        <v>11</v>
      </c>
    </row>
    <row r="485" spans="1:14" x14ac:dyDescent="0.25">
      <c r="A485" t="s">
        <v>2805</v>
      </c>
      <c r="B485" t="s">
        <v>2806</v>
      </c>
      <c r="C485" t="s">
        <v>43</v>
      </c>
      <c r="D485" t="s">
        <v>13</v>
      </c>
      <c r="E485" t="str">
        <f>"98040"</f>
        <v>98040</v>
      </c>
      <c r="F485" t="s">
        <v>38</v>
      </c>
      <c r="G485" t="s">
        <v>2807</v>
      </c>
      <c r="I485" t="s">
        <v>20</v>
      </c>
      <c r="J485" t="s">
        <v>13</v>
      </c>
      <c r="K485" t="str">
        <f>"98816"</f>
        <v>98816</v>
      </c>
      <c r="L485">
        <v>54</v>
      </c>
      <c r="M485">
        <v>54</v>
      </c>
      <c r="N485">
        <v>0</v>
      </c>
    </row>
    <row r="486" spans="1:14" x14ac:dyDescent="0.25">
      <c r="A486" t="s">
        <v>1944</v>
      </c>
      <c r="B486" t="s">
        <v>1945</v>
      </c>
      <c r="C486" t="s">
        <v>302</v>
      </c>
      <c r="D486" t="s">
        <v>13</v>
      </c>
      <c r="E486" t="str">
        <f>"98168"</f>
        <v>98168</v>
      </c>
      <c r="F486" t="s">
        <v>38</v>
      </c>
      <c r="G486" t="s">
        <v>1943</v>
      </c>
      <c r="I486" t="s">
        <v>1484</v>
      </c>
      <c r="J486" t="s">
        <v>13</v>
      </c>
      <c r="K486" t="str">
        <f>"98083"</f>
        <v>98083</v>
      </c>
      <c r="L486">
        <v>38</v>
      </c>
      <c r="M486">
        <v>38</v>
      </c>
      <c r="N486">
        <v>0</v>
      </c>
    </row>
    <row r="487" spans="1:14" x14ac:dyDescent="0.25">
      <c r="A487" t="s">
        <v>1503</v>
      </c>
      <c r="B487" t="s">
        <v>1500</v>
      </c>
      <c r="C487" t="s">
        <v>359</v>
      </c>
      <c r="D487" t="s">
        <v>13</v>
      </c>
      <c r="E487" t="str">
        <f>"98031"</f>
        <v>98031</v>
      </c>
      <c r="F487" t="s">
        <v>38</v>
      </c>
      <c r="G487" t="s">
        <v>1503</v>
      </c>
      <c r="H487" t="s">
        <v>326</v>
      </c>
      <c r="I487" t="s">
        <v>107</v>
      </c>
      <c r="J487" t="s">
        <v>13</v>
      </c>
      <c r="K487" t="str">
        <f>"98105"</f>
        <v>98105</v>
      </c>
      <c r="L487">
        <v>22</v>
      </c>
      <c r="M487">
        <v>22</v>
      </c>
      <c r="N487">
        <v>0</v>
      </c>
    </row>
    <row r="488" spans="1:14" x14ac:dyDescent="0.25">
      <c r="A488" t="s">
        <v>1499</v>
      </c>
      <c r="B488" t="s">
        <v>1500</v>
      </c>
      <c r="C488" t="s">
        <v>359</v>
      </c>
      <c r="D488" t="s">
        <v>13</v>
      </c>
      <c r="E488" t="str">
        <f>"98031"</f>
        <v>98031</v>
      </c>
      <c r="F488" t="s">
        <v>38</v>
      </c>
      <c r="G488" t="s">
        <v>1499</v>
      </c>
      <c r="H488" t="s">
        <v>326</v>
      </c>
      <c r="I488" t="s">
        <v>107</v>
      </c>
      <c r="J488" t="s">
        <v>13</v>
      </c>
      <c r="K488" t="str">
        <f>"98105"</f>
        <v>98105</v>
      </c>
      <c r="L488">
        <v>166</v>
      </c>
      <c r="M488">
        <v>166</v>
      </c>
      <c r="N488">
        <v>0</v>
      </c>
    </row>
    <row r="489" spans="1:14" x14ac:dyDescent="0.25">
      <c r="A489" t="s">
        <v>3809</v>
      </c>
      <c r="B489" t="s">
        <v>3810</v>
      </c>
      <c r="C489" t="s">
        <v>359</v>
      </c>
      <c r="D489" t="s">
        <v>13</v>
      </c>
      <c r="E489" t="str">
        <f>"98031"</f>
        <v>98031</v>
      </c>
      <c r="F489" t="s">
        <v>38</v>
      </c>
      <c r="G489" t="s">
        <v>3811</v>
      </c>
      <c r="H489" t="s">
        <v>326</v>
      </c>
      <c r="I489" t="s">
        <v>107</v>
      </c>
      <c r="J489" t="s">
        <v>13</v>
      </c>
      <c r="K489" t="str">
        <f>"98105"</f>
        <v>98105</v>
      </c>
      <c r="L489">
        <v>15</v>
      </c>
      <c r="M489">
        <v>15</v>
      </c>
      <c r="N489">
        <v>0</v>
      </c>
    </row>
    <row r="490" spans="1:14" x14ac:dyDescent="0.25">
      <c r="A490" t="s">
        <v>1119</v>
      </c>
      <c r="B490" t="s">
        <v>1120</v>
      </c>
      <c r="C490" t="s">
        <v>359</v>
      </c>
      <c r="D490" t="s">
        <v>13</v>
      </c>
      <c r="E490" t="str">
        <f>"98032"</f>
        <v>98032</v>
      </c>
      <c r="F490" t="s">
        <v>38</v>
      </c>
      <c r="G490" t="s">
        <v>106</v>
      </c>
      <c r="I490" t="s">
        <v>107</v>
      </c>
      <c r="J490" t="s">
        <v>13</v>
      </c>
      <c r="K490" t="str">
        <f>"98122"</f>
        <v>98122</v>
      </c>
      <c r="L490">
        <v>32</v>
      </c>
      <c r="M490">
        <v>32</v>
      </c>
      <c r="N490">
        <v>0</v>
      </c>
    </row>
    <row r="491" spans="1:14" x14ac:dyDescent="0.25">
      <c r="A491" t="s">
        <v>2358</v>
      </c>
      <c r="B491" t="s">
        <v>2359</v>
      </c>
      <c r="C491" t="s">
        <v>681</v>
      </c>
      <c r="D491" t="s">
        <v>13</v>
      </c>
      <c r="E491" t="str">
        <f>"98003"</f>
        <v>98003</v>
      </c>
      <c r="F491" t="s">
        <v>38</v>
      </c>
      <c r="G491" t="s">
        <v>111</v>
      </c>
      <c r="I491" t="s">
        <v>107</v>
      </c>
      <c r="J491" t="s">
        <v>13</v>
      </c>
      <c r="K491" t="str">
        <f>"98105"</f>
        <v>98105</v>
      </c>
      <c r="L491">
        <v>70</v>
      </c>
      <c r="M491">
        <v>70</v>
      </c>
      <c r="N491">
        <v>0</v>
      </c>
    </row>
    <row r="492" spans="1:14" x14ac:dyDescent="0.25">
      <c r="A492" t="s">
        <v>1664</v>
      </c>
      <c r="B492" t="s">
        <v>1665</v>
      </c>
      <c r="C492" t="s">
        <v>107</v>
      </c>
      <c r="D492" t="s">
        <v>13</v>
      </c>
      <c r="E492" t="str">
        <f>"98104"</f>
        <v>98104</v>
      </c>
      <c r="F492" t="s">
        <v>38</v>
      </c>
      <c r="G492" t="s">
        <v>1666</v>
      </c>
      <c r="H492" t="s">
        <v>1665</v>
      </c>
      <c r="I492" t="s">
        <v>107</v>
      </c>
      <c r="J492" t="s">
        <v>13</v>
      </c>
      <c r="K492" t="str">
        <f>"98104"</f>
        <v>98104</v>
      </c>
      <c r="L492">
        <v>76</v>
      </c>
      <c r="M492">
        <v>76</v>
      </c>
      <c r="N492">
        <v>0</v>
      </c>
    </row>
    <row r="493" spans="1:14" x14ac:dyDescent="0.25">
      <c r="A493" t="s">
        <v>1704</v>
      </c>
      <c r="B493" t="s">
        <v>1705</v>
      </c>
      <c r="C493" t="s">
        <v>1706</v>
      </c>
      <c r="D493" t="s">
        <v>13</v>
      </c>
      <c r="E493" t="str">
        <f>"98042"</f>
        <v>98042</v>
      </c>
      <c r="F493" t="s">
        <v>38</v>
      </c>
      <c r="G493" t="s">
        <v>1707</v>
      </c>
      <c r="I493" t="s">
        <v>1708</v>
      </c>
      <c r="J493" t="s">
        <v>13</v>
      </c>
      <c r="K493" t="str">
        <f>"98535"</f>
        <v>98535</v>
      </c>
      <c r="L493">
        <v>66</v>
      </c>
      <c r="M493">
        <v>66</v>
      </c>
      <c r="N493">
        <v>0</v>
      </c>
    </row>
    <row r="494" spans="1:14" x14ac:dyDescent="0.25">
      <c r="A494" t="s">
        <v>4020</v>
      </c>
      <c r="B494" t="s">
        <v>4021</v>
      </c>
      <c r="C494" t="s">
        <v>605</v>
      </c>
      <c r="D494" t="s">
        <v>13</v>
      </c>
      <c r="E494" t="str">
        <f>"98004"</f>
        <v>98004</v>
      </c>
      <c r="F494" t="s">
        <v>38</v>
      </c>
      <c r="G494" t="s">
        <v>4021</v>
      </c>
      <c r="I494" t="s">
        <v>605</v>
      </c>
      <c r="J494" t="s">
        <v>13</v>
      </c>
      <c r="K494" t="str">
        <f>"98004"</f>
        <v>98004</v>
      </c>
      <c r="L494">
        <v>51</v>
      </c>
      <c r="M494">
        <v>33</v>
      </c>
      <c r="N494">
        <v>18</v>
      </c>
    </row>
    <row r="495" spans="1:14" x14ac:dyDescent="0.25">
      <c r="A495" t="s">
        <v>3306</v>
      </c>
      <c r="B495" t="s">
        <v>111</v>
      </c>
      <c r="C495" t="s">
        <v>107</v>
      </c>
      <c r="D495" t="s">
        <v>13</v>
      </c>
      <c r="E495" t="str">
        <f>"98105"</f>
        <v>98105</v>
      </c>
      <c r="F495" t="s">
        <v>38</v>
      </c>
      <c r="G495" t="s">
        <v>3307</v>
      </c>
      <c r="H495" t="s">
        <v>3308</v>
      </c>
      <c r="I495" t="s">
        <v>605</v>
      </c>
      <c r="J495" t="s">
        <v>13</v>
      </c>
      <c r="K495" t="str">
        <f>"98005"</f>
        <v>98005</v>
      </c>
      <c r="L495">
        <v>62</v>
      </c>
      <c r="M495">
        <v>62</v>
      </c>
      <c r="N495">
        <v>0</v>
      </c>
    </row>
    <row r="496" spans="1:14" x14ac:dyDescent="0.25">
      <c r="A496" t="s">
        <v>2590</v>
      </c>
      <c r="B496" t="s">
        <v>2591</v>
      </c>
      <c r="C496" t="s">
        <v>302</v>
      </c>
      <c r="D496" t="s">
        <v>13</v>
      </c>
      <c r="E496" t="str">
        <f>"98188"</f>
        <v>98188</v>
      </c>
      <c r="F496" t="s">
        <v>38</v>
      </c>
      <c r="G496" t="s">
        <v>1943</v>
      </c>
      <c r="I496" t="s">
        <v>1484</v>
      </c>
      <c r="J496" t="s">
        <v>13</v>
      </c>
      <c r="K496" t="str">
        <f>"98083"</f>
        <v>98083</v>
      </c>
      <c r="L496">
        <v>41</v>
      </c>
      <c r="M496">
        <v>41</v>
      </c>
      <c r="N496">
        <v>0</v>
      </c>
    </row>
    <row r="497" spans="1:14" x14ac:dyDescent="0.25">
      <c r="A497" t="s">
        <v>3879</v>
      </c>
      <c r="B497" t="s">
        <v>3880</v>
      </c>
      <c r="C497" t="s">
        <v>107</v>
      </c>
      <c r="D497" t="s">
        <v>13</v>
      </c>
      <c r="E497" t="str">
        <f>"98101"</f>
        <v>98101</v>
      </c>
      <c r="F497" t="s">
        <v>38</v>
      </c>
      <c r="G497" t="s">
        <v>3881</v>
      </c>
      <c r="I497" t="s">
        <v>107</v>
      </c>
      <c r="J497" t="s">
        <v>13</v>
      </c>
      <c r="K497" t="str">
        <f>"98101"</f>
        <v>98101</v>
      </c>
      <c r="L497">
        <v>66</v>
      </c>
      <c r="M497">
        <v>66</v>
      </c>
      <c r="N497">
        <v>0</v>
      </c>
    </row>
    <row r="498" spans="1:14" x14ac:dyDescent="0.25">
      <c r="A498" t="s">
        <v>298</v>
      </c>
      <c r="B498" t="s">
        <v>299</v>
      </c>
      <c r="C498" t="s">
        <v>300</v>
      </c>
      <c r="D498" t="s">
        <v>13</v>
      </c>
      <c r="E498" t="str">
        <f>"98010"</f>
        <v>98010</v>
      </c>
      <c r="F498" t="s">
        <v>38</v>
      </c>
      <c r="G498" t="s">
        <v>301</v>
      </c>
      <c r="I498" t="s">
        <v>302</v>
      </c>
      <c r="J498" t="s">
        <v>13</v>
      </c>
      <c r="K498" t="str">
        <f>"98188"</f>
        <v>98188</v>
      </c>
      <c r="L498">
        <v>31</v>
      </c>
      <c r="M498">
        <v>31</v>
      </c>
      <c r="N498">
        <v>0</v>
      </c>
    </row>
    <row r="499" spans="1:14" x14ac:dyDescent="0.25">
      <c r="A499" t="s">
        <v>2651</v>
      </c>
      <c r="B499" t="s">
        <v>2652</v>
      </c>
      <c r="C499" t="s">
        <v>297</v>
      </c>
      <c r="D499" t="s">
        <v>13</v>
      </c>
      <c r="E499" t="str">
        <f>"98002"</f>
        <v>98002</v>
      </c>
      <c r="F499" t="s">
        <v>38</v>
      </c>
      <c r="G499" t="s">
        <v>1521</v>
      </c>
      <c r="I499" t="s">
        <v>1522</v>
      </c>
      <c r="J499" t="s">
        <v>433</v>
      </c>
      <c r="K499" t="str">
        <f>"92614"</f>
        <v>92614</v>
      </c>
      <c r="L499">
        <v>287</v>
      </c>
      <c r="M499">
        <v>283</v>
      </c>
      <c r="N499">
        <v>4</v>
      </c>
    </row>
    <row r="500" spans="1:14" x14ac:dyDescent="0.25">
      <c r="A500" t="s">
        <v>2470</v>
      </c>
      <c r="B500" t="s">
        <v>2471</v>
      </c>
      <c r="C500" t="s">
        <v>48</v>
      </c>
      <c r="D500" t="s">
        <v>13</v>
      </c>
      <c r="E500" t="str">
        <f>"98011"</f>
        <v>98011</v>
      </c>
      <c r="F500" t="s">
        <v>38</v>
      </c>
      <c r="G500" t="s">
        <v>111</v>
      </c>
      <c r="I500" t="s">
        <v>107</v>
      </c>
      <c r="J500" t="s">
        <v>13</v>
      </c>
      <c r="K500" t="str">
        <f>"98105"</f>
        <v>98105</v>
      </c>
      <c r="L500">
        <v>49</v>
      </c>
      <c r="M500">
        <v>48</v>
      </c>
      <c r="N500">
        <v>1</v>
      </c>
    </row>
    <row r="501" spans="1:14" x14ac:dyDescent="0.25">
      <c r="A501" t="s">
        <v>1049</v>
      </c>
      <c r="B501" t="s">
        <v>1050</v>
      </c>
      <c r="C501" t="s">
        <v>48</v>
      </c>
      <c r="D501" t="s">
        <v>13</v>
      </c>
      <c r="E501" t="str">
        <f>"98011"</f>
        <v>98011</v>
      </c>
      <c r="F501" t="s">
        <v>38</v>
      </c>
      <c r="G501" t="s">
        <v>1048</v>
      </c>
      <c r="I501" t="s">
        <v>46</v>
      </c>
      <c r="J501" t="s">
        <v>13</v>
      </c>
      <c r="K501" t="str">
        <f>"98072"</f>
        <v>98072</v>
      </c>
      <c r="L501">
        <v>55</v>
      </c>
      <c r="M501">
        <v>55</v>
      </c>
      <c r="N501">
        <v>0</v>
      </c>
    </row>
    <row r="502" spans="1:14" x14ac:dyDescent="0.25">
      <c r="A502" t="s">
        <v>1722</v>
      </c>
      <c r="B502" t="s">
        <v>1723</v>
      </c>
      <c r="C502" t="s">
        <v>48</v>
      </c>
      <c r="D502" t="s">
        <v>13</v>
      </c>
      <c r="E502" t="str">
        <f>"98012"</f>
        <v>98012</v>
      </c>
      <c r="F502" t="s">
        <v>38</v>
      </c>
      <c r="G502" t="s">
        <v>1723</v>
      </c>
      <c r="I502" t="s">
        <v>48</v>
      </c>
      <c r="J502" t="s">
        <v>13</v>
      </c>
      <c r="K502" t="str">
        <f>"98012"</f>
        <v>98012</v>
      </c>
      <c r="L502">
        <v>84</v>
      </c>
      <c r="M502">
        <v>84</v>
      </c>
      <c r="N502">
        <v>0</v>
      </c>
    </row>
    <row r="503" spans="1:14" x14ac:dyDescent="0.25">
      <c r="A503" t="s">
        <v>1637</v>
      </c>
      <c r="B503" t="s">
        <v>1638</v>
      </c>
      <c r="C503" t="s">
        <v>200</v>
      </c>
      <c r="D503" t="s">
        <v>13</v>
      </c>
      <c r="E503" t="str">
        <f>"98146"</f>
        <v>98146</v>
      </c>
      <c r="F503" t="s">
        <v>38</v>
      </c>
      <c r="G503" t="s">
        <v>1636</v>
      </c>
      <c r="I503" t="s">
        <v>43</v>
      </c>
      <c r="J503" t="s">
        <v>13</v>
      </c>
      <c r="K503" t="str">
        <f>"98040"</f>
        <v>98040</v>
      </c>
      <c r="L503">
        <v>10</v>
      </c>
      <c r="M503">
        <v>6</v>
      </c>
      <c r="N503">
        <v>4</v>
      </c>
    </row>
    <row r="504" spans="1:14" x14ac:dyDescent="0.25">
      <c r="A504" t="s">
        <v>3493</v>
      </c>
      <c r="B504" t="s">
        <v>3494</v>
      </c>
      <c r="C504" t="s">
        <v>2128</v>
      </c>
      <c r="D504" t="s">
        <v>13</v>
      </c>
      <c r="E504" t="str">
        <f>"98198"</f>
        <v>98198</v>
      </c>
      <c r="F504" t="s">
        <v>38</v>
      </c>
      <c r="G504" t="s">
        <v>326</v>
      </c>
      <c r="I504" t="s">
        <v>107</v>
      </c>
      <c r="J504" t="s">
        <v>13</v>
      </c>
      <c r="K504" t="str">
        <f>"98105"</f>
        <v>98105</v>
      </c>
      <c r="L504">
        <v>32</v>
      </c>
      <c r="M504">
        <v>27</v>
      </c>
      <c r="N504">
        <v>5</v>
      </c>
    </row>
    <row r="505" spans="1:14" x14ac:dyDescent="0.25">
      <c r="A505" t="s">
        <v>3835</v>
      </c>
      <c r="B505" t="s">
        <v>3836</v>
      </c>
      <c r="C505" t="s">
        <v>297</v>
      </c>
      <c r="D505" t="s">
        <v>13</v>
      </c>
      <c r="E505" t="str">
        <f>"98092"</f>
        <v>98092</v>
      </c>
      <c r="F505" t="s">
        <v>38</v>
      </c>
      <c r="G505" t="s">
        <v>3837</v>
      </c>
      <c r="I505" t="s">
        <v>37</v>
      </c>
      <c r="J505" t="s">
        <v>13</v>
      </c>
      <c r="K505" t="str">
        <f>"98027"</f>
        <v>98027</v>
      </c>
      <c r="L505">
        <v>36</v>
      </c>
      <c r="M505">
        <v>36</v>
      </c>
      <c r="N505">
        <v>0</v>
      </c>
    </row>
    <row r="506" spans="1:14" x14ac:dyDescent="0.25">
      <c r="A506" t="s">
        <v>3525</v>
      </c>
      <c r="B506" t="s">
        <v>3526</v>
      </c>
      <c r="C506" t="s">
        <v>297</v>
      </c>
      <c r="D506" t="s">
        <v>13</v>
      </c>
      <c r="E506" t="str">
        <f>"98002"</f>
        <v>98002</v>
      </c>
      <c r="F506" t="s">
        <v>38</v>
      </c>
      <c r="G506" t="s">
        <v>2073</v>
      </c>
      <c r="I506" t="s">
        <v>1522</v>
      </c>
      <c r="J506" t="s">
        <v>433</v>
      </c>
      <c r="K506" t="str">
        <f>"92612"</f>
        <v>92612</v>
      </c>
      <c r="L506">
        <v>256</v>
      </c>
      <c r="M506">
        <v>108</v>
      </c>
      <c r="N506">
        <v>148</v>
      </c>
    </row>
    <row r="507" spans="1:14" x14ac:dyDescent="0.25">
      <c r="A507" t="s">
        <v>3527</v>
      </c>
      <c r="B507" t="s">
        <v>3528</v>
      </c>
      <c r="C507" t="s">
        <v>297</v>
      </c>
      <c r="D507" t="s">
        <v>13</v>
      </c>
      <c r="E507" t="str">
        <f>"98002"</f>
        <v>98002</v>
      </c>
      <c r="F507" t="s">
        <v>38</v>
      </c>
      <c r="G507" t="s">
        <v>2073</v>
      </c>
      <c r="I507" t="s">
        <v>1522</v>
      </c>
      <c r="J507" t="s">
        <v>433</v>
      </c>
      <c r="K507" t="str">
        <f>"92612"</f>
        <v>92612</v>
      </c>
      <c r="L507">
        <v>111</v>
      </c>
      <c r="M507">
        <v>109</v>
      </c>
      <c r="N507">
        <v>2</v>
      </c>
    </row>
    <row r="508" spans="1:14" x14ac:dyDescent="0.25">
      <c r="A508" t="s">
        <v>1046</v>
      </c>
      <c r="B508" t="s">
        <v>1047</v>
      </c>
      <c r="C508" t="s">
        <v>107</v>
      </c>
      <c r="D508" t="s">
        <v>13</v>
      </c>
      <c r="E508" t="str">
        <f>"98178"</f>
        <v>98178</v>
      </c>
      <c r="F508" t="s">
        <v>38</v>
      </c>
      <c r="G508" t="s">
        <v>1048</v>
      </c>
      <c r="I508" t="s">
        <v>46</v>
      </c>
      <c r="J508" t="s">
        <v>13</v>
      </c>
      <c r="K508" t="str">
        <f>"98072"</f>
        <v>98072</v>
      </c>
      <c r="L508">
        <v>56</v>
      </c>
      <c r="M508">
        <v>35</v>
      </c>
      <c r="N508">
        <v>21</v>
      </c>
    </row>
    <row r="509" spans="1:14" x14ac:dyDescent="0.25">
      <c r="A509" t="s">
        <v>2808</v>
      </c>
      <c r="B509" t="s">
        <v>2809</v>
      </c>
      <c r="C509" t="s">
        <v>359</v>
      </c>
      <c r="D509" t="s">
        <v>13</v>
      </c>
      <c r="E509" t="str">
        <f>"98042"</f>
        <v>98042</v>
      </c>
      <c r="F509" t="s">
        <v>38</v>
      </c>
      <c r="G509" t="s">
        <v>1676</v>
      </c>
      <c r="I509" t="s">
        <v>359</v>
      </c>
      <c r="J509" t="s">
        <v>13</v>
      </c>
      <c r="K509" t="str">
        <f>"98042"</f>
        <v>98042</v>
      </c>
      <c r="L509">
        <v>119</v>
      </c>
      <c r="M509">
        <v>119</v>
      </c>
      <c r="N509">
        <v>0</v>
      </c>
    </row>
    <row r="510" spans="1:14" x14ac:dyDescent="0.25">
      <c r="A510" t="s">
        <v>2727</v>
      </c>
      <c r="B510" t="s">
        <v>2728</v>
      </c>
      <c r="C510" t="s">
        <v>2128</v>
      </c>
      <c r="D510" t="s">
        <v>13</v>
      </c>
      <c r="E510" t="str">
        <f>"98198"</f>
        <v>98198</v>
      </c>
      <c r="F510" t="s">
        <v>38</v>
      </c>
      <c r="G510" t="s">
        <v>2729</v>
      </c>
      <c r="I510" t="s">
        <v>12</v>
      </c>
      <c r="J510" t="s">
        <v>13</v>
      </c>
      <c r="K510" t="str">
        <f>"98036"</f>
        <v>98036</v>
      </c>
      <c r="L510">
        <v>60</v>
      </c>
      <c r="M510">
        <v>54</v>
      </c>
      <c r="N510">
        <v>6</v>
      </c>
    </row>
    <row r="511" spans="1:14" x14ac:dyDescent="0.25">
      <c r="A511" t="s">
        <v>2381</v>
      </c>
      <c r="B511" t="s">
        <v>2382</v>
      </c>
      <c r="C511" t="s">
        <v>302</v>
      </c>
      <c r="D511" t="s">
        <v>13</v>
      </c>
      <c r="E511" t="str">
        <f>"98168"</f>
        <v>98168</v>
      </c>
      <c r="F511" t="s">
        <v>38</v>
      </c>
      <c r="G511" t="s">
        <v>2383</v>
      </c>
      <c r="I511" t="s">
        <v>12</v>
      </c>
      <c r="J511" t="s">
        <v>13</v>
      </c>
      <c r="K511" t="str">
        <f>"98036"</f>
        <v>98036</v>
      </c>
      <c r="L511">
        <v>59</v>
      </c>
      <c r="M511">
        <v>5</v>
      </c>
      <c r="N511">
        <v>54</v>
      </c>
    </row>
    <row r="512" spans="1:14" x14ac:dyDescent="0.25">
      <c r="A512" t="s">
        <v>1634</v>
      </c>
      <c r="B512" t="s">
        <v>1635</v>
      </c>
      <c r="C512" t="s">
        <v>962</v>
      </c>
      <c r="D512" t="s">
        <v>13</v>
      </c>
      <c r="E512" t="str">
        <f>"98024"</f>
        <v>98024</v>
      </c>
      <c r="F512" t="s">
        <v>38</v>
      </c>
      <c r="G512" t="s">
        <v>1636</v>
      </c>
      <c r="I512" t="s">
        <v>43</v>
      </c>
      <c r="J512" t="s">
        <v>13</v>
      </c>
      <c r="K512" t="str">
        <f>"98040"</f>
        <v>98040</v>
      </c>
      <c r="L512">
        <v>42</v>
      </c>
      <c r="M512">
        <v>22</v>
      </c>
      <c r="N512">
        <v>20</v>
      </c>
    </row>
    <row r="513" spans="1:14" x14ac:dyDescent="0.25">
      <c r="A513" t="s">
        <v>3433</v>
      </c>
      <c r="B513" t="s">
        <v>3434</v>
      </c>
      <c r="C513" t="s">
        <v>107</v>
      </c>
      <c r="D513" t="s">
        <v>13</v>
      </c>
      <c r="E513" t="str">
        <f>"98146"</f>
        <v>98146</v>
      </c>
      <c r="F513" t="s">
        <v>38</v>
      </c>
      <c r="G513" t="s">
        <v>3435</v>
      </c>
      <c r="I513" t="s">
        <v>107</v>
      </c>
      <c r="J513" t="s">
        <v>13</v>
      </c>
      <c r="K513" t="str">
        <f>"98116"</f>
        <v>98116</v>
      </c>
      <c r="L513">
        <v>23</v>
      </c>
      <c r="M513">
        <v>22</v>
      </c>
      <c r="N513">
        <v>1</v>
      </c>
    </row>
    <row r="514" spans="1:14" x14ac:dyDescent="0.25">
      <c r="A514" t="s">
        <v>2144</v>
      </c>
      <c r="B514" t="s">
        <v>2145</v>
      </c>
      <c r="C514" t="s">
        <v>104</v>
      </c>
      <c r="D514" t="s">
        <v>13</v>
      </c>
      <c r="E514" t="str">
        <f>"98059"</f>
        <v>98059</v>
      </c>
      <c r="F514" t="s">
        <v>38</v>
      </c>
      <c r="G514" t="s">
        <v>2146</v>
      </c>
      <c r="I514" t="s">
        <v>1906</v>
      </c>
      <c r="J514" t="s">
        <v>433</v>
      </c>
      <c r="K514" t="str">
        <f>"95129"</f>
        <v>95129</v>
      </c>
      <c r="L514">
        <v>188</v>
      </c>
      <c r="M514">
        <v>187</v>
      </c>
      <c r="N514">
        <v>1</v>
      </c>
    </row>
    <row r="515" spans="1:14" x14ac:dyDescent="0.25">
      <c r="A515" t="s">
        <v>295</v>
      </c>
      <c r="B515" t="s">
        <v>296</v>
      </c>
      <c r="C515" t="s">
        <v>297</v>
      </c>
      <c r="D515" t="s">
        <v>13</v>
      </c>
      <c r="E515" t="str">
        <f>"98002"</f>
        <v>98002</v>
      </c>
      <c r="F515" t="s">
        <v>38</v>
      </c>
      <c r="G515" t="s">
        <v>296</v>
      </c>
      <c r="I515" t="s">
        <v>297</v>
      </c>
      <c r="J515" t="s">
        <v>13</v>
      </c>
      <c r="K515" t="str">
        <f>"98002"</f>
        <v>98002</v>
      </c>
      <c r="L515">
        <v>126</v>
      </c>
      <c r="M515">
        <v>126</v>
      </c>
      <c r="N515">
        <v>0</v>
      </c>
    </row>
    <row r="516" spans="1:14" x14ac:dyDescent="0.25">
      <c r="A516" t="s">
        <v>1823</v>
      </c>
      <c r="B516" t="s">
        <v>1824</v>
      </c>
      <c r="C516" t="s">
        <v>359</v>
      </c>
      <c r="D516" t="s">
        <v>13</v>
      </c>
      <c r="E516" t="str">
        <f>"98032"</f>
        <v>98032</v>
      </c>
      <c r="F516" t="s">
        <v>38</v>
      </c>
      <c r="G516" t="s">
        <v>1825</v>
      </c>
      <c r="I516" t="s">
        <v>1484</v>
      </c>
      <c r="J516" t="s">
        <v>13</v>
      </c>
      <c r="K516" t="str">
        <f>"98033"</f>
        <v>98033</v>
      </c>
      <c r="L516">
        <v>30</v>
      </c>
      <c r="M516">
        <v>26</v>
      </c>
      <c r="N516">
        <v>4</v>
      </c>
    </row>
    <row r="517" spans="1:14" x14ac:dyDescent="0.25">
      <c r="A517" t="s">
        <v>1898</v>
      </c>
      <c r="B517" t="s">
        <v>1899</v>
      </c>
      <c r="C517" t="s">
        <v>1498</v>
      </c>
      <c r="D517" t="s">
        <v>13</v>
      </c>
      <c r="E517" t="str">
        <f>"98045"</f>
        <v>98045</v>
      </c>
      <c r="F517" t="s">
        <v>38</v>
      </c>
      <c r="G517" t="s">
        <v>1900</v>
      </c>
      <c r="I517" t="s">
        <v>107</v>
      </c>
      <c r="J517" t="s">
        <v>13</v>
      </c>
      <c r="K517" t="str">
        <f>"98146"</f>
        <v>98146</v>
      </c>
      <c r="L517">
        <v>31</v>
      </c>
      <c r="M517">
        <v>30</v>
      </c>
      <c r="N517">
        <v>1</v>
      </c>
    </row>
    <row r="518" spans="1:14" x14ac:dyDescent="0.25">
      <c r="A518" t="s">
        <v>312</v>
      </c>
      <c r="B518" t="s">
        <v>313</v>
      </c>
      <c r="C518" t="s">
        <v>37</v>
      </c>
      <c r="D518" t="s">
        <v>13</v>
      </c>
      <c r="E518" t="str">
        <f>"98027"</f>
        <v>98027</v>
      </c>
      <c r="F518" t="s">
        <v>38</v>
      </c>
      <c r="G518" t="s">
        <v>314</v>
      </c>
      <c r="I518" t="s">
        <v>37</v>
      </c>
      <c r="J518" t="s">
        <v>13</v>
      </c>
      <c r="K518" t="str">
        <f>"98027"</f>
        <v>98027</v>
      </c>
      <c r="L518">
        <v>56</v>
      </c>
      <c r="M518">
        <v>52</v>
      </c>
      <c r="N518">
        <v>4</v>
      </c>
    </row>
    <row r="519" spans="1:14" x14ac:dyDescent="0.25">
      <c r="A519" t="s">
        <v>1020</v>
      </c>
      <c r="B519" t="s">
        <v>1021</v>
      </c>
      <c r="C519" t="s">
        <v>107</v>
      </c>
      <c r="D519" t="s">
        <v>13</v>
      </c>
      <c r="E519" t="str">
        <f>"98115"</f>
        <v>98115</v>
      </c>
      <c r="F519" t="s">
        <v>38</v>
      </c>
      <c r="G519" t="s">
        <v>1022</v>
      </c>
      <c r="I519" t="s">
        <v>561</v>
      </c>
      <c r="J519" t="s">
        <v>13</v>
      </c>
      <c r="K519" t="str">
        <f>"98028"</f>
        <v>98028</v>
      </c>
      <c r="L519">
        <v>77</v>
      </c>
      <c r="M519">
        <v>62</v>
      </c>
      <c r="N519">
        <v>15</v>
      </c>
    </row>
    <row r="520" spans="1:14" x14ac:dyDescent="0.25">
      <c r="A520" t="s">
        <v>2592</v>
      </c>
      <c r="B520" t="s">
        <v>2593</v>
      </c>
      <c r="C520" t="s">
        <v>359</v>
      </c>
      <c r="D520" t="s">
        <v>13</v>
      </c>
      <c r="E520" t="str">
        <f>"98032"</f>
        <v>98032</v>
      </c>
      <c r="F520" t="s">
        <v>38</v>
      </c>
      <c r="G520" t="s">
        <v>2594</v>
      </c>
      <c r="I520" t="s">
        <v>2595</v>
      </c>
      <c r="J520" t="s">
        <v>13</v>
      </c>
      <c r="K520" t="str">
        <f>"98038"</f>
        <v>98038</v>
      </c>
      <c r="L520">
        <v>100</v>
      </c>
      <c r="M520">
        <v>100</v>
      </c>
      <c r="N520">
        <v>0</v>
      </c>
    </row>
    <row r="521" spans="1:14" x14ac:dyDescent="0.25">
      <c r="A521" t="s">
        <v>1941</v>
      </c>
      <c r="B521" t="s">
        <v>2207</v>
      </c>
      <c r="C521" t="s">
        <v>104</v>
      </c>
      <c r="D521" t="s">
        <v>13</v>
      </c>
      <c r="E521" t="str">
        <f>"98058"</f>
        <v>98058</v>
      </c>
      <c r="F521" t="s">
        <v>38</v>
      </c>
      <c r="G521" t="s">
        <v>2208</v>
      </c>
      <c r="I521" t="s">
        <v>1267</v>
      </c>
      <c r="J521" t="s">
        <v>13</v>
      </c>
      <c r="K521" t="str">
        <f>"98942"</f>
        <v>98942</v>
      </c>
      <c r="L521">
        <v>45</v>
      </c>
      <c r="M521">
        <v>43</v>
      </c>
      <c r="N521">
        <v>2</v>
      </c>
    </row>
    <row r="522" spans="1:14" x14ac:dyDescent="0.25">
      <c r="A522" t="s">
        <v>303</v>
      </c>
      <c r="B522" t="s">
        <v>304</v>
      </c>
      <c r="C522" t="s">
        <v>104</v>
      </c>
      <c r="D522" t="s">
        <v>13</v>
      </c>
      <c r="E522" t="str">
        <f>"98055"</f>
        <v>98055</v>
      </c>
      <c r="F522" t="s">
        <v>38</v>
      </c>
      <c r="G522" t="s">
        <v>301</v>
      </c>
      <c r="I522" t="s">
        <v>302</v>
      </c>
      <c r="J522" t="s">
        <v>13</v>
      </c>
      <c r="K522" t="str">
        <f>"98188"</f>
        <v>98188</v>
      </c>
      <c r="L522">
        <v>164</v>
      </c>
      <c r="M522">
        <v>164</v>
      </c>
      <c r="N522">
        <v>0</v>
      </c>
    </row>
    <row r="523" spans="1:14" x14ac:dyDescent="0.25">
      <c r="A523" t="s">
        <v>1121</v>
      </c>
      <c r="B523" t="s">
        <v>1122</v>
      </c>
      <c r="C523" t="s">
        <v>107</v>
      </c>
      <c r="D523" t="s">
        <v>13</v>
      </c>
      <c r="E523" t="str">
        <f>"98178"</f>
        <v>98178</v>
      </c>
      <c r="F523" t="s">
        <v>38</v>
      </c>
      <c r="G523" t="s">
        <v>106</v>
      </c>
      <c r="I523" t="s">
        <v>107</v>
      </c>
      <c r="J523" t="s">
        <v>13</v>
      </c>
      <c r="K523" t="str">
        <f>"98122"</f>
        <v>98122</v>
      </c>
      <c r="L523">
        <v>43</v>
      </c>
      <c r="M523">
        <v>43</v>
      </c>
      <c r="N523">
        <v>0</v>
      </c>
    </row>
    <row r="524" spans="1:14" x14ac:dyDescent="0.25">
      <c r="A524" t="s">
        <v>2023</v>
      </c>
      <c r="B524" t="s">
        <v>2024</v>
      </c>
      <c r="C524" t="s">
        <v>359</v>
      </c>
      <c r="D524" t="s">
        <v>13</v>
      </c>
      <c r="E524" t="str">
        <f>"98030"</f>
        <v>98030</v>
      </c>
      <c r="F524" t="s">
        <v>38</v>
      </c>
      <c r="G524" t="s">
        <v>535</v>
      </c>
      <c r="I524" t="s">
        <v>536</v>
      </c>
      <c r="J524" t="s">
        <v>13</v>
      </c>
      <c r="K524" t="str">
        <f>"98499"</f>
        <v>98499</v>
      </c>
      <c r="L524">
        <v>37</v>
      </c>
      <c r="M524">
        <v>37</v>
      </c>
      <c r="N524">
        <v>0</v>
      </c>
    </row>
    <row r="525" spans="1:14" x14ac:dyDescent="0.25">
      <c r="A525" t="s">
        <v>3952</v>
      </c>
      <c r="B525" t="s">
        <v>3953</v>
      </c>
      <c r="C525" t="s">
        <v>359</v>
      </c>
      <c r="D525" t="s">
        <v>13</v>
      </c>
      <c r="E525" t="str">
        <f>"98032"</f>
        <v>98032</v>
      </c>
      <c r="F525" t="s">
        <v>38</v>
      </c>
      <c r="G525" t="s">
        <v>3954</v>
      </c>
      <c r="I525" t="s">
        <v>1593</v>
      </c>
      <c r="J525" t="s">
        <v>433</v>
      </c>
      <c r="K525" t="str">
        <f>"94104"</f>
        <v>94104</v>
      </c>
      <c r="L525">
        <v>62</v>
      </c>
      <c r="M525">
        <v>62</v>
      </c>
      <c r="N525">
        <v>0</v>
      </c>
    </row>
    <row r="526" spans="1:14" x14ac:dyDescent="0.25">
      <c r="A526" t="s">
        <v>3760</v>
      </c>
      <c r="B526" t="s">
        <v>2742</v>
      </c>
      <c r="C526" t="s">
        <v>104</v>
      </c>
      <c r="D526" t="s">
        <v>13</v>
      </c>
      <c r="E526" t="str">
        <f>"98059"</f>
        <v>98059</v>
      </c>
      <c r="F526" t="s">
        <v>38</v>
      </c>
      <c r="G526" t="s">
        <v>2742</v>
      </c>
      <c r="I526" t="s">
        <v>104</v>
      </c>
      <c r="J526" t="s">
        <v>13</v>
      </c>
      <c r="K526" t="str">
        <f>"98059"</f>
        <v>98059</v>
      </c>
      <c r="L526">
        <v>95</v>
      </c>
      <c r="M526">
        <v>92</v>
      </c>
      <c r="N526">
        <v>3</v>
      </c>
    </row>
    <row r="527" spans="1:14" x14ac:dyDescent="0.25">
      <c r="A527" t="s">
        <v>441</v>
      </c>
      <c r="B527" t="s">
        <v>442</v>
      </c>
      <c r="C527" t="s">
        <v>443</v>
      </c>
      <c r="D527" t="s">
        <v>13</v>
      </c>
      <c r="E527" t="str">
        <f>"98014"</f>
        <v>98014</v>
      </c>
      <c r="F527" t="s">
        <v>38</v>
      </c>
      <c r="G527" t="s">
        <v>444</v>
      </c>
      <c r="I527" t="s">
        <v>445</v>
      </c>
      <c r="J527" t="s">
        <v>13</v>
      </c>
      <c r="K527" t="str">
        <f>"98922"</f>
        <v>98922</v>
      </c>
      <c r="L527">
        <v>16</v>
      </c>
      <c r="M527">
        <v>16</v>
      </c>
      <c r="N527">
        <v>0</v>
      </c>
    </row>
    <row r="528" spans="1:14" x14ac:dyDescent="0.25">
      <c r="A528" t="s">
        <v>1516</v>
      </c>
      <c r="B528" t="s">
        <v>1517</v>
      </c>
      <c r="C528" t="s">
        <v>359</v>
      </c>
      <c r="D528" t="s">
        <v>13</v>
      </c>
      <c r="E528" t="str">
        <f>"98032"</f>
        <v>98032</v>
      </c>
      <c r="F528" t="s">
        <v>38</v>
      </c>
      <c r="G528" t="s">
        <v>1516</v>
      </c>
      <c r="H528" t="s">
        <v>326</v>
      </c>
      <c r="I528" t="s">
        <v>107</v>
      </c>
      <c r="J528" t="s">
        <v>13</v>
      </c>
      <c r="K528" t="str">
        <f>"98105"</f>
        <v>98105</v>
      </c>
      <c r="L528">
        <v>112</v>
      </c>
      <c r="M528">
        <v>43</v>
      </c>
      <c r="N528">
        <v>69</v>
      </c>
    </row>
    <row r="529" spans="1:14" x14ac:dyDescent="0.25">
      <c r="A529" t="s">
        <v>102</v>
      </c>
      <c r="B529" t="s">
        <v>103</v>
      </c>
      <c r="C529" t="s">
        <v>104</v>
      </c>
      <c r="D529" t="s">
        <v>13</v>
      </c>
      <c r="E529" t="str">
        <f>"98058"</f>
        <v>98058</v>
      </c>
      <c r="F529" t="s">
        <v>38</v>
      </c>
      <c r="G529" t="s">
        <v>105</v>
      </c>
      <c r="H529" t="s">
        <v>106</v>
      </c>
      <c r="I529" t="s">
        <v>107</v>
      </c>
      <c r="J529" t="s">
        <v>13</v>
      </c>
      <c r="K529" t="str">
        <f>"98122"</f>
        <v>98122</v>
      </c>
      <c r="L529">
        <v>109</v>
      </c>
      <c r="M529">
        <v>74</v>
      </c>
      <c r="N529">
        <v>35</v>
      </c>
    </row>
    <row r="530" spans="1:14" x14ac:dyDescent="0.25">
      <c r="A530" t="s">
        <v>1190</v>
      </c>
      <c r="B530" t="s">
        <v>1561</v>
      </c>
      <c r="C530" t="s">
        <v>366</v>
      </c>
      <c r="D530" t="s">
        <v>13</v>
      </c>
      <c r="E530" t="str">
        <f>"98367"</f>
        <v>98367</v>
      </c>
      <c r="F530" t="s">
        <v>324</v>
      </c>
      <c r="G530" t="s">
        <v>1022</v>
      </c>
      <c r="I530" t="s">
        <v>561</v>
      </c>
      <c r="J530" t="s">
        <v>13</v>
      </c>
      <c r="K530" t="str">
        <f>"98078"</f>
        <v>98078</v>
      </c>
      <c r="L530">
        <v>49</v>
      </c>
      <c r="M530">
        <v>33</v>
      </c>
      <c r="N530">
        <v>16</v>
      </c>
    </row>
    <row r="531" spans="1:14" x14ac:dyDescent="0.25">
      <c r="A531" t="s">
        <v>2005</v>
      </c>
      <c r="B531" t="s">
        <v>2006</v>
      </c>
      <c r="C531" t="s">
        <v>366</v>
      </c>
      <c r="D531" t="s">
        <v>13</v>
      </c>
      <c r="E531" t="str">
        <f>"98367"</f>
        <v>98367</v>
      </c>
      <c r="F531" t="s">
        <v>324</v>
      </c>
      <c r="G531" t="s">
        <v>2007</v>
      </c>
      <c r="I531" t="s">
        <v>72</v>
      </c>
      <c r="J531" t="s">
        <v>13</v>
      </c>
      <c r="K531" t="str">
        <f>"98422"</f>
        <v>98422</v>
      </c>
      <c r="L531">
        <v>29</v>
      </c>
      <c r="M531">
        <v>26</v>
      </c>
      <c r="N531">
        <v>3</v>
      </c>
    </row>
    <row r="532" spans="1:14" x14ac:dyDescent="0.25">
      <c r="A532" t="s">
        <v>716</v>
      </c>
      <c r="B532" t="s">
        <v>717</v>
      </c>
      <c r="C532" t="s">
        <v>323</v>
      </c>
      <c r="D532" t="s">
        <v>13</v>
      </c>
      <c r="E532" t="str">
        <f>"98311"</f>
        <v>98311</v>
      </c>
      <c r="F532" t="s">
        <v>324</v>
      </c>
      <c r="G532" t="s">
        <v>718</v>
      </c>
      <c r="I532" t="s">
        <v>719</v>
      </c>
      <c r="J532" t="s">
        <v>433</v>
      </c>
      <c r="K532" t="str">
        <f>"92260"</f>
        <v>92260</v>
      </c>
      <c r="L532">
        <v>153</v>
      </c>
      <c r="M532">
        <v>153</v>
      </c>
      <c r="N532">
        <v>0</v>
      </c>
    </row>
    <row r="533" spans="1:14" x14ac:dyDescent="0.25">
      <c r="A533" t="s">
        <v>1842</v>
      </c>
      <c r="B533" t="s">
        <v>1843</v>
      </c>
      <c r="C533" t="s">
        <v>598</v>
      </c>
      <c r="D533" t="s">
        <v>13</v>
      </c>
      <c r="E533" t="str">
        <f>"98370"</f>
        <v>98370</v>
      </c>
      <c r="F533" t="s">
        <v>324</v>
      </c>
      <c r="G533" t="s">
        <v>1843</v>
      </c>
      <c r="I533" t="s">
        <v>598</v>
      </c>
      <c r="J533" t="s">
        <v>13</v>
      </c>
      <c r="K533" t="str">
        <f>"98370"</f>
        <v>98370</v>
      </c>
      <c r="L533">
        <v>133</v>
      </c>
      <c r="M533">
        <v>133</v>
      </c>
      <c r="N533">
        <v>0</v>
      </c>
    </row>
    <row r="534" spans="1:14" x14ac:dyDescent="0.25">
      <c r="A534" t="s">
        <v>3325</v>
      </c>
      <c r="B534" t="s">
        <v>3326</v>
      </c>
      <c r="C534" t="s">
        <v>3283</v>
      </c>
      <c r="D534" t="s">
        <v>13</v>
      </c>
      <c r="E534" t="str">
        <f>"98383"</f>
        <v>98383</v>
      </c>
      <c r="F534" t="s">
        <v>324</v>
      </c>
      <c r="G534" t="s">
        <v>3327</v>
      </c>
      <c r="I534" t="s">
        <v>3328</v>
      </c>
      <c r="J534" t="s">
        <v>433</v>
      </c>
      <c r="K534" t="str">
        <f>"90701"</f>
        <v>90701</v>
      </c>
      <c r="L534">
        <v>22</v>
      </c>
      <c r="M534">
        <v>22</v>
      </c>
      <c r="N534">
        <v>0</v>
      </c>
    </row>
    <row r="535" spans="1:14" x14ac:dyDescent="0.25">
      <c r="A535" t="s">
        <v>1750</v>
      </c>
      <c r="B535" t="s">
        <v>1751</v>
      </c>
      <c r="C535" t="s">
        <v>323</v>
      </c>
      <c r="D535" t="s">
        <v>13</v>
      </c>
      <c r="E535" t="str">
        <f>"98312"</f>
        <v>98312</v>
      </c>
      <c r="F535" t="s">
        <v>324</v>
      </c>
      <c r="G535" t="s">
        <v>1752</v>
      </c>
      <c r="I535" t="s">
        <v>72</v>
      </c>
      <c r="J535" t="s">
        <v>13</v>
      </c>
      <c r="K535" t="str">
        <f>"98412"</f>
        <v>98412</v>
      </c>
      <c r="L535">
        <v>62</v>
      </c>
      <c r="M535">
        <v>59</v>
      </c>
      <c r="N535">
        <v>3</v>
      </c>
    </row>
    <row r="536" spans="1:14" x14ac:dyDescent="0.25">
      <c r="A536" t="s">
        <v>1776</v>
      </c>
      <c r="B536" t="s">
        <v>1777</v>
      </c>
      <c r="C536" t="s">
        <v>323</v>
      </c>
      <c r="D536" t="s">
        <v>13</v>
      </c>
      <c r="E536" t="str">
        <f>"98311"</f>
        <v>98311</v>
      </c>
      <c r="F536" t="s">
        <v>324</v>
      </c>
      <c r="G536" t="s">
        <v>1778</v>
      </c>
      <c r="I536" t="s">
        <v>323</v>
      </c>
      <c r="J536" t="s">
        <v>13</v>
      </c>
      <c r="K536" t="str">
        <f>"98311"</f>
        <v>98311</v>
      </c>
      <c r="L536">
        <v>76</v>
      </c>
      <c r="M536">
        <v>76</v>
      </c>
      <c r="N536">
        <v>0</v>
      </c>
    </row>
    <row r="537" spans="1:14" x14ac:dyDescent="0.25">
      <c r="A537" t="s">
        <v>2842</v>
      </c>
      <c r="B537" t="s">
        <v>2843</v>
      </c>
      <c r="C537" t="s">
        <v>323</v>
      </c>
      <c r="D537" t="s">
        <v>13</v>
      </c>
      <c r="E537" t="str">
        <f>"98311"</f>
        <v>98311</v>
      </c>
      <c r="F537" t="s">
        <v>324</v>
      </c>
      <c r="G537" t="s">
        <v>2844</v>
      </c>
      <c r="I537" t="s">
        <v>323</v>
      </c>
      <c r="J537" t="s">
        <v>13</v>
      </c>
      <c r="K537" t="str">
        <f>"98312"</f>
        <v>98312</v>
      </c>
      <c r="L537">
        <v>29</v>
      </c>
      <c r="M537">
        <v>29</v>
      </c>
      <c r="N537">
        <v>0</v>
      </c>
    </row>
    <row r="538" spans="1:14" x14ac:dyDescent="0.25">
      <c r="A538" t="s">
        <v>3558</v>
      </c>
      <c r="B538" t="s">
        <v>3559</v>
      </c>
      <c r="C538" t="s">
        <v>323</v>
      </c>
      <c r="D538" t="s">
        <v>13</v>
      </c>
      <c r="E538" t="str">
        <f>"98312"</f>
        <v>98312</v>
      </c>
      <c r="F538" t="s">
        <v>324</v>
      </c>
      <c r="G538" t="s">
        <v>3468</v>
      </c>
      <c r="I538" t="s">
        <v>58</v>
      </c>
      <c r="J538" t="s">
        <v>13</v>
      </c>
      <c r="K538" t="str">
        <f>"98333"</f>
        <v>98333</v>
      </c>
      <c r="L538">
        <v>37</v>
      </c>
      <c r="M538">
        <v>37</v>
      </c>
      <c r="N538">
        <v>0</v>
      </c>
    </row>
    <row r="539" spans="1:14" x14ac:dyDescent="0.25">
      <c r="A539" t="s">
        <v>2275</v>
      </c>
      <c r="B539" t="s">
        <v>2276</v>
      </c>
      <c r="C539" t="s">
        <v>366</v>
      </c>
      <c r="D539" t="s">
        <v>13</v>
      </c>
      <c r="E539" t="str">
        <f>"98366"</f>
        <v>98366</v>
      </c>
      <c r="F539" t="s">
        <v>324</v>
      </c>
      <c r="G539" t="s">
        <v>2277</v>
      </c>
      <c r="I539" t="s">
        <v>2278</v>
      </c>
      <c r="J539" t="s">
        <v>13</v>
      </c>
      <c r="K539" t="str">
        <f>"98070"</f>
        <v>98070</v>
      </c>
      <c r="L539">
        <v>23</v>
      </c>
      <c r="M539">
        <v>23</v>
      </c>
      <c r="N539">
        <v>0</v>
      </c>
    </row>
    <row r="540" spans="1:14" x14ac:dyDescent="0.25">
      <c r="A540" t="s">
        <v>2899</v>
      </c>
      <c r="B540" t="s">
        <v>2900</v>
      </c>
      <c r="C540" t="s">
        <v>323</v>
      </c>
      <c r="D540" t="s">
        <v>13</v>
      </c>
      <c r="E540" t="str">
        <f>"98311"</f>
        <v>98311</v>
      </c>
      <c r="F540" t="s">
        <v>324</v>
      </c>
      <c r="G540" t="s">
        <v>2900</v>
      </c>
      <c r="I540" t="s">
        <v>323</v>
      </c>
      <c r="J540" t="s">
        <v>13</v>
      </c>
      <c r="K540" t="str">
        <f>"98311"</f>
        <v>98311</v>
      </c>
      <c r="L540">
        <v>17</v>
      </c>
      <c r="M540">
        <v>16</v>
      </c>
      <c r="N540">
        <v>1</v>
      </c>
    </row>
    <row r="541" spans="1:14" x14ac:dyDescent="0.25">
      <c r="A541" t="s">
        <v>2068</v>
      </c>
      <c r="B541" t="s">
        <v>2069</v>
      </c>
      <c r="C541" t="s">
        <v>366</v>
      </c>
      <c r="D541" t="s">
        <v>13</v>
      </c>
      <c r="E541" t="str">
        <f>"98366"</f>
        <v>98366</v>
      </c>
      <c r="F541" t="s">
        <v>324</v>
      </c>
      <c r="G541" t="s">
        <v>2070</v>
      </c>
      <c r="I541" t="s">
        <v>107</v>
      </c>
      <c r="J541" t="s">
        <v>13</v>
      </c>
      <c r="K541" t="str">
        <f>"98122"</f>
        <v>98122</v>
      </c>
      <c r="L541">
        <v>25</v>
      </c>
      <c r="M541">
        <v>24</v>
      </c>
      <c r="N541">
        <v>1</v>
      </c>
    </row>
    <row r="542" spans="1:14" x14ac:dyDescent="0.25">
      <c r="A542" t="s">
        <v>2602</v>
      </c>
      <c r="B542" t="s">
        <v>2603</v>
      </c>
      <c r="C542" t="s">
        <v>323</v>
      </c>
      <c r="D542" t="s">
        <v>13</v>
      </c>
      <c r="E542" t="str">
        <f>"98310"</f>
        <v>98310</v>
      </c>
      <c r="F542" t="s">
        <v>324</v>
      </c>
      <c r="G542" t="s">
        <v>2604</v>
      </c>
      <c r="I542" t="s">
        <v>2605</v>
      </c>
      <c r="J542" t="s">
        <v>821</v>
      </c>
      <c r="K542" t="str">
        <f>"97405"</f>
        <v>97405</v>
      </c>
      <c r="L542">
        <v>37</v>
      </c>
      <c r="M542">
        <v>37</v>
      </c>
      <c r="N542">
        <v>0</v>
      </c>
    </row>
    <row r="543" spans="1:14" x14ac:dyDescent="0.25">
      <c r="A543" t="s">
        <v>1911</v>
      </c>
      <c r="B543" t="s">
        <v>1912</v>
      </c>
      <c r="C543" t="s">
        <v>323</v>
      </c>
      <c r="D543" t="s">
        <v>13</v>
      </c>
      <c r="E543" t="str">
        <f>"98311"</f>
        <v>98311</v>
      </c>
      <c r="F543" t="s">
        <v>324</v>
      </c>
      <c r="G543" t="s">
        <v>1908</v>
      </c>
      <c r="I543" t="s">
        <v>1906</v>
      </c>
      <c r="J543" t="s">
        <v>433</v>
      </c>
      <c r="K543" t="str">
        <f>"95129"</f>
        <v>95129</v>
      </c>
      <c r="L543">
        <v>137</v>
      </c>
      <c r="M543">
        <v>137</v>
      </c>
      <c r="N543">
        <v>0</v>
      </c>
    </row>
    <row r="544" spans="1:14" x14ac:dyDescent="0.25">
      <c r="A544" t="s">
        <v>3891</v>
      </c>
      <c r="B544" t="s">
        <v>3892</v>
      </c>
      <c r="C544" t="s">
        <v>2235</v>
      </c>
      <c r="D544" t="s">
        <v>13</v>
      </c>
      <c r="E544" t="str">
        <f>"98346"</f>
        <v>98346</v>
      </c>
      <c r="F544" t="s">
        <v>324</v>
      </c>
      <c r="G544" t="s">
        <v>3893</v>
      </c>
      <c r="I544" t="s">
        <v>3894</v>
      </c>
      <c r="J544" t="s">
        <v>13</v>
      </c>
      <c r="K544" t="str">
        <f>"98392"</f>
        <v>98392</v>
      </c>
      <c r="L544">
        <v>16</v>
      </c>
      <c r="M544">
        <v>16</v>
      </c>
      <c r="N544">
        <v>0</v>
      </c>
    </row>
    <row r="545" spans="1:14" x14ac:dyDescent="0.25">
      <c r="A545" t="s">
        <v>3385</v>
      </c>
      <c r="B545" t="s">
        <v>3386</v>
      </c>
      <c r="C545" t="s">
        <v>323</v>
      </c>
      <c r="D545" t="s">
        <v>13</v>
      </c>
      <c r="E545" t="str">
        <f>"98312"</f>
        <v>98312</v>
      </c>
      <c r="F545" t="s">
        <v>324</v>
      </c>
      <c r="G545" t="s">
        <v>3387</v>
      </c>
      <c r="I545" t="s">
        <v>323</v>
      </c>
      <c r="J545" t="s">
        <v>13</v>
      </c>
      <c r="K545" t="str">
        <f>"98312"</f>
        <v>98312</v>
      </c>
      <c r="L545">
        <v>55</v>
      </c>
      <c r="M545">
        <v>52</v>
      </c>
      <c r="N545">
        <v>3</v>
      </c>
    </row>
    <row r="546" spans="1:14" x14ac:dyDescent="0.25">
      <c r="A546" t="s">
        <v>1670</v>
      </c>
      <c r="B546" t="s">
        <v>1671</v>
      </c>
      <c r="C546" t="s">
        <v>366</v>
      </c>
      <c r="D546" t="s">
        <v>13</v>
      </c>
      <c r="E546" t="str">
        <f>"98367"</f>
        <v>98367</v>
      </c>
      <c r="F546" t="s">
        <v>324</v>
      </c>
      <c r="G546" t="s">
        <v>1672</v>
      </c>
      <c r="I546" t="s">
        <v>1673</v>
      </c>
      <c r="J546" t="s">
        <v>13</v>
      </c>
      <c r="K546" t="str">
        <f>"99016"</f>
        <v>99016</v>
      </c>
      <c r="L546">
        <v>95</v>
      </c>
      <c r="M546">
        <v>95</v>
      </c>
      <c r="N546">
        <v>0</v>
      </c>
    </row>
    <row r="547" spans="1:14" x14ac:dyDescent="0.25">
      <c r="A547" t="s">
        <v>573</v>
      </c>
      <c r="B547" t="s">
        <v>574</v>
      </c>
      <c r="C547" t="s">
        <v>366</v>
      </c>
      <c r="D547" t="s">
        <v>13</v>
      </c>
      <c r="E547" t="str">
        <f>"98367"</f>
        <v>98367</v>
      </c>
      <c r="F547" t="s">
        <v>324</v>
      </c>
      <c r="G547" t="s">
        <v>575</v>
      </c>
      <c r="I547" t="s">
        <v>576</v>
      </c>
      <c r="J547" t="s">
        <v>13</v>
      </c>
      <c r="K547" t="str">
        <f>"98466"</f>
        <v>98466</v>
      </c>
      <c r="L547">
        <v>6</v>
      </c>
      <c r="M547">
        <v>6</v>
      </c>
      <c r="N547">
        <v>0</v>
      </c>
    </row>
    <row r="548" spans="1:14" x14ac:dyDescent="0.25">
      <c r="A548" t="s">
        <v>3284</v>
      </c>
      <c r="B548" t="s">
        <v>3282</v>
      </c>
      <c r="C548" t="s">
        <v>3283</v>
      </c>
      <c r="D548" t="s">
        <v>13</v>
      </c>
      <c r="E548" t="str">
        <f>"98383"</f>
        <v>98383</v>
      </c>
      <c r="F548" t="s">
        <v>324</v>
      </c>
      <c r="G548" t="s">
        <v>3282</v>
      </c>
      <c r="I548" t="s">
        <v>3283</v>
      </c>
      <c r="J548" t="s">
        <v>13</v>
      </c>
      <c r="K548" t="str">
        <f>"98383"</f>
        <v>98383</v>
      </c>
      <c r="L548">
        <v>84</v>
      </c>
      <c r="M548">
        <v>84</v>
      </c>
      <c r="N548">
        <v>0</v>
      </c>
    </row>
    <row r="549" spans="1:14" x14ac:dyDescent="0.25">
      <c r="A549" t="s">
        <v>3394</v>
      </c>
      <c r="B549" t="s">
        <v>3395</v>
      </c>
      <c r="C549" t="s">
        <v>366</v>
      </c>
      <c r="D549" t="s">
        <v>13</v>
      </c>
      <c r="E549" t="str">
        <f>"98367"</f>
        <v>98367</v>
      </c>
      <c r="F549" t="s">
        <v>324</v>
      </c>
      <c r="G549" t="s">
        <v>3396</v>
      </c>
      <c r="I549" t="s">
        <v>107</v>
      </c>
      <c r="J549" t="s">
        <v>13</v>
      </c>
      <c r="K549" t="str">
        <f>"98103"</f>
        <v>98103</v>
      </c>
      <c r="L549">
        <v>78</v>
      </c>
      <c r="M549">
        <v>63</v>
      </c>
      <c r="N549">
        <v>15</v>
      </c>
    </row>
    <row r="550" spans="1:14" x14ac:dyDescent="0.25">
      <c r="A550" t="s">
        <v>364</v>
      </c>
      <c r="B550" t="s">
        <v>365</v>
      </c>
      <c r="C550" t="s">
        <v>366</v>
      </c>
      <c r="D550" t="s">
        <v>13</v>
      </c>
      <c r="E550" t="str">
        <f>"98366"</f>
        <v>98366</v>
      </c>
      <c r="F550" t="s">
        <v>324</v>
      </c>
      <c r="G550" t="s">
        <v>367</v>
      </c>
      <c r="I550" t="s">
        <v>107</v>
      </c>
      <c r="J550" t="s">
        <v>13</v>
      </c>
      <c r="K550" t="str">
        <f>"98133"</f>
        <v>98133</v>
      </c>
      <c r="L550">
        <v>15</v>
      </c>
      <c r="M550">
        <v>15</v>
      </c>
      <c r="N550">
        <v>0</v>
      </c>
    </row>
    <row r="551" spans="1:14" x14ac:dyDescent="0.25">
      <c r="A551" t="s">
        <v>321</v>
      </c>
      <c r="B551" t="s">
        <v>322</v>
      </c>
      <c r="C551" t="s">
        <v>323</v>
      </c>
      <c r="D551" t="s">
        <v>13</v>
      </c>
      <c r="E551" t="str">
        <f>"98312"</f>
        <v>98312</v>
      </c>
      <c r="F551" t="s">
        <v>324</v>
      </c>
      <c r="G551" t="s">
        <v>325</v>
      </c>
      <c r="H551" t="s">
        <v>326</v>
      </c>
      <c r="I551" t="s">
        <v>107</v>
      </c>
      <c r="J551" t="s">
        <v>13</v>
      </c>
      <c r="K551" t="str">
        <f>"98105"</f>
        <v>98105</v>
      </c>
      <c r="L551">
        <v>49</v>
      </c>
      <c r="M551">
        <v>46</v>
      </c>
      <c r="N551">
        <v>3</v>
      </c>
    </row>
    <row r="552" spans="1:14" x14ac:dyDescent="0.25">
      <c r="A552" t="s">
        <v>1558</v>
      </c>
      <c r="B552" t="s">
        <v>1559</v>
      </c>
      <c r="C552" t="s">
        <v>1560</v>
      </c>
      <c r="D552" t="s">
        <v>13</v>
      </c>
      <c r="E552" t="str">
        <f>"98359"</f>
        <v>98359</v>
      </c>
      <c r="F552" t="s">
        <v>324</v>
      </c>
      <c r="G552" t="s">
        <v>1022</v>
      </c>
      <c r="I552" t="s">
        <v>561</v>
      </c>
      <c r="J552" t="s">
        <v>13</v>
      </c>
      <c r="K552" t="str">
        <f>"98028"</f>
        <v>98028</v>
      </c>
      <c r="L552">
        <v>77</v>
      </c>
      <c r="M552">
        <v>53</v>
      </c>
      <c r="N552">
        <v>24</v>
      </c>
    </row>
    <row r="553" spans="1:14" x14ac:dyDescent="0.25">
      <c r="A553" t="s">
        <v>1219</v>
      </c>
      <c r="B553" t="s">
        <v>1220</v>
      </c>
      <c r="C553" t="s">
        <v>366</v>
      </c>
      <c r="D553" t="s">
        <v>13</v>
      </c>
      <c r="E553" t="str">
        <f>"98366"</f>
        <v>98366</v>
      </c>
      <c r="F553" t="s">
        <v>324</v>
      </c>
      <c r="G553" t="s">
        <v>1221</v>
      </c>
      <c r="I553" t="s">
        <v>323</v>
      </c>
      <c r="J553" t="s">
        <v>13</v>
      </c>
      <c r="K553" t="str">
        <f>"98337"</f>
        <v>98337</v>
      </c>
      <c r="L553">
        <v>88</v>
      </c>
      <c r="M553">
        <v>88</v>
      </c>
      <c r="N553">
        <v>0</v>
      </c>
    </row>
    <row r="554" spans="1:14" x14ac:dyDescent="0.25">
      <c r="A554" t="s">
        <v>2245</v>
      </c>
      <c r="B554" t="s">
        <v>2246</v>
      </c>
      <c r="C554" t="s">
        <v>323</v>
      </c>
      <c r="D554" t="s">
        <v>13</v>
      </c>
      <c r="E554" t="str">
        <f>"98310"</f>
        <v>98310</v>
      </c>
      <c r="F554" t="s">
        <v>324</v>
      </c>
      <c r="G554" t="s">
        <v>2234</v>
      </c>
      <c r="I554" t="s">
        <v>2235</v>
      </c>
      <c r="J554" t="s">
        <v>13</v>
      </c>
      <c r="K554" t="str">
        <f>"98346"</f>
        <v>98346</v>
      </c>
      <c r="L554">
        <v>23</v>
      </c>
      <c r="M554">
        <v>22</v>
      </c>
      <c r="N554">
        <v>1</v>
      </c>
    </row>
    <row r="555" spans="1:14" x14ac:dyDescent="0.25">
      <c r="A555" t="s">
        <v>3244</v>
      </c>
      <c r="B555" t="s">
        <v>3245</v>
      </c>
      <c r="C555" t="s">
        <v>598</v>
      </c>
      <c r="D555" t="s">
        <v>13</v>
      </c>
      <c r="E555" t="str">
        <f>"98370"</f>
        <v>98370</v>
      </c>
      <c r="F555" t="s">
        <v>324</v>
      </c>
      <c r="G555" t="s">
        <v>3246</v>
      </c>
      <c r="I555" t="s">
        <v>598</v>
      </c>
      <c r="J555" t="s">
        <v>13</v>
      </c>
      <c r="K555" t="str">
        <f>"98370"</f>
        <v>98370</v>
      </c>
      <c r="L555">
        <v>76</v>
      </c>
      <c r="M555">
        <v>76</v>
      </c>
      <c r="N555">
        <v>0</v>
      </c>
    </row>
    <row r="556" spans="1:14" x14ac:dyDescent="0.25">
      <c r="A556" t="s">
        <v>3240</v>
      </c>
      <c r="B556" t="s">
        <v>3241</v>
      </c>
      <c r="C556" t="s">
        <v>323</v>
      </c>
      <c r="D556" t="s">
        <v>13</v>
      </c>
      <c r="E556" t="str">
        <f>"98312"</f>
        <v>98312</v>
      </c>
      <c r="F556" t="s">
        <v>324</v>
      </c>
      <c r="G556" t="s">
        <v>2604</v>
      </c>
      <c r="I556" t="s">
        <v>2605</v>
      </c>
      <c r="J556" t="s">
        <v>821</v>
      </c>
      <c r="K556" t="str">
        <f>"97405"</f>
        <v>97405</v>
      </c>
      <c r="L556">
        <v>57</v>
      </c>
      <c r="M556">
        <v>51</v>
      </c>
      <c r="N556">
        <v>6</v>
      </c>
    </row>
    <row r="557" spans="1:14" x14ac:dyDescent="0.25">
      <c r="A557" t="s">
        <v>3028</v>
      </c>
      <c r="B557" t="s">
        <v>3029</v>
      </c>
      <c r="C557" t="s">
        <v>366</v>
      </c>
      <c r="D557" t="s">
        <v>13</v>
      </c>
      <c r="E557" t="str">
        <f>"98366"</f>
        <v>98366</v>
      </c>
      <c r="F557" t="s">
        <v>324</v>
      </c>
      <c r="G557" t="s">
        <v>3030</v>
      </c>
      <c r="I557" t="s">
        <v>1484</v>
      </c>
      <c r="J557" t="s">
        <v>13</v>
      </c>
      <c r="K557" t="str">
        <f>"98033"</f>
        <v>98033</v>
      </c>
      <c r="L557">
        <v>5</v>
      </c>
      <c r="M557">
        <v>5</v>
      </c>
      <c r="N557">
        <v>0</v>
      </c>
    </row>
    <row r="558" spans="1:14" x14ac:dyDescent="0.25">
      <c r="A558" t="s">
        <v>2737</v>
      </c>
      <c r="B558" t="s">
        <v>2738</v>
      </c>
      <c r="C558" t="s">
        <v>598</v>
      </c>
      <c r="D558" t="s">
        <v>13</v>
      </c>
      <c r="E558" t="str">
        <f>"98370"</f>
        <v>98370</v>
      </c>
      <c r="F558" t="s">
        <v>324</v>
      </c>
      <c r="G558" t="s">
        <v>2739</v>
      </c>
      <c r="H558" t="s">
        <v>2740</v>
      </c>
      <c r="I558" t="s">
        <v>598</v>
      </c>
      <c r="J558" t="s">
        <v>13</v>
      </c>
      <c r="K558" t="str">
        <f>"98370"</f>
        <v>98370</v>
      </c>
      <c r="L558">
        <v>44</v>
      </c>
      <c r="M558">
        <v>44</v>
      </c>
      <c r="N558">
        <v>0</v>
      </c>
    </row>
    <row r="559" spans="1:14" x14ac:dyDescent="0.25">
      <c r="A559" t="s">
        <v>927</v>
      </c>
      <c r="B559" t="s">
        <v>928</v>
      </c>
      <c r="C559" t="s">
        <v>366</v>
      </c>
      <c r="D559" t="s">
        <v>13</v>
      </c>
      <c r="E559" t="str">
        <f>"98367"</f>
        <v>98367</v>
      </c>
      <c r="F559" t="s">
        <v>324</v>
      </c>
      <c r="G559" t="s">
        <v>929</v>
      </c>
      <c r="I559" t="s">
        <v>366</v>
      </c>
      <c r="J559" t="s">
        <v>13</v>
      </c>
      <c r="K559" t="str">
        <f>"98367"</f>
        <v>98367</v>
      </c>
      <c r="L559">
        <v>13</v>
      </c>
      <c r="M559">
        <v>13</v>
      </c>
      <c r="N559">
        <v>0</v>
      </c>
    </row>
    <row r="560" spans="1:14" x14ac:dyDescent="0.25">
      <c r="A560" t="s">
        <v>1451</v>
      </c>
      <c r="B560" t="s">
        <v>1452</v>
      </c>
      <c r="C560" t="s">
        <v>323</v>
      </c>
      <c r="D560" t="s">
        <v>13</v>
      </c>
      <c r="E560" t="str">
        <f>"98311"</f>
        <v>98311</v>
      </c>
      <c r="F560" t="s">
        <v>324</v>
      </c>
      <c r="G560" t="s">
        <v>1451</v>
      </c>
      <c r="H560" t="s">
        <v>326</v>
      </c>
      <c r="I560" t="s">
        <v>107</v>
      </c>
      <c r="J560" t="s">
        <v>13</v>
      </c>
      <c r="K560" t="str">
        <f>"98105"</f>
        <v>98105</v>
      </c>
      <c r="L560">
        <v>65</v>
      </c>
      <c r="M560">
        <v>65</v>
      </c>
      <c r="N560">
        <v>0</v>
      </c>
    </row>
    <row r="561" spans="1:14" x14ac:dyDescent="0.25">
      <c r="A561" t="s">
        <v>1504</v>
      </c>
      <c r="B561" t="s">
        <v>1505</v>
      </c>
      <c r="C561" t="s">
        <v>323</v>
      </c>
      <c r="D561" t="s">
        <v>13</v>
      </c>
      <c r="E561" t="str">
        <f>"98311"</f>
        <v>98311</v>
      </c>
      <c r="F561" t="s">
        <v>324</v>
      </c>
      <c r="G561" t="s">
        <v>1506</v>
      </c>
      <c r="H561" t="s">
        <v>326</v>
      </c>
      <c r="I561" t="s">
        <v>107</v>
      </c>
      <c r="J561" t="s">
        <v>13</v>
      </c>
      <c r="K561" t="str">
        <f>"98105"</f>
        <v>98105</v>
      </c>
      <c r="L561">
        <v>224</v>
      </c>
      <c r="M561">
        <v>223</v>
      </c>
      <c r="N561">
        <v>1</v>
      </c>
    </row>
    <row r="562" spans="1:14" x14ac:dyDescent="0.25">
      <c r="A562" t="s">
        <v>1580</v>
      </c>
      <c r="B562" t="s">
        <v>1581</v>
      </c>
      <c r="C562" t="s">
        <v>366</v>
      </c>
      <c r="D562" t="s">
        <v>13</v>
      </c>
      <c r="E562" t="str">
        <f>"98366"</f>
        <v>98366</v>
      </c>
      <c r="F562" t="s">
        <v>324</v>
      </c>
      <c r="G562" t="s">
        <v>1576</v>
      </c>
      <c r="I562" t="s">
        <v>605</v>
      </c>
      <c r="J562" t="s">
        <v>13</v>
      </c>
      <c r="K562" t="str">
        <f>"98006"</f>
        <v>98006</v>
      </c>
      <c r="L562">
        <v>30</v>
      </c>
      <c r="M562">
        <v>30</v>
      </c>
      <c r="N562">
        <v>0</v>
      </c>
    </row>
    <row r="563" spans="1:14" x14ac:dyDescent="0.25">
      <c r="A563" t="s">
        <v>350</v>
      </c>
      <c r="B563" t="s">
        <v>351</v>
      </c>
      <c r="C563" t="s">
        <v>323</v>
      </c>
      <c r="D563" t="s">
        <v>13</v>
      </c>
      <c r="E563" t="str">
        <f>"98312"</f>
        <v>98312</v>
      </c>
      <c r="F563" t="s">
        <v>324</v>
      </c>
      <c r="G563" t="s">
        <v>352</v>
      </c>
      <c r="H563" t="s">
        <v>353</v>
      </c>
      <c r="I563" t="s">
        <v>323</v>
      </c>
      <c r="J563" t="s">
        <v>13</v>
      </c>
      <c r="K563" t="str">
        <f>"98312"</f>
        <v>98312</v>
      </c>
      <c r="L563">
        <v>73</v>
      </c>
      <c r="M563">
        <v>73</v>
      </c>
      <c r="N563">
        <v>0</v>
      </c>
    </row>
    <row r="564" spans="1:14" x14ac:dyDescent="0.25">
      <c r="A564" t="s">
        <v>1909</v>
      </c>
      <c r="B564" t="s">
        <v>1910</v>
      </c>
      <c r="C564" t="s">
        <v>323</v>
      </c>
      <c r="D564" t="s">
        <v>13</v>
      </c>
      <c r="E564" t="str">
        <f>"98311"</f>
        <v>98311</v>
      </c>
      <c r="F564" t="s">
        <v>324</v>
      </c>
      <c r="G564" t="s">
        <v>1908</v>
      </c>
      <c r="I564" t="s">
        <v>1906</v>
      </c>
      <c r="J564" t="s">
        <v>433</v>
      </c>
      <c r="K564" t="str">
        <f>"95129"</f>
        <v>95129</v>
      </c>
      <c r="L564">
        <v>104</v>
      </c>
      <c r="M564">
        <v>104</v>
      </c>
      <c r="N564">
        <v>0</v>
      </c>
    </row>
    <row r="565" spans="1:14" x14ac:dyDescent="0.25">
      <c r="A565" t="s">
        <v>596</v>
      </c>
      <c r="B565" t="s">
        <v>597</v>
      </c>
      <c r="C565" t="s">
        <v>598</v>
      </c>
      <c r="D565" t="s">
        <v>13</v>
      </c>
      <c r="E565" t="str">
        <f>"98370"</f>
        <v>98370</v>
      </c>
      <c r="F565" t="s">
        <v>324</v>
      </c>
      <c r="G565" t="s">
        <v>599</v>
      </c>
      <c r="I565" t="s">
        <v>598</v>
      </c>
      <c r="J565" t="s">
        <v>13</v>
      </c>
      <c r="K565" t="str">
        <f>"98370"</f>
        <v>98370</v>
      </c>
      <c r="L565">
        <v>86</v>
      </c>
      <c r="M565">
        <v>86</v>
      </c>
      <c r="N565">
        <v>0</v>
      </c>
    </row>
    <row r="566" spans="1:14" x14ac:dyDescent="0.25">
      <c r="A566" t="s">
        <v>1495</v>
      </c>
      <c r="B566" t="s">
        <v>1496</v>
      </c>
      <c r="C566" t="s">
        <v>527</v>
      </c>
      <c r="D566" t="s">
        <v>13</v>
      </c>
      <c r="E566" t="str">
        <f>"98926"</f>
        <v>98926</v>
      </c>
      <c r="F566" t="s">
        <v>528</v>
      </c>
      <c r="G566" t="s">
        <v>1497</v>
      </c>
      <c r="I566" t="s">
        <v>1498</v>
      </c>
      <c r="J566" t="s">
        <v>13</v>
      </c>
      <c r="K566" t="str">
        <f>"98045"</f>
        <v>98045</v>
      </c>
      <c r="L566">
        <v>60</v>
      </c>
      <c r="M566">
        <v>31</v>
      </c>
      <c r="N566">
        <v>29</v>
      </c>
    </row>
    <row r="567" spans="1:14" x14ac:dyDescent="0.25">
      <c r="A567" t="s">
        <v>3909</v>
      </c>
      <c r="B567" t="s">
        <v>3910</v>
      </c>
      <c r="C567" t="s">
        <v>527</v>
      </c>
      <c r="D567" t="s">
        <v>13</v>
      </c>
      <c r="E567" t="str">
        <f>"98926"</f>
        <v>98926</v>
      </c>
      <c r="F567" t="s">
        <v>528</v>
      </c>
      <c r="G567" t="s">
        <v>3910</v>
      </c>
      <c r="I567" t="s">
        <v>527</v>
      </c>
      <c r="J567" t="s">
        <v>13</v>
      </c>
      <c r="K567" t="str">
        <f>"98926"</f>
        <v>98926</v>
      </c>
      <c r="L567">
        <v>9</v>
      </c>
      <c r="M567">
        <v>4</v>
      </c>
      <c r="N567">
        <v>5</v>
      </c>
    </row>
    <row r="568" spans="1:14" x14ac:dyDescent="0.25">
      <c r="A568" t="s">
        <v>893</v>
      </c>
      <c r="B568" t="s">
        <v>894</v>
      </c>
      <c r="C568" t="s">
        <v>527</v>
      </c>
      <c r="D568" t="s">
        <v>13</v>
      </c>
      <c r="E568" t="str">
        <f>"98926"</f>
        <v>98926</v>
      </c>
      <c r="F568" t="s">
        <v>528</v>
      </c>
      <c r="G568" t="s">
        <v>895</v>
      </c>
      <c r="I568" t="s">
        <v>527</v>
      </c>
      <c r="J568" t="s">
        <v>13</v>
      </c>
      <c r="K568" t="str">
        <f>"98926"</f>
        <v>98926</v>
      </c>
      <c r="L568">
        <v>20</v>
      </c>
      <c r="M568">
        <v>17</v>
      </c>
      <c r="N568">
        <v>3</v>
      </c>
    </row>
    <row r="569" spans="1:14" x14ac:dyDescent="0.25">
      <c r="A569" t="s">
        <v>2051</v>
      </c>
      <c r="B569" t="s">
        <v>2052</v>
      </c>
      <c r="C569" t="s">
        <v>527</v>
      </c>
      <c r="D569" t="s">
        <v>13</v>
      </c>
      <c r="E569" t="str">
        <f>"98926"</f>
        <v>98926</v>
      </c>
      <c r="F569" t="s">
        <v>528</v>
      </c>
      <c r="G569" t="s">
        <v>2053</v>
      </c>
      <c r="I569" t="s">
        <v>1277</v>
      </c>
      <c r="J569" t="s">
        <v>13</v>
      </c>
      <c r="K569" t="str">
        <f>"98043"</f>
        <v>98043</v>
      </c>
      <c r="L569">
        <v>22</v>
      </c>
      <c r="M569">
        <v>20</v>
      </c>
      <c r="N569">
        <v>2</v>
      </c>
    </row>
    <row r="570" spans="1:14" x14ac:dyDescent="0.25">
      <c r="A570" t="s">
        <v>525</v>
      </c>
      <c r="B570" t="s">
        <v>526</v>
      </c>
      <c r="C570" t="s">
        <v>527</v>
      </c>
      <c r="D570" t="s">
        <v>13</v>
      </c>
      <c r="E570" t="str">
        <f>"98926"</f>
        <v>98926</v>
      </c>
      <c r="F570" t="s">
        <v>528</v>
      </c>
      <c r="G570" t="s">
        <v>529</v>
      </c>
      <c r="I570" t="s">
        <v>527</v>
      </c>
      <c r="J570" t="s">
        <v>13</v>
      </c>
      <c r="K570" t="str">
        <f>"98926"</f>
        <v>98926</v>
      </c>
      <c r="L570">
        <v>51</v>
      </c>
      <c r="M570">
        <v>51</v>
      </c>
      <c r="N570">
        <v>0</v>
      </c>
    </row>
    <row r="571" spans="1:14" x14ac:dyDescent="0.25">
      <c r="A571" t="s">
        <v>2609</v>
      </c>
      <c r="B571" t="s">
        <v>2610</v>
      </c>
      <c r="C571" t="s">
        <v>528</v>
      </c>
      <c r="D571" t="s">
        <v>13</v>
      </c>
      <c r="E571" t="str">
        <f>"98934"</f>
        <v>98934</v>
      </c>
      <c r="F571" t="s">
        <v>528</v>
      </c>
      <c r="G571" t="s">
        <v>2611</v>
      </c>
      <c r="I571" t="s">
        <v>528</v>
      </c>
      <c r="J571" t="s">
        <v>13</v>
      </c>
      <c r="K571" t="str">
        <f>"98934"</f>
        <v>98934</v>
      </c>
      <c r="L571">
        <v>18</v>
      </c>
      <c r="M571">
        <v>18</v>
      </c>
      <c r="N571">
        <v>0</v>
      </c>
    </row>
    <row r="572" spans="1:14" x14ac:dyDescent="0.25">
      <c r="A572" t="s">
        <v>2609</v>
      </c>
      <c r="B572" t="s">
        <v>4073</v>
      </c>
      <c r="C572" t="s">
        <v>528</v>
      </c>
      <c r="D572" t="s">
        <v>13</v>
      </c>
      <c r="E572" t="str">
        <f>"98934"</f>
        <v>98934</v>
      </c>
      <c r="F572" t="s">
        <v>528</v>
      </c>
      <c r="G572" t="s">
        <v>4074</v>
      </c>
      <c r="I572" t="s">
        <v>528</v>
      </c>
      <c r="J572" t="s">
        <v>13</v>
      </c>
      <c r="K572" t="str">
        <f>"98934"</f>
        <v>98934</v>
      </c>
      <c r="L572">
        <v>20</v>
      </c>
      <c r="M572">
        <v>20</v>
      </c>
      <c r="N572">
        <v>0</v>
      </c>
    </row>
    <row r="573" spans="1:14" x14ac:dyDescent="0.25">
      <c r="A573" t="s">
        <v>2307</v>
      </c>
      <c r="B573" t="s">
        <v>2308</v>
      </c>
      <c r="C573" t="s">
        <v>527</v>
      </c>
      <c r="D573" t="s">
        <v>13</v>
      </c>
      <c r="E573" t="str">
        <f>"98926"</f>
        <v>98926</v>
      </c>
      <c r="F573" t="s">
        <v>528</v>
      </c>
      <c r="G573" t="s">
        <v>2309</v>
      </c>
      <c r="I573" t="s">
        <v>2310</v>
      </c>
      <c r="J573" t="s">
        <v>13</v>
      </c>
      <c r="K573" t="str">
        <f>"98943"</f>
        <v>98943</v>
      </c>
      <c r="L573">
        <v>33</v>
      </c>
      <c r="M573">
        <v>30</v>
      </c>
      <c r="N573">
        <v>3</v>
      </c>
    </row>
    <row r="574" spans="1:14" x14ac:dyDescent="0.25">
      <c r="A574" t="s">
        <v>3638</v>
      </c>
      <c r="B574" t="s">
        <v>3639</v>
      </c>
      <c r="C574" t="s">
        <v>527</v>
      </c>
      <c r="D574" t="s">
        <v>13</v>
      </c>
      <c r="E574" t="str">
        <f>"98926"</f>
        <v>98926</v>
      </c>
      <c r="F574" t="s">
        <v>528</v>
      </c>
      <c r="G574" t="s">
        <v>3639</v>
      </c>
      <c r="I574" t="s">
        <v>527</v>
      </c>
      <c r="J574" t="s">
        <v>13</v>
      </c>
      <c r="K574" t="str">
        <f>"98926"</f>
        <v>98926</v>
      </c>
      <c r="L574">
        <v>50</v>
      </c>
      <c r="M574">
        <v>49</v>
      </c>
      <c r="N574">
        <v>1</v>
      </c>
    </row>
    <row r="575" spans="1:14" x14ac:dyDescent="0.25">
      <c r="A575" t="s">
        <v>1984</v>
      </c>
      <c r="B575" t="s">
        <v>1985</v>
      </c>
      <c r="C575" t="s">
        <v>445</v>
      </c>
      <c r="D575" t="s">
        <v>13</v>
      </c>
      <c r="E575" t="str">
        <f>"98922"</f>
        <v>98922</v>
      </c>
      <c r="F575" t="s">
        <v>528</v>
      </c>
      <c r="G575" t="s">
        <v>1985</v>
      </c>
      <c r="I575" t="s">
        <v>445</v>
      </c>
      <c r="J575" t="s">
        <v>13</v>
      </c>
      <c r="K575" t="str">
        <f>"98922"</f>
        <v>98922</v>
      </c>
      <c r="L575">
        <v>5</v>
      </c>
      <c r="M575">
        <v>5</v>
      </c>
      <c r="N575">
        <v>0</v>
      </c>
    </row>
    <row r="576" spans="1:14" x14ac:dyDescent="0.25">
      <c r="A576" t="s">
        <v>2981</v>
      </c>
      <c r="B576" t="s">
        <v>2982</v>
      </c>
      <c r="C576" t="s">
        <v>527</v>
      </c>
      <c r="D576" t="s">
        <v>13</v>
      </c>
      <c r="E576" t="str">
        <f>"98926"</f>
        <v>98926</v>
      </c>
      <c r="F576" t="s">
        <v>528</v>
      </c>
      <c r="G576" t="s">
        <v>2978</v>
      </c>
      <c r="I576" t="s">
        <v>107</v>
      </c>
      <c r="J576" t="s">
        <v>13</v>
      </c>
      <c r="K576" t="str">
        <f>"98105"</f>
        <v>98105</v>
      </c>
      <c r="L576">
        <v>108</v>
      </c>
      <c r="M576">
        <v>108</v>
      </c>
      <c r="N576">
        <v>0</v>
      </c>
    </row>
    <row r="577" spans="1:14" x14ac:dyDescent="0.25">
      <c r="A577" t="s">
        <v>3842</v>
      </c>
      <c r="B577" t="s">
        <v>3843</v>
      </c>
      <c r="C577" t="s">
        <v>528</v>
      </c>
      <c r="D577" t="s">
        <v>13</v>
      </c>
      <c r="E577" t="str">
        <f>"98926"</f>
        <v>98926</v>
      </c>
      <c r="F577" t="s">
        <v>528</v>
      </c>
      <c r="G577" t="s">
        <v>3844</v>
      </c>
      <c r="I577" t="s">
        <v>527</v>
      </c>
      <c r="J577" t="s">
        <v>13</v>
      </c>
      <c r="K577" t="str">
        <f>"98926"</f>
        <v>98926</v>
      </c>
      <c r="L577">
        <v>12</v>
      </c>
      <c r="M577">
        <v>10</v>
      </c>
      <c r="N577">
        <v>2</v>
      </c>
    </row>
    <row r="578" spans="1:14" x14ac:dyDescent="0.25">
      <c r="A578" t="s">
        <v>3315</v>
      </c>
      <c r="B578" t="s">
        <v>3316</v>
      </c>
      <c r="C578" t="s">
        <v>527</v>
      </c>
      <c r="D578" t="s">
        <v>13</v>
      </c>
      <c r="E578" t="str">
        <f>"98926"</f>
        <v>98926</v>
      </c>
      <c r="F578" t="s">
        <v>528</v>
      </c>
      <c r="G578" t="s">
        <v>3317</v>
      </c>
      <c r="I578" t="s">
        <v>167</v>
      </c>
      <c r="J578" t="s">
        <v>13</v>
      </c>
      <c r="K578" t="str">
        <f>"98229"</f>
        <v>98229</v>
      </c>
      <c r="L578">
        <v>165</v>
      </c>
      <c r="M578">
        <v>70</v>
      </c>
      <c r="N578">
        <v>95</v>
      </c>
    </row>
    <row r="579" spans="1:14" x14ac:dyDescent="0.25">
      <c r="A579" t="s">
        <v>896</v>
      </c>
      <c r="B579" t="s">
        <v>897</v>
      </c>
      <c r="C579" t="s">
        <v>527</v>
      </c>
      <c r="D579" t="s">
        <v>13</v>
      </c>
      <c r="E579" t="str">
        <f>"98926"</f>
        <v>98926</v>
      </c>
      <c r="F579" t="s">
        <v>528</v>
      </c>
      <c r="G579" t="s">
        <v>898</v>
      </c>
      <c r="I579" t="s">
        <v>527</v>
      </c>
      <c r="J579" t="s">
        <v>13</v>
      </c>
      <c r="K579" t="str">
        <f>"98926"</f>
        <v>98926</v>
      </c>
      <c r="L579">
        <v>28</v>
      </c>
      <c r="M579">
        <v>28</v>
      </c>
      <c r="N579">
        <v>0</v>
      </c>
    </row>
    <row r="580" spans="1:14" x14ac:dyDescent="0.25">
      <c r="A580" t="s">
        <v>3565</v>
      </c>
      <c r="B580" t="s">
        <v>3566</v>
      </c>
      <c r="C580" t="s">
        <v>445</v>
      </c>
      <c r="D580" t="s">
        <v>13</v>
      </c>
      <c r="E580" t="str">
        <f>"98922"</f>
        <v>98922</v>
      </c>
      <c r="F580" t="s">
        <v>528</v>
      </c>
      <c r="G580" t="s">
        <v>27</v>
      </c>
      <c r="I580" t="s">
        <v>2310</v>
      </c>
      <c r="J580" t="s">
        <v>13</v>
      </c>
      <c r="K580" t="str">
        <f>"98943"</f>
        <v>98943</v>
      </c>
      <c r="L580">
        <v>27</v>
      </c>
      <c r="M580">
        <v>15</v>
      </c>
      <c r="N580">
        <v>12</v>
      </c>
    </row>
    <row r="581" spans="1:14" x14ac:dyDescent="0.25">
      <c r="A581" t="s">
        <v>3640</v>
      </c>
      <c r="B581" t="s">
        <v>3641</v>
      </c>
      <c r="C581" t="s">
        <v>3642</v>
      </c>
      <c r="D581" t="s">
        <v>13</v>
      </c>
      <c r="E581" t="str">
        <f>"98925"</f>
        <v>98925</v>
      </c>
      <c r="F581" t="s">
        <v>528</v>
      </c>
      <c r="G581" t="s">
        <v>2053</v>
      </c>
      <c r="I581" t="s">
        <v>3642</v>
      </c>
      <c r="J581" t="s">
        <v>13</v>
      </c>
      <c r="K581" t="str">
        <f>"98925"</f>
        <v>98925</v>
      </c>
      <c r="L581">
        <v>10</v>
      </c>
      <c r="M581">
        <v>10</v>
      </c>
      <c r="N581">
        <v>0</v>
      </c>
    </row>
    <row r="582" spans="1:14" x14ac:dyDescent="0.25">
      <c r="A582" t="s">
        <v>1468</v>
      </c>
      <c r="B582" t="s">
        <v>1469</v>
      </c>
      <c r="C582" t="s">
        <v>1470</v>
      </c>
      <c r="D582" t="s">
        <v>13</v>
      </c>
      <c r="E582" t="str">
        <f>"98950"</f>
        <v>98950</v>
      </c>
      <c r="F582" t="s">
        <v>528</v>
      </c>
      <c r="G582" t="s">
        <v>1471</v>
      </c>
      <c r="I582" t="s">
        <v>1470</v>
      </c>
      <c r="J582" t="s">
        <v>13</v>
      </c>
      <c r="K582" t="str">
        <f>"98950"</f>
        <v>98950</v>
      </c>
      <c r="L582">
        <v>11</v>
      </c>
      <c r="M582">
        <v>11</v>
      </c>
      <c r="N582">
        <v>0</v>
      </c>
    </row>
    <row r="583" spans="1:14" x14ac:dyDescent="0.25">
      <c r="A583" t="s">
        <v>3265</v>
      </c>
      <c r="B583" t="s">
        <v>3266</v>
      </c>
      <c r="C583" t="s">
        <v>3267</v>
      </c>
      <c r="D583" t="s">
        <v>13</v>
      </c>
      <c r="E583" t="str">
        <f>"99322"</f>
        <v>99322</v>
      </c>
      <c r="F583" t="s">
        <v>137</v>
      </c>
      <c r="G583" t="s">
        <v>834</v>
      </c>
      <c r="I583" t="s">
        <v>3267</v>
      </c>
      <c r="J583" t="s">
        <v>13</v>
      </c>
      <c r="K583" t="str">
        <f>"99322"</f>
        <v>99322</v>
      </c>
      <c r="L583">
        <v>5</v>
      </c>
      <c r="M583">
        <v>3</v>
      </c>
      <c r="N583">
        <v>2</v>
      </c>
    </row>
    <row r="584" spans="1:14" x14ac:dyDescent="0.25">
      <c r="A584" t="s">
        <v>1996</v>
      </c>
      <c r="B584" t="s">
        <v>1997</v>
      </c>
      <c r="C584" t="s">
        <v>139</v>
      </c>
      <c r="D584" t="s">
        <v>13</v>
      </c>
      <c r="E584" t="str">
        <f>"98620"</f>
        <v>98620</v>
      </c>
      <c r="F584" t="s">
        <v>137</v>
      </c>
      <c r="G584" t="s">
        <v>1998</v>
      </c>
      <c r="I584" t="s">
        <v>139</v>
      </c>
      <c r="J584" t="s">
        <v>13</v>
      </c>
      <c r="K584" t="str">
        <f>"98620"</f>
        <v>98620</v>
      </c>
      <c r="L584">
        <v>60</v>
      </c>
      <c r="M584">
        <v>8</v>
      </c>
      <c r="N584">
        <v>52</v>
      </c>
    </row>
    <row r="585" spans="1:14" x14ac:dyDescent="0.25">
      <c r="A585" t="s">
        <v>134</v>
      </c>
      <c r="B585" t="s">
        <v>135</v>
      </c>
      <c r="C585" t="s">
        <v>136</v>
      </c>
      <c r="D585" t="s">
        <v>13</v>
      </c>
      <c r="E585" t="str">
        <f>"98617"</f>
        <v>98617</v>
      </c>
      <c r="F585" t="s">
        <v>137</v>
      </c>
      <c r="G585" t="s">
        <v>138</v>
      </c>
      <c r="I585" t="s">
        <v>139</v>
      </c>
      <c r="J585" t="s">
        <v>13</v>
      </c>
      <c r="K585" t="str">
        <f>"98620"</f>
        <v>98620</v>
      </c>
      <c r="L585">
        <v>48</v>
      </c>
      <c r="M585">
        <v>25</v>
      </c>
      <c r="N585">
        <v>23</v>
      </c>
    </row>
    <row r="586" spans="1:14" x14ac:dyDescent="0.25">
      <c r="A586" t="s">
        <v>1163</v>
      </c>
      <c r="B586" t="s">
        <v>1164</v>
      </c>
      <c r="C586" t="s">
        <v>139</v>
      </c>
      <c r="D586" t="s">
        <v>13</v>
      </c>
      <c r="E586" t="str">
        <f>"98620"</f>
        <v>98620</v>
      </c>
      <c r="F586" t="s">
        <v>137</v>
      </c>
      <c r="G586" t="s">
        <v>1165</v>
      </c>
      <c r="I586" t="s">
        <v>1166</v>
      </c>
      <c r="J586" t="s">
        <v>821</v>
      </c>
      <c r="K586" t="str">
        <f>"97042"</f>
        <v>97042</v>
      </c>
      <c r="L586">
        <v>47</v>
      </c>
      <c r="M586">
        <v>34</v>
      </c>
      <c r="N586">
        <v>13</v>
      </c>
    </row>
    <row r="587" spans="1:14" x14ac:dyDescent="0.25">
      <c r="A587" t="s">
        <v>3020</v>
      </c>
      <c r="B587" t="s">
        <v>3021</v>
      </c>
      <c r="C587" t="s">
        <v>139</v>
      </c>
      <c r="D587" t="s">
        <v>13</v>
      </c>
      <c r="E587" t="str">
        <f>"98620"</f>
        <v>98620</v>
      </c>
      <c r="F587" t="s">
        <v>137</v>
      </c>
      <c r="G587" t="s">
        <v>3022</v>
      </c>
      <c r="H587" t="s">
        <v>3023</v>
      </c>
      <c r="I587" t="s">
        <v>890</v>
      </c>
      <c r="J587" t="s">
        <v>821</v>
      </c>
      <c r="K587" t="str">
        <f>"97292"</f>
        <v>97292</v>
      </c>
      <c r="L587">
        <v>7</v>
      </c>
      <c r="M587">
        <v>7</v>
      </c>
      <c r="N587">
        <v>0</v>
      </c>
    </row>
    <row r="588" spans="1:14" x14ac:dyDescent="0.25">
      <c r="A588" t="s">
        <v>3213</v>
      </c>
      <c r="B588" t="s">
        <v>3214</v>
      </c>
      <c r="C588" t="s">
        <v>3215</v>
      </c>
      <c r="D588" t="s">
        <v>13</v>
      </c>
      <c r="E588" t="str">
        <f>"98635"</f>
        <v>98635</v>
      </c>
      <c r="F588" t="s">
        <v>137</v>
      </c>
      <c r="G588" t="s">
        <v>3216</v>
      </c>
      <c r="I588" t="s">
        <v>3217</v>
      </c>
      <c r="J588" t="s">
        <v>821</v>
      </c>
      <c r="K588" t="str">
        <f>"97031"</f>
        <v>97031</v>
      </c>
      <c r="L588">
        <v>4</v>
      </c>
      <c r="M588">
        <v>4</v>
      </c>
      <c r="N588">
        <v>0</v>
      </c>
    </row>
    <row r="589" spans="1:14" x14ac:dyDescent="0.25">
      <c r="A589" t="s">
        <v>556</v>
      </c>
      <c r="B589" t="s">
        <v>557</v>
      </c>
      <c r="C589" t="s">
        <v>558</v>
      </c>
      <c r="D589" t="s">
        <v>13</v>
      </c>
      <c r="E589" t="str">
        <f>"98651"</f>
        <v>98651</v>
      </c>
      <c r="F589" t="s">
        <v>137</v>
      </c>
      <c r="G589" t="s">
        <v>557</v>
      </c>
      <c r="I589" t="s">
        <v>558</v>
      </c>
      <c r="J589" t="s">
        <v>13</v>
      </c>
      <c r="K589" t="str">
        <f>"98651"</f>
        <v>98651</v>
      </c>
      <c r="L589">
        <v>25</v>
      </c>
      <c r="M589">
        <v>5</v>
      </c>
      <c r="N589">
        <v>20</v>
      </c>
    </row>
    <row r="590" spans="1:14" x14ac:dyDescent="0.25">
      <c r="A590" t="s">
        <v>2766</v>
      </c>
      <c r="B590" t="s">
        <v>2767</v>
      </c>
      <c r="C590" t="s">
        <v>2768</v>
      </c>
      <c r="D590" t="s">
        <v>13</v>
      </c>
      <c r="E590" t="str">
        <f>"98672"</f>
        <v>98672</v>
      </c>
      <c r="F590" t="s">
        <v>137</v>
      </c>
      <c r="G590" t="s">
        <v>2769</v>
      </c>
      <c r="I590" t="s">
        <v>558</v>
      </c>
      <c r="J590" t="s">
        <v>13</v>
      </c>
      <c r="K590" t="str">
        <f>"98651"</f>
        <v>98651</v>
      </c>
      <c r="L590">
        <v>19</v>
      </c>
      <c r="M590">
        <v>19</v>
      </c>
      <c r="N590">
        <v>0</v>
      </c>
    </row>
    <row r="591" spans="1:14" x14ac:dyDescent="0.25">
      <c r="A591" t="s">
        <v>748</v>
      </c>
      <c r="B591" t="s">
        <v>749</v>
      </c>
      <c r="C591" t="s">
        <v>750</v>
      </c>
      <c r="D591" t="s">
        <v>13</v>
      </c>
      <c r="E591" t="str">
        <f>"98596"</f>
        <v>98596</v>
      </c>
      <c r="F591" t="s">
        <v>52</v>
      </c>
      <c r="G591" t="s">
        <v>751</v>
      </c>
      <c r="I591" t="s">
        <v>750</v>
      </c>
      <c r="J591" t="s">
        <v>13</v>
      </c>
      <c r="K591" t="str">
        <f>"98596"</f>
        <v>98596</v>
      </c>
      <c r="L591">
        <v>13</v>
      </c>
      <c r="M591">
        <v>13</v>
      </c>
      <c r="N591">
        <v>0</v>
      </c>
    </row>
    <row r="592" spans="1:14" x14ac:dyDescent="0.25">
      <c r="A592" t="s">
        <v>2305</v>
      </c>
      <c r="B592" t="s">
        <v>2306</v>
      </c>
      <c r="C592" t="s">
        <v>669</v>
      </c>
      <c r="D592" t="s">
        <v>13</v>
      </c>
      <c r="E592" t="str">
        <f>"98531"</f>
        <v>98531</v>
      </c>
      <c r="F592" t="s">
        <v>52</v>
      </c>
      <c r="G592" t="s">
        <v>1768</v>
      </c>
      <c r="I592" t="s">
        <v>87</v>
      </c>
      <c r="J592" t="s">
        <v>13</v>
      </c>
      <c r="K592" t="str">
        <f>"98502"</f>
        <v>98502</v>
      </c>
      <c r="L592">
        <v>15</v>
      </c>
      <c r="M592">
        <v>1</v>
      </c>
      <c r="N592">
        <v>14</v>
      </c>
    </row>
    <row r="593" spans="1:14" x14ac:dyDescent="0.25">
      <c r="A593" t="s">
        <v>49</v>
      </c>
      <c r="B593" t="s">
        <v>50</v>
      </c>
      <c r="C593" t="s">
        <v>51</v>
      </c>
      <c r="D593" t="s">
        <v>13</v>
      </c>
      <c r="E593" t="str">
        <f>"98564"</f>
        <v>98564</v>
      </c>
      <c r="F593" t="s">
        <v>52</v>
      </c>
      <c r="G593" t="s">
        <v>53</v>
      </c>
      <c r="I593" t="s">
        <v>51</v>
      </c>
      <c r="J593" t="s">
        <v>13</v>
      </c>
      <c r="K593" t="str">
        <f>"98564"</f>
        <v>98564</v>
      </c>
      <c r="L593">
        <v>8</v>
      </c>
      <c r="M593">
        <v>5</v>
      </c>
      <c r="N593">
        <v>3</v>
      </c>
    </row>
    <row r="594" spans="1:14" x14ac:dyDescent="0.25">
      <c r="A594" t="s">
        <v>480</v>
      </c>
      <c r="B594" t="s">
        <v>481</v>
      </c>
      <c r="C594" t="s">
        <v>482</v>
      </c>
      <c r="D594" t="s">
        <v>13</v>
      </c>
      <c r="E594" t="str">
        <f>"98361"</f>
        <v>98361</v>
      </c>
      <c r="F594" t="s">
        <v>52</v>
      </c>
      <c r="G594" t="s">
        <v>483</v>
      </c>
      <c r="I594" t="s">
        <v>484</v>
      </c>
      <c r="J594" t="s">
        <v>13</v>
      </c>
      <c r="K594" t="str">
        <f>"98377"</f>
        <v>98377</v>
      </c>
      <c r="L594">
        <v>2</v>
      </c>
      <c r="M594">
        <v>1</v>
      </c>
      <c r="N594">
        <v>1</v>
      </c>
    </row>
    <row r="595" spans="1:14" x14ac:dyDescent="0.25">
      <c r="A595" t="s">
        <v>54</v>
      </c>
      <c r="B595" t="s">
        <v>55</v>
      </c>
      <c r="C595" t="s">
        <v>56</v>
      </c>
      <c r="D595" t="s">
        <v>13</v>
      </c>
      <c r="E595" t="str">
        <f>"98336"</f>
        <v>98336</v>
      </c>
      <c r="F595" t="s">
        <v>52</v>
      </c>
      <c r="G595" t="s">
        <v>57</v>
      </c>
      <c r="I595" t="s">
        <v>58</v>
      </c>
      <c r="J595" t="s">
        <v>13</v>
      </c>
      <c r="K595" t="str">
        <f>"98333"</f>
        <v>98333</v>
      </c>
      <c r="L595">
        <v>4</v>
      </c>
      <c r="M595">
        <v>4</v>
      </c>
      <c r="N595">
        <v>0</v>
      </c>
    </row>
    <row r="596" spans="1:14" x14ac:dyDescent="0.25">
      <c r="A596" t="s">
        <v>3231</v>
      </c>
      <c r="B596" t="s">
        <v>3232</v>
      </c>
      <c r="C596" t="s">
        <v>669</v>
      </c>
      <c r="D596" t="s">
        <v>13</v>
      </c>
      <c r="E596" t="str">
        <f>"98531"</f>
        <v>98531</v>
      </c>
      <c r="F596" t="s">
        <v>52</v>
      </c>
      <c r="G596" t="s">
        <v>3233</v>
      </c>
      <c r="I596" t="s">
        <v>1012</v>
      </c>
      <c r="J596" t="s">
        <v>821</v>
      </c>
      <c r="K596" t="str">
        <f>"97048"</f>
        <v>97048</v>
      </c>
      <c r="L596">
        <v>97</v>
      </c>
      <c r="M596">
        <v>41</v>
      </c>
      <c r="N596">
        <v>56</v>
      </c>
    </row>
    <row r="597" spans="1:14" x14ac:dyDescent="0.25">
      <c r="A597" t="s">
        <v>1080</v>
      </c>
      <c r="B597" t="s">
        <v>1081</v>
      </c>
      <c r="C597" t="s">
        <v>1082</v>
      </c>
      <c r="D597" t="s">
        <v>13</v>
      </c>
      <c r="E597" t="str">
        <f>"98570"</f>
        <v>98570</v>
      </c>
      <c r="F597" t="s">
        <v>52</v>
      </c>
      <c r="G597" t="s">
        <v>1083</v>
      </c>
      <c r="I597" t="s">
        <v>257</v>
      </c>
      <c r="J597" t="s">
        <v>13</v>
      </c>
      <c r="K597" t="str">
        <f>"98532"</f>
        <v>98532</v>
      </c>
      <c r="L597">
        <v>11</v>
      </c>
      <c r="M597">
        <v>4</v>
      </c>
      <c r="N597">
        <v>7</v>
      </c>
    </row>
    <row r="598" spans="1:14" x14ac:dyDescent="0.25">
      <c r="A598" t="s">
        <v>780</v>
      </c>
      <c r="B598" t="s">
        <v>781</v>
      </c>
      <c r="C598" t="s">
        <v>669</v>
      </c>
      <c r="D598" t="s">
        <v>13</v>
      </c>
      <c r="E598" t="str">
        <f>"98531"</f>
        <v>98531</v>
      </c>
      <c r="F598" t="s">
        <v>52</v>
      </c>
      <c r="G598" t="s">
        <v>782</v>
      </c>
      <c r="I598" t="s">
        <v>669</v>
      </c>
      <c r="J598" t="s">
        <v>13</v>
      </c>
      <c r="K598" t="str">
        <f>"98531"</f>
        <v>98531</v>
      </c>
      <c r="L598">
        <v>18</v>
      </c>
      <c r="M598">
        <v>17</v>
      </c>
      <c r="N598">
        <v>1</v>
      </c>
    </row>
    <row r="599" spans="1:14" x14ac:dyDescent="0.25">
      <c r="A599" t="s">
        <v>2990</v>
      </c>
      <c r="B599" t="s">
        <v>2991</v>
      </c>
      <c r="C599" t="s">
        <v>1214</v>
      </c>
      <c r="D599" t="s">
        <v>13</v>
      </c>
      <c r="E599" t="str">
        <f>"98591"</f>
        <v>98591</v>
      </c>
      <c r="F599" t="s">
        <v>52</v>
      </c>
      <c r="G599" t="s">
        <v>2991</v>
      </c>
      <c r="I599" t="s">
        <v>1214</v>
      </c>
      <c r="J599" t="s">
        <v>13</v>
      </c>
      <c r="K599" t="str">
        <f>"98591"</f>
        <v>98591</v>
      </c>
      <c r="L599">
        <v>9</v>
      </c>
      <c r="M599">
        <v>2</v>
      </c>
      <c r="N599">
        <v>7</v>
      </c>
    </row>
    <row r="600" spans="1:14" x14ac:dyDescent="0.25">
      <c r="A600" t="s">
        <v>390</v>
      </c>
      <c r="B600" t="s">
        <v>391</v>
      </c>
      <c r="C600" t="s">
        <v>51</v>
      </c>
      <c r="D600" t="s">
        <v>13</v>
      </c>
      <c r="E600" t="str">
        <f>"98564"</f>
        <v>98564</v>
      </c>
      <c r="F600" t="s">
        <v>52</v>
      </c>
      <c r="G600" t="s">
        <v>392</v>
      </c>
      <c r="I600" t="s">
        <v>51</v>
      </c>
      <c r="J600" t="s">
        <v>13</v>
      </c>
      <c r="K600" t="str">
        <f>"98564"</f>
        <v>98564</v>
      </c>
      <c r="L600">
        <v>8</v>
      </c>
      <c r="M600">
        <v>8</v>
      </c>
      <c r="N600">
        <v>0</v>
      </c>
    </row>
    <row r="601" spans="1:14" x14ac:dyDescent="0.25">
      <c r="A601" t="s">
        <v>762</v>
      </c>
      <c r="B601" t="s">
        <v>763</v>
      </c>
      <c r="C601" t="s">
        <v>764</v>
      </c>
      <c r="D601" t="s">
        <v>13</v>
      </c>
      <c r="E601" t="str">
        <f>"98542"</f>
        <v>98542</v>
      </c>
      <c r="F601" t="s">
        <v>52</v>
      </c>
      <c r="G601" t="s">
        <v>765</v>
      </c>
      <c r="I601" t="s">
        <v>766</v>
      </c>
      <c r="J601" t="s">
        <v>433</v>
      </c>
      <c r="K601" t="str">
        <f>"92283"</f>
        <v>92283</v>
      </c>
      <c r="L601">
        <v>6</v>
      </c>
      <c r="M601">
        <v>6</v>
      </c>
      <c r="N601">
        <v>0</v>
      </c>
    </row>
    <row r="602" spans="1:14" x14ac:dyDescent="0.25">
      <c r="A602" t="s">
        <v>1159</v>
      </c>
      <c r="B602" t="s">
        <v>1160</v>
      </c>
      <c r="C602" t="s">
        <v>669</v>
      </c>
      <c r="D602" t="s">
        <v>13</v>
      </c>
      <c r="E602" t="str">
        <f>"98531"</f>
        <v>98531</v>
      </c>
      <c r="F602" t="s">
        <v>52</v>
      </c>
      <c r="G602" t="s">
        <v>684</v>
      </c>
      <c r="I602" t="s">
        <v>598</v>
      </c>
      <c r="J602" t="s">
        <v>13</v>
      </c>
      <c r="K602" t="str">
        <f>"98370"</f>
        <v>98370</v>
      </c>
      <c r="L602">
        <v>55</v>
      </c>
      <c r="M602">
        <v>55</v>
      </c>
      <c r="N602">
        <v>0</v>
      </c>
    </row>
    <row r="603" spans="1:14" x14ac:dyDescent="0.25">
      <c r="A603" t="s">
        <v>3024</v>
      </c>
      <c r="B603" t="s">
        <v>3025</v>
      </c>
      <c r="C603" t="s">
        <v>669</v>
      </c>
      <c r="D603" t="s">
        <v>13</v>
      </c>
      <c r="E603" t="str">
        <f>"98531"</f>
        <v>98531</v>
      </c>
      <c r="F603" t="s">
        <v>52</v>
      </c>
      <c r="G603" t="s">
        <v>3026</v>
      </c>
      <c r="I603" t="s">
        <v>3027</v>
      </c>
      <c r="J603" t="s">
        <v>13</v>
      </c>
      <c r="K603" t="str">
        <f>"98556"</f>
        <v>98556</v>
      </c>
      <c r="L603">
        <v>8</v>
      </c>
      <c r="M603">
        <v>8</v>
      </c>
      <c r="N603">
        <v>0</v>
      </c>
    </row>
    <row r="604" spans="1:14" x14ac:dyDescent="0.25">
      <c r="A604" t="s">
        <v>1215</v>
      </c>
      <c r="B604" t="s">
        <v>1216</v>
      </c>
      <c r="C604" t="s">
        <v>257</v>
      </c>
      <c r="D604" t="s">
        <v>13</v>
      </c>
      <c r="E604" t="str">
        <f>"98532"</f>
        <v>98532</v>
      </c>
      <c r="F604" t="s">
        <v>52</v>
      </c>
      <c r="G604" t="s">
        <v>1207</v>
      </c>
      <c r="I604" t="s">
        <v>259</v>
      </c>
      <c r="J604" t="s">
        <v>13</v>
      </c>
      <c r="K604" t="str">
        <f>"98565"</f>
        <v>98565</v>
      </c>
      <c r="L604">
        <v>17</v>
      </c>
      <c r="M604">
        <v>17</v>
      </c>
      <c r="N604">
        <v>0</v>
      </c>
    </row>
    <row r="605" spans="1:14" x14ac:dyDescent="0.25">
      <c r="A605" t="s">
        <v>3515</v>
      </c>
      <c r="B605" t="s">
        <v>3516</v>
      </c>
      <c r="C605" t="s">
        <v>750</v>
      </c>
      <c r="D605" t="s">
        <v>13</v>
      </c>
      <c r="E605" t="str">
        <f>"98596"</f>
        <v>98596</v>
      </c>
      <c r="F605" t="s">
        <v>52</v>
      </c>
      <c r="G605" t="s">
        <v>3517</v>
      </c>
      <c r="I605" t="s">
        <v>1600</v>
      </c>
      <c r="J605" t="s">
        <v>13</v>
      </c>
      <c r="K605" t="str">
        <f>"98642"</f>
        <v>98642</v>
      </c>
      <c r="L605">
        <v>26</v>
      </c>
      <c r="M605">
        <v>19</v>
      </c>
      <c r="N605">
        <v>7</v>
      </c>
    </row>
    <row r="606" spans="1:14" x14ac:dyDescent="0.25">
      <c r="A606" t="s">
        <v>3218</v>
      </c>
      <c r="B606" t="s">
        <v>3219</v>
      </c>
      <c r="C606" t="s">
        <v>51</v>
      </c>
      <c r="D606" t="s">
        <v>13</v>
      </c>
      <c r="E606" t="str">
        <f>"98564"</f>
        <v>98564</v>
      </c>
      <c r="F606" t="s">
        <v>52</v>
      </c>
      <c r="G606" t="s">
        <v>3220</v>
      </c>
      <c r="I606" t="s">
        <v>51</v>
      </c>
      <c r="J606" t="s">
        <v>13</v>
      </c>
      <c r="K606" t="str">
        <f>"98564"</f>
        <v>98564</v>
      </c>
      <c r="L606">
        <v>2</v>
      </c>
      <c r="M606">
        <v>2</v>
      </c>
      <c r="N606">
        <v>0</v>
      </c>
    </row>
    <row r="607" spans="1:14" x14ac:dyDescent="0.25">
      <c r="A607" t="s">
        <v>2942</v>
      </c>
      <c r="B607" t="s">
        <v>2943</v>
      </c>
      <c r="C607" t="s">
        <v>669</v>
      </c>
      <c r="D607" t="s">
        <v>13</v>
      </c>
      <c r="E607" t="str">
        <f>"98531"</f>
        <v>98531</v>
      </c>
      <c r="F607" t="s">
        <v>52</v>
      </c>
      <c r="G607" t="s">
        <v>2944</v>
      </c>
      <c r="I607" t="s">
        <v>669</v>
      </c>
      <c r="J607" t="s">
        <v>13</v>
      </c>
      <c r="K607" t="str">
        <f>"98531"</f>
        <v>98531</v>
      </c>
      <c r="L607">
        <v>45</v>
      </c>
      <c r="M607">
        <v>44</v>
      </c>
      <c r="N607">
        <v>1</v>
      </c>
    </row>
    <row r="608" spans="1:14" x14ac:dyDescent="0.25">
      <c r="A608" t="s">
        <v>3165</v>
      </c>
      <c r="B608" t="s">
        <v>3166</v>
      </c>
      <c r="C608" t="s">
        <v>1082</v>
      </c>
      <c r="D608" t="s">
        <v>13</v>
      </c>
      <c r="E608" t="str">
        <f>"98570"</f>
        <v>98570</v>
      </c>
      <c r="F608" t="s">
        <v>52</v>
      </c>
      <c r="G608" t="s">
        <v>3167</v>
      </c>
      <c r="I608" t="s">
        <v>764</v>
      </c>
      <c r="J608" t="s">
        <v>13</v>
      </c>
      <c r="K608" t="str">
        <f>"98542"</f>
        <v>98542</v>
      </c>
      <c r="L608">
        <v>3</v>
      </c>
      <c r="M608">
        <v>3</v>
      </c>
      <c r="N608">
        <v>0</v>
      </c>
    </row>
    <row r="609" spans="1:14" x14ac:dyDescent="0.25">
      <c r="A609" t="s">
        <v>1077</v>
      </c>
      <c r="B609" t="s">
        <v>1078</v>
      </c>
      <c r="C609" t="s">
        <v>669</v>
      </c>
      <c r="D609" t="s">
        <v>13</v>
      </c>
      <c r="E609" t="str">
        <f>"98531"</f>
        <v>98531</v>
      </c>
      <c r="F609" t="s">
        <v>52</v>
      </c>
      <c r="G609" t="s">
        <v>1079</v>
      </c>
      <c r="I609" t="s">
        <v>437</v>
      </c>
      <c r="J609" t="s">
        <v>13</v>
      </c>
      <c r="K609" t="str">
        <f>"98026"</f>
        <v>98026</v>
      </c>
      <c r="L609">
        <v>14</v>
      </c>
      <c r="M609">
        <v>5</v>
      </c>
      <c r="N609">
        <v>9</v>
      </c>
    </row>
    <row r="610" spans="1:14" x14ac:dyDescent="0.25">
      <c r="A610" t="s">
        <v>3791</v>
      </c>
      <c r="B610" t="s">
        <v>3792</v>
      </c>
      <c r="C610" t="s">
        <v>669</v>
      </c>
      <c r="D610" t="s">
        <v>13</v>
      </c>
      <c r="E610" t="str">
        <f>"98531"</f>
        <v>98531</v>
      </c>
      <c r="F610" t="s">
        <v>52</v>
      </c>
      <c r="G610" t="s">
        <v>3793</v>
      </c>
      <c r="I610" t="s">
        <v>20</v>
      </c>
      <c r="J610" t="s">
        <v>13</v>
      </c>
      <c r="K610" t="str">
        <f>"98816"</f>
        <v>98816</v>
      </c>
      <c r="L610">
        <v>24</v>
      </c>
      <c r="M610">
        <v>24</v>
      </c>
      <c r="N610">
        <v>0</v>
      </c>
    </row>
    <row r="611" spans="1:14" x14ac:dyDescent="0.25">
      <c r="A611" t="s">
        <v>1803</v>
      </c>
      <c r="B611" t="s">
        <v>1804</v>
      </c>
      <c r="C611" t="s">
        <v>669</v>
      </c>
      <c r="D611" t="s">
        <v>13</v>
      </c>
      <c r="E611" t="str">
        <f>"98531"</f>
        <v>98531</v>
      </c>
      <c r="F611" t="s">
        <v>52</v>
      </c>
      <c r="G611" t="s">
        <v>1805</v>
      </c>
      <c r="I611" t="s">
        <v>669</v>
      </c>
      <c r="J611" t="s">
        <v>13</v>
      </c>
      <c r="K611" t="str">
        <f>"98531"</f>
        <v>98531</v>
      </c>
      <c r="L611">
        <v>32</v>
      </c>
      <c r="M611">
        <v>28</v>
      </c>
      <c r="N611">
        <v>4</v>
      </c>
    </row>
    <row r="612" spans="1:14" x14ac:dyDescent="0.25">
      <c r="A612" t="s">
        <v>685</v>
      </c>
      <c r="B612" t="s">
        <v>686</v>
      </c>
      <c r="C612" t="s">
        <v>669</v>
      </c>
      <c r="D612" t="s">
        <v>13</v>
      </c>
      <c r="E612" t="str">
        <f>"98531"</f>
        <v>98531</v>
      </c>
      <c r="F612" t="s">
        <v>52</v>
      </c>
      <c r="G612" t="s">
        <v>687</v>
      </c>
      <c r="I612" t="s">
        <v>669</v>
      </c>
      <c r="J612" t="s">
        <v>13</v>
      </c>
      <c r="K612" t="str">
        <f>"98531"</f>
        <v>98531</v>
      </c>
      <c r="L612">
        <v>45</v>
      </c>
      <c r="M612">
        <v>45</v>
      </c>
      <c r="N612">
        <v>0</v>
      </c>
    </row>
    <row r="613" spans="1:14" x14ac:dyDescent="0.25">
      <c r="A613" t="s">
        <v>3002</v>
      </c>
      <c r="B613" t="s">
        <v>3003</v>
      </c>
      <c r="C613" t="s">
        <v>669</v>
      </c>
      <c r="D613" t="s">
        <v>13</v>
      </c>
      <c r="E613" t="str">
        <f>"98531"</f>
        <v>98531</v>
      </c>
      <c r="F613" t="s">
        <v>52</v>
      </c>
      <c r="G613" t="s">
        <v>3004</v>
      </c>
      <c r="I613" t="s">
        <v>669</v>
      </c>
      <c r="J613" t="s">
        <v>13</v>
      </c>
      <c r="K613" t="str">
        <f>"98531"</f>
        <v>98531</v>
      </c>
      <c r="L613">
        <v>5</v>
      </c>
      <c r="M613">
        <v>4</v>
      </c>
      <c r="N613">
        <v>1</v>
      </c>
    </row>
    <row r="614" spans="1:14" x14ac:dyDescent="0.25">
      <c r="A614" t="s">
        <v>1677</v>
      </c>
      <c r="B614" t="s">
        <v>1678</v>
      </c>
      <c r="C614" t="s">
        <v>669</v>
      </c>
      <c r="D614" t="s">
        <v>13</v>
      </c>
      <c r="E614" t="str">
        <f>"98531"</f>
        <v>98531</v>
      </c>
      <c r="F614" t="s">
        <v>52</v>
      </c>
      <c r="G614" t="s">
        <v>1679</v>
      </c>
      <c r="I614" t="s">
        <v>1680</v>
      </c>
      <c r="J614" t="s">
        <v>821</v>
      </c>
      <c r="K614" t="str">
        <f>"97070"</f>
        <v>97070</v>
      </c>
      <c r="L614">
        <v>112</v>
      </c>
      <c r="M614">
        <v>112</v>
      </c>
      <c r="N614">
        <v>0</v>
      </c>
    </row>
    <row r="615" spans="1:14" x14ac:dyDescent="0.25">
      <c r="A615" t="s">
        <v>255</v>
      </c>
      <c r="B615" t="s">
        <v>256</v>
      </c>
      <c r="C615" t="s">
        <v>257</v>
      </c>
      <c r="D615" t="s">
        <v>13</v>
      </c>
      <c r="E615" t="str">
        <f>"98532"</f>
        <v>98532</v>
      </c>
      <c r="F615" t="s">
        <v>52</v>
      </c>
      <c r="G615" t="s">
        <v>258</v>
      </c>
      <c r="I615" t="s">
        <v>259</v>
      </c>
      <c r="J615" t="s">
        <v>13</v>
      </c>
      <c r="K615" t="str">
        <f>"98565"</f>
        <v>98565</v>
      </c>
      <c r="L615">
        <v>4</v>
      </c>
      <c r="M615">
        <v>4</v>
      </c>
      <c r="N615">
        <v>0</v>
      </c>
    </row>
    <row r="616" spans="1:14" x14ac:dyDescent="0.25">
      <c r="A616" t="s">
        <v>783</v>
      </c>
      <c r="B616" t="s">
        <v>784</v>
      </c>
      <c r="C616" t="s">
        <v>56</v>
      </c>
      <c r="D616" t="s">
        <v>13</v>
      </c>
      <c r="E616" t="str">
        <f>"98336"</f>
        <v>98336</v>
      </c>
      <c r="F616" t="s">
        <v>52</v>
      </c>
      <c r="G616" t="s">
        <v>785</v>
      </c>
      <c r="I616" t="s">
        <v>257</v>
      </c>
      <c r="J616" t="s">
        <v>13</v>
      </c>
      <c r="K616" t="str">
        <f>"98532"</f>
        <v>98532</v>
      </c>
      <c r="L616">
        <v>6</v>
      </c>
      <c r="M616">
        <v>6</v>
      </c>
      <c r="N616">
        <v>0</v>
      </c>
    </row>
    <row r="617" spans="1:14" x14ac:dyDescent="0.25">
      <c r="A617" t="s">
        <v>2488</v>
      </c>
      <c r="B617" t="s">
        <v>2489</v>
      </c>
      <c r="C617" t="s">
        <v>257</v>
      </c>
      <c r="D617" t="s">
        <v>13</v>
      </c>
      <c r="E617" t="str">
        <f>"98532"</f>
        <v>98532</v>
      </c>
      <c r="F617" t="s">
        <v>52</v>
      </c>
      <c r="G617" t="s">
        <v>2490</v>
      </c>
      <c r="I617" t="s">
        <v>72</v>
      </c>
      <c r="J617" t="s">
        <v>13</v>
      </c>
      <c r="K617" t="str">
        <f>"98415"</f>
        <v>98415</v>
      </c>
      <c r="L617">
        <v>12</v>
      </c>
      <c r="M617">
        <v>4</v>
      </c>
      <c r="N617">
        <v>8</v>
      </c>
    </row>
    <row r="618" spans="1:14" x14ac:dyDescent="0.25">
      <c r="A618" t="s">
        <v>667</v>
      </c>
      <c r="B618" t="s">
        <v>668</v>
      </c>
      <c r="C618" t="s">
        <v>669</v>
      </c>
      <c r="D618" t="s">
        <v>13</v>
      </c>
      <c r="E618" t="str">
        <f>"98531"</f>
        <v>98531</v>
      </c>
      <c r="F618" t="s">
        <v>52</v>
      </c>
      <c r="G618" t="s">
        <v>670</v>
      </c>
      <c r="I618" t="s">
        <v>87</v>
      </c>
      <c r="J618" t="s">
        <v>13</v>
      </c>
      <c r="K618" t="str">
        <f>"98502"</f>
        <v>98502</v>
      </c>
      <c r="L618">
        <v>45</v>
      </c>
      <c r="M618">
        <v>22</v>
      </c>
      <c r="N618">
        <v>23</v>
      </c>
    </row>
    <row r="619" spans="1:14" x14ac:dyDescent="0.25">
      <c r="A619" t="s">
        <v>3082</v>
      </c>
      <c r="B619" t="s">
        <v>3083</v>
      </c>
      <c r="C619" t="s">
        <v>51</v>
      </c>
      <c r="D619" t="s">
        <v>13</v>
      </c>
      <c r="E619" t="str">
        <f>"98564"</f>
        <v>98564</v>
      </c>
      <c r="F619" t="s">
        <v>52</v>
      </c>
      <c r="G619" t="s">
        <v>3084</v>
      </c>
      <c r="I619" t="s">
        <v>3085</v>
      </c>
      <c r="J619" t="s">
        <v>433</v>
      </c>
      <c r="K619" t="str">
        <f>"92856"</f>
        <v>92856</v>
      </c>
      <c r="L619">
        <v>11</v>
      </c>
      <c r="M619">
        <v>4</v>
      </c>
      <c r="N619">
        <v>7</v>
      </c>
    </row>
    <row r="620" spans="1:14" x14ac:dyDescent="0.25">
      <c r="A620" t="s">
        <v>3957</v>
      </c>
      <c r="B620" t="s">
        <v>3958</v>
      </c>
      <c r="C620" t="s">
        <v>3959</v>
      </c>
      <c r="D620" t="s">
        <v>13</v>
      </c>
      <c r="E620" t="str">
        <f>"98585"</f>
        <v>98585</v>
      </c>
      <c r="F620" t="s">
        <v>52</v>
      </c>
      <c r="G620" t="s">
        <v>3960</v>
      </c>
      <c r="I620" t="s">
        <v>2190</v>
      </c>
      <c r="J620" t="s">
        <v>13</v>
      </c>
      <c r="K620" t="str">
        <f>"98074"</f>
        <v>98074</v>
      </c>
      <c r="L620">
        <v>20</v>
      </c>
      <c r="M620">
        <v>4</v>
      </c>
      <c r="N620">
        <v>16</v>
      </c>
    </row>
    <row r="621" spans="1:14" x14ac:dyDescent="0.25">
      <c r="A621" t="s">
        <v>2831</v>
      </c>
      <c r="B621" t="s">
        <v>2832</v>
      </c>
      <c r="C621" t="s">
        <v>2833</v>
      </c>
      <c r="D621" t="s">
        <v>13</v>
      </c>
      <c r="E621" t="str">
        <f>"98355"</f>
        <v>98355</v>
      </c>
      <c r="F621" t="s">
        <v>52</v>
      </c>
      <c r="G621" t="s">
        <v>2834</v>
      </c>
      <c r="I621" t="s">
        <v>51</v>
      </c>
      <c r="J621" t="s">
        <v>13</v>
      </c>
      <c r="K621" t="str">
        <f>"98564"</f>
        <v>98564</v>
      </c>
      <c r="L621">
        <v>14</v>
      </c>
      <c r="M621">
        <v>14</v>
      </c>
      <c r="N621">
        <v>0</v>
      </c>
    </row>
    <row r="622" spans="1:14" x14ac:dyDescent="0.25">
      <c r="A622" t="s">
        <v>385</v>
      </c>
      <c r="B622" t="s">
        <v>386</v>
      </c>
      <c r="C622" t="s">
        <v>51</v>
      </c>
      <c r="D622" t="s">
        <v>13</v>
      </c>
      <c r="E622" t="str">
        <f>"98564"</f>
        <v>98564</v>
      </c>
      <c r="F622" t="s">
        <v>52</v>
      </c>
      <c r="G622" t="s">
        <v>384</v>
      </c>
      <c r="I622" t="s">
        <v>383</v>
      </c>
      <c r="J622" t="s">
        <v>13</v>
      </c>
      <c r="K622" t="str">
        <f>"98328"</f>
        <v>98328</v>
      </c>
      <c r="L622">
        <v>23</v>
      </c>
      <c r="M622">
        <v>19</v>
      </c>
      <c r="N622">
        <v>4</v>
      </c>
    </row>
    <row r="623" spans="1:14" x14ac:dyDescent="0.25">
      <c r="A623" t="s">
        <v>3895</v>
      </c>
      <c r="B623" t="s">
        <v>3896</v>
      </c>
      <c r="C623" t="s">
        <v>51</v>
      </c>
      <c r="D623" t="s">
        <v>13</v>
      </c>
      <c r="E623" t="str">
        <f>"98564"</f>
        <v>98564</v>
      </c>
      <c r="F623" t="s">
        <v>52</v>
      </c>
      <c r="G623" t="s">
        <v>3897</v>
      </c>
      <c r="I623" t="s">
        <v>2948</v>
      </c>
      <c r="J623" t="s">
        <v>821</v>
      </c>
      <c r="K623" t="str">
        <f>"97045"</f>
        <v>97045</v>
      </c>
      <c r="L623">
        <v>33</v>
      </c>
      <c r="M623">
        <v>24</v>
      </c>
      <c r="N623">
        <v>9</v>
      </c>
    </row>
    <row r="624" spans="1:14" x14ac:dyDescent="0.25">
      <c r="A624" t="s">
        <v>1044</v>
      </c>
      <c r="B624" t="s">
        <v>1203</v>
      </c>
      <c r="C624" t="s">
        <v>257</v>
      </c>
      <c r="D624" t="s">
        <v>13</v>
      </c>
      <c r="E624" t="str">
        <f>"98532"</f>
        <v>98532</v>
      </c>
      <c r="F624" t="s">
        <v>52</v>
      </c>
      <c r="G624" t="s">
        <v>1204</v>
      </c>
      <c r="I624" t="s">
        <v>259</v>
      </c>
      <c r="J624" t="s">
        <v>13</v>
      </c>
      <c r="K624" t="str">
        <f>"98565"</f>
        <v>98565</v>
      </c>
      <c r="L624">
        <v>15</v>
      </c>
      <c r="M624">
        <v>15</v>
      </c>
      <c r="N624">
        <v>0</v>
      </c>
    </row>
    <row r="625" spans="1:14" x14ac:dyDescent="0.25">
      <c r="A625" t="s">
        <v>3322</v>
      </c>
      <c r="B625" t="s">
        <v>3323</v>
      </c>
      <c r="C625" t="s">
        <v>669</v>
      </c>
      <c r="D625" t="s">
        <v>13</v>
      </c>
      <c r="E625" t="str">
        <f>"98531"</f>
        <v>98531</v>
      </c>
      <c r="F625" t="s">
        <v>52</v>
      </c>
      <c r="G625" t="s">
        <v>3324</v>
      </c>
      <c r="I625" t="s">
        <v>669</v>
      </c>
      <c r="J625" t="s">
        <v>13</v>
      </c>
      <c r="K625" t="str">
        <f>"98531"</f>
        <v>98531</v>
      </c>
      <c r="L625">
        <v>24</v>
      </c>
      <c r="M625">
        <v>5</v>
      </c>
      <c r="N625">
        <v>19</v>
      </c>
    </row>
    <row r="626" spans="1:14" x14ac:dyDescent="0.25">
      <c r="A626" t="s">
        <v>2697</v>
      </c>
      <c r="B626" t="s">
        <v>2698</v>
      </c>
      <c r="C626" t="s">
        <v>259</v>
      </c>
      <c r="D626" t="s">
        <v>13</v>
      </c>
      <c r="E626" t="str">
        <f>"98565"</f>
        <v>98565</v>
      </c>
      <c r="F626" t="s">
        <v>52</v>
      </c>
      <c r="G626" t="s">
        <v>2699</v>
      </c>
      <c r="H626" t="s">
        <v>2700</v>
      </c>
      <c r="I626" t="s">
        <v>87</v>
      </c>
      <c r="J626" t="s">
        <v>13</v>
      </c>
      <c r="K626" t="str">
        <f>"98512"</f>
        <v>98512</v>
      </c>
      <c r="L626">
        <v>35</v>
      </c>
      <c r="M626">
        <v>33</v>
      </c>
      <c r="N626">
        <v>2</v>
      </c>
    </row>
    <row r="627" spans="1:14" x14ac:dyDescent="0.25">
      <c r="A627" t="s">
        <v>1205</v>
      </c>
      <c r="B627" t="s">
        <v>1206</v>
      </c>
      <c r="C627" t="s">
        <v>750</v>
      </c>
      <c r="D627" t="s">
        <v>13</v>
      </c>
      <c r="E627" t="str">
        <f>"98596"</f>
        <v>98596</v>
      </c>
      <c r="F627" t="s">
        <v>52</v>
      </c>
      <c r="G627" t="s">
        <v>1207</v>
      </c>
      <c r="I627" t="s">
        <v>259</v>
      </c>
      <c r="J627" t="s">
        <v>13</v>
      </c>
      <c r="K627" t="str">
        <f>"98565"</f>
        <v>98565</v>
      </c>
      <c r="L627">
        <v>10</v>
      </c>
      <c r="M627">
        <v>10</v>
      </c>
      <c r="N627">
        <v>0</v>
      </c>
    </row>
    <row r="628" spans="1:14" x14ac:dyDescent="0.25">
      <c r="A628" t="s">
        <v>246</v>
      </c>
      <c r="B628" t="s">
        <v>247</v>
      </c>
      <c r="C628" t="s">
        <v>248</v>
      </c>
      <c r="D628" t="s">
        <v>13</v>
      </c>
      <c r="E628" t="str">
        <f>"98356"</f>
        <v>98356</v>
      </c>
      <c r="F628" t="s">
        <v>52</v>
      </c>
      <c r="G628" t="s">
        <v>249</v>
      </c>
      <c r="I628" t="s">
        <v>248</v>
      </c>
      <c r="J628" t="s">
        <v>13</v>
      </c>
      <c r="K628" t="str">
        <f>"98356"</f>
        <v>98356</v>
      </c>
      <c r="L628">
        <v>4</v>
      </c>
      <c r="M628">
        <v>1</v>
      </c>
      <c r="N628">
        <v>3</v>
      </c>
    </row>
    <row r="629" spans="1:14" x14ac:dyDescent="0.25">
      <c r="A629" t="s">
        <v>3751</v>
      </c>
      <c r="B629" t="s">
        <v>3752</v>
      </c>
      <c r="C629" t="s">
        <v>669</v>
      </c>
      <c r="D629" t="s">
        <v>13</v>
      </c>
      <c r="E629" t="str">
        <f>"98531"</f>
        <v>98531</v>
      </c>
      <c r="F629" t="s">
        <v>52</v>
      </c>
      <c r="G629" t="s">
        <v>3753</v>
      </c>
      <c r="I629" t="s">
        <v>96</v>
      </c>
      <c r="J629" t="s">
        <v>13</v>
      </c>
      <c r="K629" t="str">
        <f>"99362"</f>
        <v>99362</v>
      </c>
      <c r="L629">
        <v>30</v>
      </c>
      <c r="M629">
        <v>30</v>
      </c>
      <c r="N629">
        <v>0</v>
      </c>
    </row>
    <row r="630" spans="1:14" x14ac:dyDescent="0.25">
      <c r="A630" t="s">
        <v>1436</v>
      </c>
      <c r="B630" t="s">
        <v>1437</v>
      </c>
      <c r="C630" t="s">
        <v>257</v>
      </c>
      <c r="D630" t="s">
        <v>13</v>
      </c>
      <c r="E630" t="str">
        <f>"98532"</f>
        <v>98532</v>
      </c>
      <c r="F630" t="s">
        <v>52</v>
      </c>
      <c r="G630" t="s">
        <v>1437</v>
      </c>
      <c r="I630" t="s">
        <v>257</v>
      </c>
      <c r="J630" t="s">
        <v>13</v>
      </c>
      <c r="K630" t="str">
        <f>"98532"</f>
        <v>98532</v>
      </c>
      <c r="L630">
        <v>5</v>
      </c>
      <c r="M630">
        <v>5</v>
      </c>
      <c r="N630">
        <v>0</v>
      </c>
    </row>
    <row r="631" spans="1:14" x14ac:dyDescent="0.25">
      <c r="A631" t="s">
        <v>3971</v>
      </c>
      <c r="B631" t="s">
        <v>3972</v>
      </c>
      <c r="C631" t="s">
        <v>669</v>
      </c>
      <c r="D631" t="s">
        <v>13</v>
      </c>
      <c r="E631" t="str">
        <f>"98531"</f>
        <v>98531</v>
      </c>
      <c r="F631" t="s">
        <v>52</v>
      </c>
      <c r="G631" t="s">
        <v>3973</v>
      </c>
      <c r="I631" t="s">
        <v>1782</v>
      </c>
      <c r="J631" t="s">
        <v>13</v>
      </c>
      <c r="K631" t="str">
        <f>"98467"</f>
        <v>98467</v>
      </c>
      <c r="L631">
        <v>46</v>
      </c>
      <c r="M631">
        <v>45</v>
      </c>
      <c r="N631">
        <v>1</v>
      </c>
    </row>
    <row r="632" spans="1:14" x14ac:dyDescent="0.25">
      <c r="A632" t="s">
        <v>2168</v>
      </c>
      <c r="B632" t="s">
        <v>2169</v>
      </c>
      <c r="C632" t="s">
        <v>669</v>
      </c>
      <c r="D632" t="s">
        <v>13</v>
      </c>
      <c r="E632" t="str">
        <f>"98531"</f>
        <v>98531</v>
      </c>
      <c r="F632" t="s">
        <v>52</v>
      </c>
      <c r="G632" t="s">
        <v>2170</v>
      </c>
      <c r="I632" t="s">
        <v>72</v>
      </c>
      <c r="J632" t="s">
        <v>13</v>
      </c>
      <c r="K632" t="str">
        <f>"98446"</f>
        <v>98446</v>
      </c>
      <c r="L632">
        <v>24</v>
      </c>
      <c r="M632">
        <v>18</v>
      </c>
      <c r="N632">
        <v>6</v>
      </c>
    </row>
    <row r="633" spans="1:14" x14ac:dyDescent="0.25">
      <c r="A633" t="s">
        <v>993</v>
      </c>
      <c r="B633" t="s">
        <v>994</v>
      </c>
      <c r="C633" t="s">
        <v>257</v>
      </c>
      <c r="D633" t="s">
        <v>13</v>
      </c>
      <c r="E633" t="str">
        <f>"98532"</f>
        <v>98532</v>
      </c>
      <c r="F633" t="s">
        <v>52</v>
      </c>
      <c r="G633" t="s">
        <v>994</v>
      </c>
      <c r="I633" t="s">
        <v>257</v>
      </c>
      <c r="J633" t="s">
        <v>13</v>
      </c>
      <c r="K633" t="str">
        <f>"98532"</f>
        <v>98532</v>
      </c>
      <c r="L633">
        <v>36</v>
      </c>
      <c r="M633">
        <v>36</v>
      </c>
      <c r="N633">
        <v>0</v>
      </c>
    </row>
    <row r="634" spans="1:14" x14ac:dyDescent="0.25">
      <c r="A634" t="s">
        <v>373</v>
      </c>
      <c r="B634" t="s">
        <v>374</v>
      </c>
      <c r="C634" t="s">
        <v>375</v>
      </c>
      <c r="D634" t="s">
        <v>13</v>
      </c>
      <c r="E634" t="str">
        <f>"98572"</f>
        <v>98572</v>
      </c>
      <c r="F634" t="s">
        <v>52</v>
      </c>
      <c r="G634" t="s">
        <v>376</v>
      </c>
      <c r="I634" t="s">
        <v>257</v>
      </c>
      <c r="J634" t="s">
        <v>13</v>
      </c>
      <c r="K634" t="str">
        <f>"98532"</f>
        <v>98532</v>
      </c>
      <c r="L634">
        <v>6</v>
      </c>
      <c r="M634">
        <v>5</v>
      </c>
      <c r="N634">
        <v>1</v>
      </c>
    </row>
    <row r="635" spans="1:14" x14ac:dyDescent="0.25">
      <c r="A635" t="s">
        <v>1786</v>
      </c>
      <c r="B635" t="s">
        <v>1787</v>
      </c>
      <c r="C635" t="s">
        <v>669</v>
      </c>
      <c r="D635" t="s">
        <v>13</v>
      </c>
      <c r="E635" t="str">
        <f>"98531"</f>
        <v>98531</v>
      </c>
      <c r="F635" t="s">
        <v>52</v>
      </c>
      <c r="G635" t="s">
        <v>1788</v>
      </c>
      <c r="I635" t="s">
        <v>669</v>
      </c>
      <c r="J635" t="s">
        <v>13</v>
      </c>
      <c r="K635" t="str">
        <f>"98531"</f>
        <v>98531</v>
      </c>
      <c r="L635">
        <v>64</v>
      </c>
      <c r="M635">
        <v>57</v>
      </c>
      <c r="N635">
        <v>7</v>
      </c>
    </row>
    <row r="636" spans="1:14" x14ac:dyDescent="0.25">
      <c r="A636" t="s">
        <v>195</v>
      </c>
      <c r="B636" t="s">
        <v>196</v>
      </c>
      <c r="C636" t="s">
        <v>56</v>
      </c>
      <c r="D636" t="s">
        <v>13</v>
      </c>
      <c r="E636" t="str">
        <f>"98336"</f>
        <v>98336</v>
      </c>
      <c r="F636" t="s">
        <v>52</v>
      </c>
      <c r="G636" t="s">
        <v>197</v>
      </c>
      <c r="I636" t="s">
        <v>56</v>
      </c>
      <c r="J636" t="s">
        <v>13</v>
      </c>
      <c r="K636" t="str">
        <f>"98336"</f>
        <v>98336</v>
      </c>
      <c r="L636">
        <v>6</v>
      </c>
      <c r="M636">
        <v>6</v>
      </c>
      <c r="N636">
        <v>0</v>
      </c>
    </row>
    <row r="637" spans="1:14" x14ac:dyDescent="0.25">
      <c r="A637" t="s">
        <v>59</v>
      </c>
      <c r="B637" t="s">
        <v>60</v>
      </c>
      <c r="C637" t="s">
        <v>56</v>
      </c>
      <c r="D637" t="s">
        <v>13</v>
      </c>
      <c r="E637" t="str">
        <f>"98336"</f>
        <v>98336</v>
      </c>
      <c r="F637" t="s">
        <v>52</v>
      </c>
      <c r="G637" t="s">
        <v>60</v>
      </c>
      <c r="I637" t="s">
        <v>56</v>
      </c>
      <c r="J637" t="s">
        <v>13</v>
      </c>
      <c r="K637" t="str">
        <f>"98336"</f>
        <v>98336</v>
      </c>
      <c r="L637">
        <v>8</v>
      </c>
      <c r="M637">
        <v>3</v>
      </c>
      <c r="N637">
        <v>5</v>
      </c>
    </row>
    <row r="638" spans="1:14" x14ac:dyDescent="0.25">
      <c r="A638" t="s">
        <v>3123</v>
      </c>
      <c r="B638" t="s">
        <v>3124</v>
      </c>
      <c r="C638" t="s">
        <v>1082</v>
      </c>
      <c r="D638" t="s">
        <v>13</v>
      </c>
      <c r="E638" t="str">
        <f>"98570"</f>
        <v>98570</v>
      </c>
      <c r="F638" t="s">
        <v>52</v>
      </c>
      <c r="G638" t="s">
        <v>3125</v>
      </c>
      <c r="H638" t="s">
        <v>3126</v>
      </c>
      <c r="I638" t="s">
        <v>1082</v>
      </c>
      <c r="J638" t="s">
        <v>13</v>
      </c>
      <c r="K638" t="str">
        <f>"98570"</f>
        <v>98570</v>
      </c>
      <c r="L638">
        <v>4</v>
      </c>
      <c r="M638">
        <v>4</v>
      </c>
      <c r="N638">
        <v>0</v>
      </c>
    </row>
    <row r="639" spans="1:14" x14ac:dyDescent="0.25">
      <c r="A639" t="s">
        <v>1084</v>
      </c>
      <c r="B639" t="s">
        <v>1085</v>
      </c>
      <c r="C639" t="s">
        <v>484</v>
      </c>
      <c r="D639" t="s">
        <v>13</v>
      </c>
      <c r="E639" t="str">
        <f>"98377"</f>
        <v>98377</v>
      </c>
      <c r="F639" t="s">
        <v>52</v>
      </c>
      <c r="G639" t="s">
        <v>1085</v>
      </c>
      <c r="I639" t="s">
        <v>484</v>
      </c>
      <c r="J639" t="s">
        <v>13</v>
      </c>
      <c r="K639" t="str">
        <f>"98377"</f>
        <v>98377</v>
      </c>
      <c r="L639">
        <v>9</v>
      </c>
      <c r="M639">
        <v>4</v>
      </c>
      <c r="N639">
        <v>5</v>
      </c>
    </row>
    <row r="640" spans="1:14" x14ac:dyDescent="0.25">
      <c r="A640" t="s">
        <v>991</v>
      </c>
      <c r="B640" t="s">
        <v>992</v>
      </c>
      <c r="C640" t="s">
        <v>669</v>
      </c>
      <c r="D640" t="s">
        <v>13</v>
      </c>
      <c r="E640" t="str">
        <f>"98531"</f>
        <v>98531</v>
      </c>
      <c r="F640" t="s">
        <v>52</v>
      </c>
      <c r="G640" t="s">
        <v>992</v>
      </c>
      <c r="I640" t="s">
        <v>669</v>
      </c>
      <c r="J640" t="s">
        <v>13</v>
      </c>
      <c r="K640" t="str">
        <f>"98531"</f>
        <v>98531</v>
      </c>
      <c r="L640">
        <v>32</v>
      </c>
      <c r="M640">
        <v>15</v>
      </c>
      <c r="N640">
        <v>17</v>
      </c>
    </row>
    <row r="641" spans="1:14" x14ac:dyDescent="0.25">
      <c r="A641" t="s">
        <v>1844</v>
      </c>
      <c r="B641" t="s">
        <v>1845</v>
      </c>
      <c r="C641" t="s">
        <v>257</v>
      </c>
      <c r="D641" t="s">
        <v>13</v>
      </c>
      <c r="E641" t="str">
        <f>"98532"</f>
        <v>98532</v>
      </c>
      <c r="F641" t="s">
        <v>52</v>
      </c>
      <c r="G641" t="s">
        <v>1083</v>
      </c>
      <c r="I641" t="s">
        <v>257</v>
      </c>
      <c r="J641" t="s">
        <v>13</v>
      </c>
      <c r="K641" t="str">
        <f>"98532"</f>
        <v>98532</v>
      </c>
      <c r="L641">
        <v>20</v>
      </c>
      <c r="M641">
        <v>1</v>
      </c>
      <c r="N641">
        <v>19</v>
      </c>
    </row>
    <row r="642" spans="1:14" x14ac:dyDescent="0.25">
      <c r="A642" t="s">
        <v>3295</v>
      </c>
      <c r="B642" t="s">
        <v>3296</v>
      </c>
      <c r="C642" t="s">
        <v>1082</v>
      </c>
      <c r="D642" t="s">
        <v>13</v>
      </c>
      <c r="E642" t="str">
        <f>"98570"</f>
        <v>98570</v>
      </c>
      <c r="F642" t="s">
        <v>52</v>
      </c>
      <c r="G642" t="s">
        <v>3296</v>
      </c>
      <c r="H642" t="s">
        <v>3297</v>
      </c>
      <c r="I642" t="s">
        <v>1082</v>
      </c>
      <c r="J642" t="s">
        <v>13</v>
      </c>
      <c r="K642" t="str">
        <f>"98570"</f>
        <v>98570</v>
      </c>
      <c r="L642">
        <v>3</v>
      </c>
      <c r="M642">
        <v>3</v>
      </c>
      <c r="N642">
        <v>0</v>
      </c>
    </row>
    <row r="643" spans="1:14" x14ac:dyDescent="0.25">
      <c r="A643" t="s">
        <v>2674</v>
      </c>
      <c r="B643" t="s">
        <v>2675</v>
      </c>
      <c r="C643" t="s">
        <v>669</v>
      </c>
      <c r="D643" t="s">
        <v>13</v>
      </c>
      <c r="E643" t="str">
        <f>"98531"</f>
        <v>98531</v>
      </c>
      <c r="F643" t="s">
        <v>52</v>
      </c>
      <c r="G643" t="s">
        <v>2318</v>
      </c>
      <c r="I643" t="s">
        <v>890</v>
      </c>
      <c r="J643" t="s">
        <v>821</v>
      </c>
      <c r="K643" t="str">
        <f>"97218"</f>
        <v>97218</v>
      </c>
      <c r="L643">
        <v>63</v>
      </c>
      <c r="M643">
        <v>57</v>
      </c>
      <c r="N643">
        <v>6</v>
      </c>
    </row>
    <row r="644" spans="1:14" x14ac:dyDescent="0.25">
      <c r="A644" t="s">
        <v>942</v>
      </c>
      <c r="B644" t="s">
        <v>943</v>
      </c>
      <c r="C644" t="s">
        <v>750</v>
      </c>
      <c r="D644" t="s">
        <v>13</v>
      </c>
      <c r="E644" t="str">
        <f>"98596"</f>
        <v>98596</v>
      </c>
      <c r="F644" t="s">
        <v>52</v>
      </c>
      <c r="G644" t="s">
        <v>943</v>
      </c>
      <c r="I644" t="s">
        <v>750</v>
      </c>
      <c r="J644" t="s">
        <v>13</v>
      </c>
      <c r="K644" t="str">
        <f>"98596"</f>
        <v>98596</v>
      </c>
      <c r="L644">
        <v>6</v>
      </c>
      <c r="M644">
        <v>3</v>
      </c>
      <c r="N644">
        <v>3</v>
      </c>
    </row>
    <row r="645" spans="1:14" x14ac:dyDescent="0.25">
      <c r="A645" t="s">
        <v>2365</v>
      </c>
      <c r="B645" t="s">
        <v>2366</v>
      </c>
      <c r="C645" t="s">
        <v>669</v>
      </c>
      <c r="D645" t="s">
        <v>13</v>
      </c>
      <c r="E645" t="str">
        <f>"98531"</f>
        <v>98531</v>
      </c>
      <c r="F645" t="s">
        <v>52</v>
      </c>
      <c r="G645" t="s">
        <v>551</v>
      </c>
      <c r="I645" t="s">
        <v>93</v>
      </c>
      <c r="J645" t="s">
        <v>13</v>
      </c>
      <c r="K645" t="str">
        <f>"98509"</f>
        <v>98509</v>
      </c>
      <c r="L645">
        <v>16</v>
      </c>
      <c r="M645">
        <v>12</v>
      </c>
      <c r="N645">
        <v>4</v>
      </c>
    </row>
    <row r="646" spans="1:14" x14ac:dyDescent="0.25">
      <c r="A646" t="s">
        <v>944</v>
      </c>
      <c r="B646" t="s">
        <v>945</v>
      </c>
      <c r="C646" t="s">
        <v>669</v>
      </c>
      <c r="D646" t="s">
        <v>13</v>
      </c>
      <c r="E646" t="str">
        <f>"98531"</f>
        <v>98531</v>
      </c>
      <c r="F646" t="s">
        <v>52</v>
      </c>
      <c r="G646" t="s">
        <v>946</v>
      </c>
      <c r="I646" t="s">
        <v>669</v>
      </c>
      <c r="J646" t="s">
        <v>13</v>
      </c>
      <c r="K646" t="str">
        <f>"98531"</f>
        <v>98531</v>
      </c>
      <c r="L646">
        <v>8</v>
      </c>
      <c r="M646">
        <v>8</v>
      </c>
      <c r="N646">
        <v>0</v>
      </c>
    </row>
    <row r="647" spans="1:14" x14ac:dyDescent="0.25">
      <c r="A647" t="s">
        <v>947</v>
      </c>
      <c r="B647" t="s">
        <v>948</v>
      </c>
      <c r="C647" t="s">
        <v>257</v>
      </c>
      <c r="D647" t="s">
        <v>13</v>
      </c>
      <c r="E647" t="str">
        <f>"98532"</f>
        <v>98532</v>
      </c>
      <c r="F647" t="s">
        <v>52</v>
      </c>
      <c r="G647" t="s">
        <v>946</v>
      </c>
      <c r="I647" t="s">
        <v>669</v>
      </c>
      <c r="J647" t="s">
        <v>13</v>
      </c>
      <c r="K647" t="str">
        <f>"98531"</f>
        <v>98531</v>
      </c>
      <c r="L647">
        <v>2</v>
      </c>
      <c r="M647">
        <v>2</v>
      </c>
      <c r="N647">
        <v>0</v>
      </c>
    </row>
    <row r="648" spans="1:14" x14ac:dyDescent="0.25">
      <c r="A648" t="s">
        <v>1208</v>
      </c>
      <c r="B648" t="s">
        <v>1209</v>
      </c>
      <c r="C648" t="s">
        <v>257</v>
      </c>
      <c r="D648" t="s">
        <v>13</v>
      </c>
      <c r="E648" t="str">
        <f>"98532"</f>
        <v>98532</v>
      </c>
      <c r="F648" t="s">
        <v>52</v>
      </c>
      <c r="G648" t="s">
        <v>1207</v>
      </c>
      <c r="I648" t="s">
        <v>259</v>
      </c>
      <c r="J648" t="s">
        <v>13</v>
      </c>
      <c r="K648" t="str">
        <f>"98565"</f>
        <v>98565</v>
      </c>
      <c r="L648">
        <v>2</v>
      </c>
      <c r="M648">
        <v>2</v>
      </c>
      <c r="N648">
        <v>0</v>
      </c>
    </row>
    <row r="649" spans="1:14" x14ac:dyDescent="0.25">
      <c r="A649" t="s">
        <v>3546</v>
      </c>
      <c r="B649" t="s">
        <v>3547</v>
      </c>
      <c r="C649" t="s">
        <v>669</v>
      </c>
      <c r="D649" t="s">
        <v>13</v>
      </c>
      <c r="E649" t="str">
        <f>"98531"</f>
        <v>98531</v>
      </c>
      <c r="F649" t="s">
        <v>52</v>
      </c>
      <c r="G649" t="s">
        <v>3548</v>
      </c>
      <c r="I649" t="s">
        <v>297</v>
      </c>
      <c r="J649" t="s">
        <v>13</v>
      </c>
      <c r="K649" t="str">
        <f>"98092"</f>
        <v>98092</v>
      </c>
      <c r="L649">
        <v>3</v>
      </c>
      <c r="M649">
        <v>2</v>
      </c>
      <c r="N649">
        <v>1</v>
      </c>
    </row>
    <row r="650" spans="1:14" x14ac:dyDescent="0.25">
      <c r="A650" t="s">
        <v>1210</v>
      </c>
      <c r="B650" t="s">
        <v>1211</v>
      </c>
      <c r="C650" t="s">
        <v>750</v>
      </c>
      <c r="D650" t="s">
        <v>13</v>
      </c>
      <c r="E650" t="str">
        <f>"98596"</f>
        <v>98596</v>
      </c>
      <c r="F650" t="s">
        <v>52</v>
      </c>
      <c r="G650" t="s">
        <v>1207</v>
      </c>
      <c r="I650" t="s">
        <v>259</v>
      </c>
      <c r="J650" t="s">
        <v>13</v>
      </c>
      <c r="K650" t="str">
        <f>"98565"</f>
        <v>98565</v>
      </c>
      <c r="L650">
        <v>8</v>
      </c>
      <c r="M650">
        <v>8</v>
      </c>
      <c r="N650">
        <v>0</v>
      </c>
    </row>
    <row r="651" spans="1:14" x14ac:dyDescent="0.25">
      <c r="A651" t="s">
        <v>2077</v>
      </c>
      <c r="B651" t="s">
        <v>2078</v>
      </c>
      <c r="C651" t="s">
        <v>248</v>
      </c>
      <c r="D651" t="s">
        <v>13</v>
      </c>
      <c r="E651" t="str">
        <f>"98356"</f>
        <v>98356</v>
      </c>
      <c r="F651" t="s">
        <v>52</v>
      </c>
      <c r="G651" t="s">
        <v>1940</v>
      </c>
      <c r="I651" t="s">
        <v>107</v>
      </c>
      <c r="J651" t="s">
        <v>13</v>
      </c>
      <c r="K651" t="str">
        <f>"98177"</f>
        <v>98177</v>
      </c>
      <c r="L651">
        <v>23</v>
      </c>
      <c r="M651">
        <v>22</v>
      </c>
      <c r="N651">
        <v>1</v>
      </c>
    </row>
    <row r="652" spans="1:14" x14ac:dyDescent="0.25">
      <c r="A652" t="s">
        <v>3155</v>
      </c>
      <c r="B652" t="s">
        <v>3156</v>
      </c>
      <c r="C652" t="s">
        <v>750</v>
      </c>
      <c r="D652" t="s">
        <v>13</v>
      </c>
      <c r="E652" t="str">
        <f>"98416"</f>
        <v>98416</v>
      </c>
      <c r="F652" t="s">
        <v>52</v>
      </c>
      <c r="G652" t="s">
        <v>3157</v>
      </c>
      <c r="I652" t="s">
        <v>30</v>
      </c>
      <c r="J652" t="s">
        <v>13</v>
      </c>
      <c r="K652" t="str">
        <f>"98685"</f>
        <v>98685</v>
      </c>
      <c r="L652">
        <v>20</v>
      </c>
      <c r="M652">
        <v>2</v>
      </c>
      <c r="N652">
        <v>18</v>
      </c>
    </row>
    <row r="653" spans="1:14" x14ac:dyDescent="0.25">
      <c r="A653" t="s">
        <v>1212</v>
      </c>
      <c r="B653" t="s">
        <v>1213</v>
      </c>
      <c r="C653" t="s">
        <v>1214</v>
      </c>
      <c r="D653" t="s">
        <v>13</v>
      </c>
      <c r="E653" t="str">
        <f>"98591"</f>
        <v>98591</v>
      </c>
      <c r="F653" t="s">
        <v>52</v>
      </c>
      <c r="G653" t="s">
        <v>1207</v>
      </c>
      <c r="I653" t="s">
        <v>259</v>
      </c>
      <c r="J653" t="s">
        <v>13</v>
      </c>
      <c r="K653" t="str">
        <f>"98565"</f>
        <v>98565</v>
      </c>
      <c r="L653">
        <v>18</v>
      </c>
      <c r="M653">
        <v>18</v>
      </c>
      <c r="N653">
        <v>0</v>
      </c>
    </row>
    <row r="654" spans="1:14" x14ac:dyDescent="0.25">
      <c r="A654" t="s">
        <v>3974</v>
      </c>
      <c r="B654" t="s">
        <v>3975</v>
      </c>
      <c r="C654" t="s">
        <v>669</v>
      </c>
      <c r="D654" t="s">
        <v>13</v>
      </c>
      <c r="E654" t="str">
        <f>"98531"</f>
        <v>98531</v>
      </c>
      <c r="F654" t="s">
        <v>52</v>
      </c>
      <c r="G654" t="s">
        <v>3501</v>
      </c>
      <c r="I654" t="s">
        <v>681</v>
      </c>
      <c r="J654" t="s">
        <v>13</v>
      </c>
      <c r="K654" t="str">
        <f>"98093"</f>
        <v>98093</v>
      </c>
      <c r="L654">
        <v>60</v>
      </c>
      <c r="M654">
        <v>60</v>
      </c>
      <c r="N654">
        <v>0</v>
      </c>
    </row>
    <row r="655" spans="1:14" x14ac:dyDescent="0.25">
      <c r="A655" t="s">
        <v>2412</v>
      </c>
      <c r="B655" t="s">
        <v>2413</v>
      </c>
      <c r="C655" t="s">
        <v>257</v>
      </c>
      <c r="D655" t="s">
        <v>13</v>
      </c>
      <c r="E655" t="str">
        <f>"98532"</f>
        <v>98532</v>
      </c>
      <c r="F655" t="s">
        <v>52</v>
      </c>
      <c r="G655" t="s">
        <v>2414</v>
      </c>
      <c r="I655" t="s">
        <v>148</v>
      </c>
      <c r="J655" t="s">
        <v>13</v>
      </c>
      <c r="K655" t="str">
        <f>"98335"</f>
        <v>98335</v>
      </c>
      <c r="L655">
        <v>12</v>
      </c>
      <c r="M655">
        <v>6</v>
      </c>
      <c r="N655">
        <v>6</v>
      </c>
    </row>
    <row r="656" spans="1:14" x14ac:dyDescent="0.25">
      <c r="A656" t="s">
        <v>3874</v>
      </c>
      <c r="B656" t="s">
        <v>3875</v>
      </c>
      <c r="C656" t="s">
        <v>750</v>
      </c>
      <c r="D656" t="s">
        <v>13</v>
      </c>
      <c r="E656" t="str">
        <f>"98596"</f>
        <v>98596</v>
      </c>
      <c r="F656" t="s">
        <v>52</v>
      </c>
      <c r="G656" t="s">
        <v>3875</v>
      </c>
      <c r="I656" t="s">
        <v>750</v>
      </c>
      <c r="J656" t="s">
        <v>13</v>
      </c>
      <c r="K656" t="str">
        <f>"98596"</f>
        <v>98596</v>
      </c>
      <c r="L656">
        <v>25</v>
      </c>
      <c r="M656">
        <v>25</v>
      </c>
      <c r="N656">
        <v>0</v>
      </c>
    </row>
    <row r="657" spans="1:14" x14ac:dyDescent="0.25">
      <c r="A657" t="s">
        <v>1976</v>
      </c>
      <c r="B657" t="s">
        <v>1977</v>
      </c>
      <c r="C657" t="s">
        <v>484</v>
      </c>
      <c r="D657" t="s">
        <v>13</v>
      </c>
      <c r="E657" t="str">
        <f>"98377"</f>
        <v>98377</v>
      </c>
      <c r="F657" t="s">
        <v>52</v>
      </c>
      <c r="G657" t="s">
        <v>1978</v>
      </c>
      <c r="I657" t="s">
        <v>669</v>
      </c>
      <c r="J657" t="s">
        <v>13</v>
      </c>
      <c r="K657" t="str">
        <f>"98531"</f>
        <v>98531</v>
      </c>
      <c r="L657">
        <v>3</v>
      </c>
      <c r="M657">
        <v>2</v>
      </c>
      <c r="N657">
        <v>1</v>
      </c>
    </row>
    <row r="658" spans="1:14" x14ac:dyDescent="0.25">
      <c r="A658" t="s">
        <v>799</v>
      </c>
      <c r="B658" t="s">
        <v>800</v>
      </c>
      <c r="C658" t="s">
        <v>801</v>
      </c>
      <c r="D658" t="s">
        <v>13</v>
      </c>
      <c r="E658" t="str">
        <f>"99159"</f>
        <v>99159</v>
      </c>
      <c r="F658" t="s">
        <v>371</v>
      </c>
      <c r="G658" t="s">
        <v>802</v>
      </c>
      <c r="I658" t="s">
        <v>801</v>
      </c>
      <c r="J658" t="s">
        <v>13</v>
      </c>
      <c r="K658" t="str">
        <f>"99159"</f>
        <v>99159</v>
      </c>
      <c r="L658">
        <v>8</v>
      </c>
      <c r="M658">
        <v>2</v>
      </c>
      <c r="N658">
        <v>6</v>
      </c>
    </row>
    <row r="659" spans="1:14" x14ac:dyDescent="0.25">
      <c r="A659" t="s">
        <v>368</v>
      </c>
      <c r="B659" t="s">
        <v>369</v>
      </c>
      <c r="C659" t="s">
        <v>370</v>
      </c>
      <c r="D659" t="s">
        <v>13</v>
      </c>
      <c r="E659" t="str">
        <f>"99032"</f>
        <v>99032</v>
      </c>
      <c r="F659" t="s">
        <v>371</v>
      </c>
      <c r="G659" t="s">
        <v>372</v>
      </c>
      <c r="I659" t="s">
        <v>370</v>
      </c>
      <c r="J659" t="s">
        <v>13</v>
      </c>
      <c r="K659" t="str">
        <f>"99032"</f>
        <v>99032</v>
      </c>
      <c r="L659">
        <v>6</v>
      </c>
      <c r="M659">
        <v>6</v>
      </c>
      <c r="N659">
        <v>0</v>
      </c>
    </row>
    <row r="660" spans="1:14" x14ac:dyDescent="0.25">
      <c r="A660" t="s">
        <v>2481</v>
      </c>
      <c r="B660" t="s">
        <v>2482</v>
      </c>
      <c r="C660" t="s">
        <v>2483</v>
      </c>
      <c r="D660" t="s">
        <v>13</v>
      </c>
      <c r="E660" t="str">
        <f>"99122"</f>
        <v>99122</v>
      </c>
      <c r="F660" t="s">
        <v>371</v>
      </c>
      <c r="G660" t="s">
        <v>2484</v>
      </c>
      <c r="I660" t="s">
        <v>2485</v>
      </c>
      <c r="J660" t="s">
        <v>1270</v>
      </c>
      <c r="K660" t="str">
        <f>"83805"</f>
        <v>83805</v>
      </c>
      <c r="L660">
        <v>16</v>
      </c>
      <c r="M660">
        <v>4</v>
      </c>
      <c r="N660">
        <v>12</v>
      </c>
    </row>
    <row r="661" spans="1:14" x14ac:dyDescent="0.25">
      <c r="A661" t="s">
        <v>3930</v>
      </c>
      <c r="B661" t="s">
        <v>3931</v>
      </c>
      <c r="C661" t="s">
        <v>3932</v>
      </c>
      <c r="D661" t="s">
        <v>13</v>
      </c>
      <c r="E661" t="str">
        <f>"98524"</f>
        <v>98524</v>
      </c>
      <c r="F661" t="s">
        <v>1056</v>
      </c>
      <c r="G661" t="s">
        <v>3933</v>
      </c>
      <c r="I661" t="s">
        <v>3932</v>
      </c>
      <c r="J661" t="s">
        <v>13</v>
      </c>
      <c r="K661" t="str">
        <f>"98524"</f>
        <v>98524</v>
      </c>
      <c r="L661">
        <v>19</v>
      </c>
      <c r="M661">
        <v>16</v>
      </c>
      <c r="N661">
        <v>3</v>
      </c>
    </row>
    <row r="662" spans="1:14" x14ac:dyDescent="0.25">
      <c r="A662" t="s">
        <v>1054</v>
      </c>
      <c r="B662" t="s">
        <v>1055</v>
      </c>
      <c r="C662" t="s">
        <v>492</v>
      </c>
      <c r="D662" t="s">
        <v>13</v>
      </c>
      <c r="E662" t="str">
        <f>"98584"</f>
        <v>98584</v>
      </c>
      <c r="F662" t="s">
        <v>1056</v>
      </c>
      <c r="G662" t="s">
        <v>1057</v>
      </c>
      <c r="I662" t="s">
        <v>536</v>
      </c>
      <c r="J662" t="s">
        <v>13</v>
      </c>
      <c r="K662" t="str">
        <f>"98498"</f>
        <v>98498</v>
      </c>
      <c r="L662">
        <v>102</v>
      </c>
      <c r="M662">
        <v>102</v>
      </c>
      <c r="N662">
        <v>0</v>
      </c>
    </row>
    <row r="663" spans="1:14" x14ac:dyDescent="0.25">
      <c r="A663" t="s">
        <v>891</v>
      </c>
      <c r="B663" t="s">
        <v>1415</v>
      </c>
      <c r="C663" t="s">
        <v>492</v>
      </c>
      <c r="D663" t="s">
        <v>13</v>
      </c>
      <c r="E663" t="str">
        <f>"98584"</f>
        <v>98584</v>
      </c>
      <c r="F663" t="s">
        <v>1056</v>
      </c>
      <c r="G663" t="s">
        <v>1416</v>
      </c>
      <c r="I663" t="s">
        <v>492</v>
      </c>
      <c r="J663" t="s">
        <v>13</v>
      </c>
      <c r="K663" t="str">
        <f>"98584"</f>
        <v>98584</v>
      </c>
      <c r="L663">
        <v>4</v>
      </c>
      <c r="M663">
        <v>3</v>
      </c>
      <c r="N663">
        <v>1</v>
      </c>
    </row>
    <row r="664" spans="1:14" x14ac:dyDescent="0.25">
      <c r="A664" t="s">
        <v>2329</v>
      </c>
      <c r="B664" t="s">
        <v>2330</v>
      </c>
      <c r="C664" t="s">
        <v>657</v>
      </c>
      <c r="D664" t="s">
        <v>13</v>
      </c>
      <c r="E664" t="str">
        <f>"98528"</f>
        <v>98528</v>
      </c>
      <c r="F664" t="s">
        <v>1056</v>
      </c>
      <c r="G664" t="s">
        <v>2331</v>
      </c>
      <c r="I664" t="s">
        <v>107</v>
      </c>
      <c r="J664" t="s">
        <v>13</v>
      </c>
      <c r="K664" t="str">
        <f>"98108"</f>
        <v>98108</v>
      </c>
      <c r="L664">
        <v>40</v>
      </c>
      <c r="M664">
        <v>37</v>
      </c>
      <c r="N664">
        <v>3</v>
      </c>
    </row>
    <row r="665" spans="1:14" x14ac:dyDescent="0.25">
      <c r="A665" t="s">
        <v>2907</v>
      </c>
      <c r="B665" t="s">
        <v>2908</v>
      </c>
      <c r="C665" t="s">
        <v>492</v>
      </c>
      <c r="D665" t="s">
        <v>13</v>
      </c>
      <c r="E665" t="str">
        <f>"98584"</f>
        <v>98584</v>
      </c>
      <c r="F665" t="s">
        <v>1056</v>
      </c>
      <c r="G665" t="s">
        <v>2909</v>
      </c>
      <c r="I665" t="s">
        <v>492</v>
      </c>
      <c r="J665" t="s">
        <v>13</v>
      </c>
      <c r="K665" t="str">
        <f>"98584"</f>
        <v>98584</v>
      </c>
      <c r="L665">
        <v>9</v>
      </c>
      <c r="M665">
        <v>8</v>
      </c>
      <c r="N665">
        <v>1</v>
      </c>
    </row>
    <row r="666" spans="1:14" x14ac:dyDescent="0.25">
      <c r="A666" t="s">
        <v>4061</v>
      </c>
      <c r="B666" t="s">
        <v>4062</v>
      </c>
      <c r="C666" t="s">
        <v>492</v>
      </c>
      <c r="D666" t="s">
        <v>13</v>
      </c>
      <c r="E666" t="str">
        <f>"98584"</f>
        <v>98584</v>
      </c>
      <c r="F666" t="s">
        <v>1056</v>
      </c>
      <c r="G666" t="s">
        <v>2357</v>
      </c>
      <c r="I666" t="s">
        <v>1498</v>
      </c>
      <c r="J666" t="s">
        <v>13</v>
      </c>
      <c r="K666" t="str">
        <f>"98045"</f>
        <v>98045</v>
      </c>
      <c r="L666">
        <v>74</v>
      </c>
      <c r="M666">
        <v>73</v>
      </c>
      <c r="N666">
        <v>1</v>
      </c>
    </row>
    <row r="667" spans="1:14" x14ac:dyDescent="0.25">
      <c r="A667" t="s">
        <v>1854</v>
      </c>
      <c r="B667" t="s">
        <v>1855</v>
      </c>
      <c r="C667" t="s">
        <v>492</v>
      </c>
      <c r="D667" t="s">
        <v>13</v>
      </c>
      <c r="E667" t="str">
        <f>"98584"</f>
        <v>98584</v>
      </c>
      <c r="F667" t="s">
        <v>1056</v>
      </c>
      <c r="G667" t="s">
        <v>1856</v>
      </c>
      <c r="I667" t="s">
        <v>148</v>
      </c>
      <c r="J667" t="s">
        <v>13</v>
      </c>
      <c r="K667" t="str">
        <f>"98335"</f>
        <v>98335</v>
      </c>
      <c r="L667">
        <v>24</v>
      </c>
      <c r="M667">
        <v>21</v>
      </c>
      <c r="N667">
        <v>3</v>
      </c>
    </row>
    <row r="668" spans="1:14" x14ac:dyDescent="0.25">
      <c r="A668" t="s">
        <v>1973</v>
      </c>
      <c r="B668" t="s">
        <v>1974</v>
      </c>
      <c r="C668" t="s">
        <v>492</v>
      </c>
      <c r="D668" t="s">
        <v>13</v>
      </c>
      <c r="E668" t="str">
        <f>"98584"</f>
        <v>98584</v>
      </c>
      <c r="F668" t="s">
        <v>1056</v>
      </c>
      <c r="G668" t="s">
        <v>1975</v>
      </c>
      <c r="I668" t="s">
        <v>43</v>
      </c>
      <c r="J668" t="s">
        <v>13</v>
      </c>
      <c r="K668" t="str">
        <f>"98040"</f>
        <v>98040</v>
      </c>
      <c r="L668">
        <v>34</v>
      </c>
      <c r="M668">
        <v>34</v>
      </c>
      <c r="N668">
        <v>0</v>
      </c>
    </row>
    <row r="669" spans="1:14" x14ac:dyDescent="0.25">
      <c r="A669" t="s">
        <v>1684</v>
      </c>
      <c r="B669" t="s">
        <v>1685</v>
      </c>
      <c r="C669" t="s">
        <v>1686</v>
      </c>
      <c r="D669" t="s">
        <v>13</v>
      </c>
      <c r="E669" t="str">
        <f>"98592"</f>
        <v>98592</v>
      </c>
      <c r="F669" t="s">
        <v>1056</v>
      </c>
      <c r="G669" t="s">
        <v>1687</v>
      </c>
      <c r="I669" t="s">
        <v>167</v>
      </c>
      <c r="J669" t="s">
        <v>13</v>
      </c>
      <c r="K669" t="str">
        <f>"98227"</f>
        <v>98227</v>
      </c>
      <c r="L669">
        <v>9</v>
      </c>
      <c r="M669">
        <v>2</v>
      </c>
      <c r="N669">
        <v>7</v>
      </c>
    </row>
    <row r="670" spans="1:14" x14ac:dyDescent="0.25">
      <c r="A670" t="s">
        <v>1310</v>
      </c>
      <c r="B670" t="s">
        <v>1311</v>
      </c>
      <c r="C670" t="s">
        <v>492</v>
      </c>
      <c r="D670" t="s">
        <v>13</v>
      </c>
      <c r="E670" t="str">
        <f>"98584"</f>
        <v>98584</v>
      </c>
      <c r="F670" t="s">
        <v>1056</v>
      </c>
      <c r="G670" t="s">
        <v>1312</v>
      </c>
      <c r="I670" t="s">
        <v>492</v>
      </c>
      <c r="J670" t="s">
        <v>13</v>
      </c>
      <c r="K670" t="str">
        <f>"98584"</f>
        <v>98584</v>
      </c>
      <c r="L670">
        <v>10</v>
      </c>
      <c r="M670">
        <v>10</v>
      </c>
      <c r="N670">
        <v>0</v>
      </c>
    </row>
    <row r="671" spans="1:14" x14ac:dyDescent="0.25">
      <c r="A671" t="s">
        <v>260</v>
      </c>
      <c r="B671" t="s">
        <v>261</v>
      </c>
      <c r="C671" t="s">
        <v>262</v>
      </c>
      <c r="D671" t="s">
        <v>13</v>
      </c>
      <c r="E671" t="str">
        <f>"98849"</f>
        <v>98849</v>
      </c>
      <c r="F671" t="s">
        <v>63</v>
      </c>
      <c r="G671" t="s">
        <v>263</v>
      </c>
      <c r="I671" t="s">
        <v>63</v>
      </c>
      <c r="J671" t="s">
        <v>13</v>
      </c>
      <c r="K671" t="str">
        <f>"98840"</f>
        <v>98840</v>
      </c>
      <c r="L671">
        <v>4</v>
      </c>
      <c r="M671">
        <v>2</v>
      </c>
      <c r="N671">
        <v>2</v>
      </c>
    </row>
    <row r="672" spans="1:14" x14ac:dyDescent="0.25">
      <c r="A672" t="s">
        <v>3725</v>
      </c>
      <c r="B672" t="s">
        <v>3726</v>
      </c>
      <c r="C672" t="s">
        <v>63</v>
      </c>
      <c r="D672" t="s">
        <v>13</v>
      </c>
      <c r="E672" t="str">
        <f>"98840"</f>
        <v>98840</v>
      </c>
      <c r="F672" t="s">
        <v>63</v>
      </c>
      <c r="G672" t="s">
        <v>3727</v>
      </c>
      <c r="I672" t="s">
        <v>63</v>
      </c>
      <c r="J672" t="s">
        <v>13</v>
      </c>
      <c r="K672" t="str">
        <f>"98840"</f>
        <v>98840</v>
      </c>
      <c r="L672">
        <v>21</v>
      </c>
      <c r="M672">
        <v>4</v>
      </c>
      <c r="N672">
        <v>17</v>
      </c>
    </row>
    <row r="673" spans="1:14" x14ac:dyDescent="0.25">
      <c r="A673" t="s">
        <v>2218</v>
      </c>
      <c r="B673" t="s">
        <v>2219</v>
      </c>
      <c r="C673" t="s">
        <v>547</v>
      </c>
      <c r="D673" t="s">
        <v>13</v>
      </c>
      <c r="E673" t="str">
        <f>"98855"</f>
        <v>98855</v>
      </c>
      <c r="F673" t="s">
        <v>63</v>
      </c>
      <c r="G673" t="s">
        <v>2220</v>
      </c>
      <c r="H673" t="s">
        <v>2221</v>
      </c>
      <c r="I673" t="s">
        <v>886</v>
      </c>
      <c r="K673" t="str">
        <f>"     "</f>
        <v xml:space="preserve">     </v>
      </c>
      <c r="L673">
        <v>11</v>
      </c>
      <c r="M673">
        <v>11</v>
      </c>
      <c r="N673">
        <v>0</v>
      </c>
    </row>
    <row r="674" spans="1:14" x14ac:dyDescent="0.25">
      <c r="A674" t="s">
        <v>1639</v>
      </c>
      <c r="B674" t="s">
        <v>1640</v>
      </c>
      <c r="C674" t="s">
        <v>262</v>
      </c>
      <c r="D674" t="s">
        <v>13</v>
      </c>
      <c r="E674" t="str">
        <f>"98849"</f>
        <v>98849</v>
      </c>
      <c r="F674" t="s">
        <v>63</v>
      </c>
      <c r="G674" t="s">
        <v>1640</v>
      </c>
      <c r="I674" t="s">
        <v>262</v>
      </c>
      <c r="J674" t="s">
        <v>13</v>
      </c>
      <c r="K674" t="str">
        <f>"98849"</f>
        <v>98849</v>
      </c>
      <c r="L674">
        <v>14</v>
      </c>
      <c r="M674">
        <v>9</v>
      </c>
      <c r="N674">
        <v>5</v>
      </c>
    </row>
    <row r="675" spans="1:14" x14ac:dyDescent="0.25">
      <c r="A675" t="s">
        <v>3185</v>
      </c>
      <c r="B675" t="s">
        <v>3186</v>
      </c>
      <c r="C675" t="s">
        <v>547</v>
      </c>
      <c r="D675" t="s">
        <v>13</v>
      </c>
      <c r="E675" t="str">
        <f>"98855"</f>
        <v>98855</v>
      </c>
      <c r="F675" t="s">
        <v>63</v>
      </c>
      <c r="G675" t="s">
        <v>3187</v>
      </c>
      <c r="I675" t="s">
        <v>547</v>
      </c>
      <c r="J675" t="s">
        <v>13</v>
      </c>
      <c r="K675" t="str">
        <f>"98855"</f>
        <v>98855</v>
      </c>
      <c r="L675">
        <v>10</v>
      </c>
      <c r="M675">
        <v>10</v>
      </c>
      <c r="N675">
        <v>0</v>
      </c>
    </row>
    <row r="676" spans="1:14" x14ac:dyDescent="0.25">
      <c r="A676" t="s">
        <v>671</v>
      </c>
      <c r="B676" t="s">
        <v>672</v>
      </c>
      <c r="C676" t="s">
        <v>63</v>
      </c>
      <c r="D676" t="s">
        <v>13</v>
      </c>
      <c r="E676" t="str">
        <f>"98840"</f>
        <v>98840</v>
      </c>
      <c r="F676" t="s">
        <v>63</v>
      </c>
      <c r="G676" t="s">
        <v>673</v>
      </c>
      <c r="I676" t="s">
        <v>674</v>
      </c>
      <c r="J676" t="s">
        <v>13</v>
      </c>
      <c r="K676" t="str">
        <f>"98841"</f>
        <v>98841</v>
      </c>
      <c r="L676">
        <v>14</v>
      </c>
      <c r="M676">
        <v>2</v>
      </c>
      <c r="N676">
        <v>12</v>
      </c>
    </row>
    <row r="677" spans="1:14" x14ac:dyDescent="0.25">
      <c r="A677" t="s">
        <v>1200</v>
      </c>
      <c r="B677" t="s">
        <v>1201</v>
      </c>
      <c r="C677" t="s">
        <v>674</v>
      </c>
      <c r="D677" t="s">
        <v>13</v>
      </c>
      <c r="E677" t="str">
        <f>"98841"</f>
        <v>98841</v>
      </c>
      <c r="F677" t="s">
        <v>63</v>
      </c>
      <c r="G677" t="s">
        <v>1202</v>
      </c>
      <c r="I677" t="s">
        <v>30</v>
      </c>
      <c r="J677" t="s">
        <v>13</v>
      </c>
      <c r="K677" t="str">
        <f>"98686"</f>
        <v>98686</v>
      </c>
      <c r="L677">
        <v>66</v>
      </c>
      <c r="M677">
        <v>63</v>
      </c>
      <c r="N677">
        <v>3</v>
      </c>
    </row>
    <row r="678" spans="1:14" x14ac:dyDescent="0.25">
      <c r="A678" t="s">
        <v>811</v>
      </c>
      <c r="B678" t="s">
        <v>812</v>
      </c>
      <c r="C678" t="s">
        <v>63</v>
      </c>
      <c r="D678" t="s">
        <v>13</v>
      </c>
      <c r="E678" t="str">
        <f>"98840"</f>
        <v>98840</v>
      </c>
      <c r="F678" t="s">
        <v>63</v>
      </c>
      <c r="G678" t="s">
        <v>813</v>
      </c>
      <c r="I678" t="s">
        <v>63</v>
      </c>
      <c r="J678" t="s">
        <v>13</v>
      </c>
      <c r="K678" t="str">
        <f>"98840"</f>
        <v>98840</v>
      </c>
      <c r="L678">
        <v>6</v>
      </c>
      <c r="M678">
        <v>4</v>
      </c>
      <c r="N678">
        <v>2</v>
      </c>
    </row>
    <row r="679" spans="1:14" x14ac:dyDescent="0.25">
      <c r="A679" t="s">
        <v>841</v>
      </c>
      <c r="B679" t="s">
        <v>842</v>
      </c>
      <c r="C679" t="s">
        <v>547</v>
      </c>
      <c r="D679" t="s">
        <v>13</v>
      </c>
      <c r="E679" t="str">
        <f>"98855"</f>
        <v>98855</v>
      </c>
      <c r="F679" t="s">
        <v>63</v>
      </c>
      <c r="G679" t="s">
        <v>843</v>
      </c>
      <c r="I679" t="s">
        <v>547</v>
      </c>
      <c r="J679" t="s">
        <v>13</v>
      </c>
      <c r="K679" t="str">
        <f>"98855"</f>
        <v>98855</v>
      </c>
      <c r="L679">
        <v>7</v>
      </c>
      <c r="M679">
        <v>7</v>
      </c>
      <c r="N679">
        <v>0</v>
      </c>
    </row>
    <row r="680" spans="1:14" x14ac:dyDescent="0.25">
      <c r="A680" t="s">
        <v>61</v>
      </c>
      <c r="B680" t="s">
        <v>62</v>
      </c>
      <c r="C680" t="s">
        <v>63</v>
      </c>
      <c r="D680" t="s">
        <v>13</v>
      </c>
      <c r="E680" t="str">
        <f>"98840"</f>
        <v>98840</v>
      </c>
      <c r="F680" t="s">
        <v>63</v>
      </c>
      <c r="G680" t="s">
        <v>64</v>
      </c>
      <c r="I680" t="s">
        <v>63</v>
      </c>
      <c r="J680" t="s">
        <v>13</v>
      </c>
      <c r="K680" t="str">
        <f>"98840"</f>
        <v>98840</v>
      </c>
      <c r="L680">
        <v>9</v>
      </c>
      <c r="M680">
        <v>9</v>
      </c>
      <c r="N680">
        <v>0</v>
      </c>
    </row>
    <row r="681" spans="1:14" x14ac:dyDescent="0.25">
      <c r="A681" t="s">
        <v>828</v>
      </c>
      <c r="B681" t="s">
        <v>1846</v>
      </c>
      <c r="C681" t="s">
        <v>674</v>
      </c>
      <c r="D681" t="s">
        <v>13</v>
      </c>
      <c r="E681" t="str">
        <f>"98841"</f>
        <v>98841</v>
      </c>
      <c r="F681" t="s">
        <v>63</v>
      </c>
      <c r="G681" t="s">
        <v>1847</v>
      </c>
      <c r="I681" t="s">
        <v>63</v>
      </c>
      <c r="J681" t="s">
        <v>13</v>
      </c>
      <c r="K681" t="str">
        <f>"98840"</f>
        <v>98840</v>
      </c>
      <c r="L681">
        <v>52</v>
      </c>
      <c r="M681">
        <v>41</v>
      </c>
      <c r="N681">
        <v>11</v>
      </c>
    </row>
    <row r="682" spans="1:14" x14ac:dyDescent="0.25">
      <c r="A682" t="s">
        <v>2705</v>
      </c>
      <c r="B682" t="s">
        <v>2706</v>
      </c>
      <c r="C682" t="s">
        <v>674</v>
      </c>
      <c r="D682" t="s">
        <v>13</v>
      </c>
      <c r="E682" t="str">
        <f>"98841"</f>
        <v>98841</v>
      </c>
      <c r="F682" t="s">
        <v>63</v>
      </c>
      <c r="G682" t="s">
        <v>2707</v>
      </c>
      <c r="I682" t="s">
        <v>674</v>
      </c>
      <c r="J682" t="s">
        <v>13</v>
      </c>
      <c r="K682" t="str">
        <f>"98841"</f>
        <v>98841</v>
      </c>
      <c r="L682">
        <v>34</v>
      </c>
      <c r="M682">
        <v>34</v>
      </c>
      <c r="N682">
        <v>0</v>
      </c>
    </row>
    <row r="683" spans="1:14" x14ac:dyDescent="0.25">
      <c r="A683" t="s">
        <v>2542</v>
      </c>
      <c r="B683" t="s">
        <v>2543</v>
      </c>
      <c r="C683" t="s">
        <v>223</v>
      </c>
      <c r="D683" t="s">
        <v>13</v>
      </c>
      <c r="E683" t="str">
        <f>"98856"</f>
        <v>98856</v>
      </c>
      <c r="F683" t="s">
        <v>63</v>
      </c>
      <c r="G683" t="s">
        <v>2544</v>
      </c>
      <c r="I683" t="s">
        <v>223</v>
      </c>
      <c r="J683" t="s">
        <v>13</v>
      </c>
      <c r="K683" t="str">
        <f>"98856"</f>
        <v>98856</v>
      </c>
      <c r="L683">
        <v>62</v>
      </c>
      <c r="M683">
        <v>61</v>
      </c>
      <c r="N683">
        <v>1</v>
      </c>
    </row>
    <row r="684" spans="1:14" x14ac:dyDescent="0.25">
      <c r="A684" t="s">
        <v>2802</v>
      </c>
      <c r="B684" t="s">
        <v>2803</v>
      </c>
      <c r="C684" t="s">
        <v>674</v>
      </c>
      <c r="D684" t="s">
        <v>13</v>
      </c>
      <c r="E684" t="str">
        <f>"98841"</f>
        <v>98841</v>
      </c>
      <c r="F684" t="s">
        <v>63</v>
      </c>
      <c r="G684" t="s">
        <v>2804</v>
      </c>
      <c r="I684" t="s">
        <v>674</v>
      </c>
      <c r="J684" t="s">
        <v>13</v>
      </c>
      <c r="K684" t="str">
        <f>"98841"</f>
        <v>98841</v>
      </c>
      <c r="L684">
        <v>29</v>
      </c>
      <c r="M684">
        <v>29</v>
      </c>
      <c r="N684">
        <v>0</v>
      </c>
    </row>
    <row r="685" spans="1:14" x14ac:dyDescent="0.25">
      <c r="A685" t="s">
        <v>493</v>
      </c>
      <c r="B685" t="s">
        <v>494</v>
      </c>
      <c r="C685" t="s">
        <v>63</v>
      </c>
      <c r="D685" t="s">
        <v>13</v>
      </c>
      <c r="E685" t="str">
        <f>"98840"</f>
        <v>98840</v>
      </c>
      <c r="F685" t="s">
        <v>63</v>
      </c>
      <c r="G685" t="s">
        <v>494</v>
      </c>
      <c r="I685" t="s">
        <v>63</v>
      </c>
      <c r="J685" t="s">
        <v>13</v>
      </c>
      <c r="K685" t="str">
        <f>"98840"</f>
        <v>98840</v>
      </c>
      <c r="L685">
        <v>42</v>
      </c>
      <c r="M685">
        <v>21</v>
      </c>
      <c r="N685">
        <v>21</v>
      </c>
    </row>
    <row r="686" spans="1:14" x14ac:dyDescent="0.25">
      <c r="A686" t="s">
        <v>545</v>
      </c>
      <c r="B686" t="s">
        <v>546</v>
      </c>
      <c r="C686" t="s">
        <v>547</v>
      </c>
      <c r="D686" t="s">
        <v>13</v>
      </c>
      <c r="E686" t="str">
        <f>"98855"</f>
        <v>98855</v>
      </c>
      <c r="F686" t="s">
        <v>63</v>
      </c>
      <c r="G686" t="s">
        <v>548</v>
      </c>
      <c r="I686" t="s">
        <v>547</v>
      </c>
      <c r="J686" t="s">
        <v>13</v>
      </c>
      <c r="K686" t="str">
        <f>"98855"</f>
        <v>98855</v>
      </c>
      <c r="L686">
        <v>18</v>
      </c>
      <c r="M686">
        <v>8</v>
      </c>
      <c r="N686">
        <v>10</v>
      </c>
    </row>
    <row r="687" spans="1:14" x14ac:dyDescent="0.25">
      <c r="A687" t="s">
        <v>3151</v>
      </c>
      <c r="B687" t="s">
        <v>3152</v>
      </c>
      <c r="C687" t="s">
        <v>674</v>
      </c>
      <c r="D687" t="s">
        <v>13</v>
      </c>
      <c r="E687" t="str">
        <f>"98841"</f>
        <v>98841</v>
      </c>
      <c r="F687" t="s">
        <v>63</v>
      </c>
      <c r="G687" t="s">
        <v>3153</v>
      </c>
      <c r="I687" t="s">
        <v>3154</v>
      </c>
      <c r="J687" t="s">
        <v>2785</v>
      </c>
      <c r="K687" t="str">
        <f>"89005"</f>
        <v>89005</v>
      </c>
      <c r="L687">
        <v>7</v>
      </c>
      <c r="M687">
        <v>7</v>
      </c>
      <c r="N687">
        <v>0</v>
      </c>
    </row>
    <row r="688" spans="1:14" x14ac:dyDescent="0.25">
      <c r="A688" t="s">
        <v>2344</v>
      </c>
      <c r="B688" t="s">
        <v>2432</v>
      </c>
      <c r="C688" t="s">
        <v>674</v>
      </c>
      <c r="D688" t="s">
        <v>13</v>
      </c>
      <c r="E688" t="str">
        <f>"98841"</f>
        <v>98841</v>
      </c>
      <c r="F688" t="s">
        <v>63</v>
      </c>
      <c r="G688" t="s">
        <v>2258</v>
      </c>
      <c r="I688" t="s">
        <v>41</v>
      </c>
      <c r="J688" t="s">
        <v>13</v>
      </c>
      <c r="K688" t="str">
        <f>"98270"</f>
        <v>98270</v>
      </c>
      <c r="L688">
        <v>57</v>
      </c>
      <c r="M688">
        <v>57</v>
      </c>
      <c r="N688">
        <v>0</v>
      </c>
    </row>
    <row r="689" spans="1:14" x14ac:dyDescent="0.25">
      <c r="A689" t="s">
        <v>2513</v>
      </c>
      <c r="B689" t="s">
        <v>2514</v>
      </c>
      <c r="C689" t="s">
        <v>63</v>
      </c>
      <c r="D689" t="s">
        <v>13</v>
      </c>
      <c r="E689" t="str">
        <f>"98840"</f>
        <v>98840</v>
      </c>
      <c r="F689" t="s">
        <v>63</v>
      </c>
      <c r="G689" t="s">
        <v>2514</v>
      </c>
      <c r="I689" t="s">
        <v>63</v>
      </c>
      <c r="J689" t="s">
        <v>13</v>
      </c>
      <c r="K689" t="str">
        <f>"98840"</f>
        <v>98840</v>
      </c>
      <c r="L689">
        <v>2</v>
      </c>
      <c r="M689">
        <v>2</v>
      </c>
      <c r="N689">
        <v>0</v>
      </c>
    </row>
    <row r="690" spans="1:14" x14ac:dyDescent="0.25">
      <c r="A690" t="s">
        <v>1131</v>
      </c>
      <c r="B690" t="s">
        <v>1132</v>
      </c>
      <c r="C690" t="s">
        <v>1133</v>
      </c>
      <c r="D690" t="s">
        <v>13</v>
      </c>
      <c r="E690" t="str">
        <f>"98844"</f>
        <v>98844</v>
      </c>
      <c r="F690" t="s">
        <v>63</v>
      </c>
      <c r="G690" t="s">
        <v>1134</v>
      </c>
      <c r="I690" t="s">
        <v>167</v>
      </c>
      <c r="J690" t="s">
        <v>13</v>
      </c>
      <c r="K690" t="str">
        <f>"98276"</f>
        <v>98276</v>
      </c>
      <c r="L690">
        <v>27</v>
      </c>
      <c r="M690">
        <v>2</v>
      </c>
      <c r="N690">
        <v>25</v>
      </c>
    </row>
    <row r="691" spans="1:14" x14ac:dyDescent="0.25">
      <c r="A691" t="s">
        <v>3366</v>
      </c>
      <c r="B691" t="s">
        <v>3367</v>
      </c>
      <c r="C691" t="s">
        <v>547</v>
      </c>
      <c r="D691" t="s">
        <v>13</v>
      </c>
      <c r="E691" t="str">
        <f>"98855"</f>
        <v>98855</v>
      </c>
      <c r="F691" t="s">
        <v>63</v>
      </c>
      <c r="G691" t="s">
        <v>3368</v>
      </c>
      <c r="I691" t="s">
        <v>547</v>
      </c>
      <c r="J691" t="s">
        <v>13</v>
      </c>
      <c r="K691" t="str">
        <f>"98855"</f>
        <v>98855</v>
      </c>
      <c r="L691">
        <v>57</v>
      </c>
      <c r="M691">
        <v>43</v>
      </c>
      <c r="N691">
        <v>14</v>
      </c>
    </row>
    <row r="692" spans="1:14" x14ac:dyDescent="0.25">
      <c r="A692" t="s">
        <v>3797</v>
      </c>
      <c r="B692" t="s">
        <v>3798</v>
      </c>
      <c r="C692" t="s">
        <v>547</v>
      </c>
      <c r="D692" t="s">
        <v>13</v>
      </c>
      <c r="E692" t="str">
        <f>"98855"</f>
        <v>98855</v>
      </c>
      <c r="F692" t="s">
        <v>63</v>
      </c>
      <c r="G692" t="s">
        <v>3798</v>
      </c>
      <c r="I692" t="s">
        <v>547</v>
      </c>
      <c r="J692" t="s">
        <v>13</v>
      </c>
      <c r="K692" t="str">
        <f>"98855"</f>
        <v>98855</v>
      </c>
      <c r="L692">
        <v>12</v>
      </c>
      <c r="M692">
        <v>7</v>
      </c>
      <c r="N692">
        <v>5</v>
      </c>
    </row>
    <row r="693" spans="1:14" x14ac:dyDescent="0.25">
      <c r="A693" t="s">
        <v>878</v>
      </c>
      <c r="B693" t="s">
        <v>879</v>
      </c>
      <c r="C693" t="s">
        <v>674</v>
      </c>
      <c r="D693" t="s">
        <v>13</v>
      </c>
      <c r="E693" t="str">
        <f>"98841"</f>
        <v>98841</v>
      </c>
      <c r="F693" t="s">
        <v>63</v>
      </c>
      <c r="G693" t="s">
        <v>880</v>
      </c>
      <c r="I693" t="s">
        <v>262</v>
      </c>
      <c r="J693" t="s">
        <v>13</v>
      </c>
      <c r="K693" t="str">
        <f>"98849"</f>
        <v>98849</v>
      </c>
      <c r="L693">
        <v>18</v>
      </c>
      <c r="M693">
        <v>10</v>
      </c>
      <c r="N693">
        <v>8</v>
      </c>
    </row>
    <row r="694" spans="1:14" x14ac:dyDescent="0.25">
      <c r="A694" t="s">
        <v>3247</v>
      </c>
      <c r="B694" t="s">
        <v>3248</v>
      </c>
      <c r="C694" t="s">
        <v>3249</v>
      </c>
      <c r="D694" t="s">
        <v>13</v>
      </c>
      <c r="E694" t="str">
        <f>"98829"</f>
        <v>98829</v>
      </c>
      <c r="F694" t="s">
        <v>63</v>
      </c>
      <c r="G694" t="s">
        <v>3250</v>
      </c>
      <c r="I694" t="s">
        <v>3249</v>
      </c>
      <c r="J694" t="s">
        <v>13</v>
      </c>
      <c r="K694" t="str">
        <f>"98829"</f>
        <v>98829</v>
      </c>
      <c r="L694">
        <v>3</v>
      </c>
      <c r="M694">
        <v>3</v>
      </c>
      <c r="N694">
        <v>0</v>
      </c>
    </row>
    <row r="695" spans="1:14" x14ac:dyDescent="0.25">
      <c r="A695" t="s">
        <v>854</v>
      </c>
      <c r="B695" t="s">
        <v>855</v>
      </c>
      <c r="C695" t="s">
        <v>547</v>
      </c>
      <c r="D695" t="s">
        <v>13</v>
      </c>
      <c r="E695" t="str">
        <f>"98855"</f>
        <v>98855</v>
      </c>
      <c r="F695" t="s">
        <v>63</v>
      </c>
      <c r="G695" t="s">
        <v>856</v>
      </c>
      <c r="I695" t="s">
        <v>547</v>
      </c>
      <c r="J695" t="s">
        <v>13</v>
      </c>
      <c r="K695" t="str">
        <f>"98855"</f>
        <v>98855</v>
      </c>
      <c r="L695">
        <v>25</v>
      </c>
      <c r="M695">
        <v>20</v>
      </c>
      <c r="N695">
        <v>5</v>
      </c>
    </row>
    <row r="696" spans="1:14" x14ac:dyDescent="0.25">
      <c r="A696" t="s">
        <v>854</v>
      </c>
      <c r="B696" t="s">
        <v>4075</v>
      </c>
      <c r="C696" t="s">
        <v>547</v>
      </c>
      <c r="D696" t="s">
        <v>13</v>
      </c>
      <c r="E696" t="str">
        <f>"98855"</f>
        <v>98855</v>
      </c>
      <c r="F696" t="s">
        <v>63</v>
      </c>
      <c r="G696" t="s">
        <v>4076</v>
      </c>
      <c r="I696" t="s">
        <v>262</v>
      </c>
      <c r="J696" t="s">
        <v>13</v>
      </c>
      <c r="K696" t="str">
        <f>"98849"</f>
        <v>98849</v>
      </c>
      <c r="L696">
        <v>0</v>
      </c>
      <c r="M696">
        <v>0</v>
      </c>
      <c r="N696">
        <v>0</v>
      </c>
    </row>
    <row r="697" spans="1:14" x14ac:dyDescent="0.25">
      <c r="A697" t="s">
        <v>2883</v>
      </c>
      <c r="B697" t="s">
        <v>2884</v>
      </c>
      <c r="C697" t="s">
        <v>1133</v>
      </c>
      <c r="D697" t="s">
        <v>13</v>
      </c>
      <c r="E697" t="str">
        <f>"98844"</f>
        <v>98844</v>
      </c>
      <c r="F697" t="s">
        <v>63</v>
      </c>
      <c r="G697" t="s">
        <v>2884</v>
      </c>
      <c r="I697" t="s">
        <v>1133</v>
      </c>
      <c r="J697" t="s">
        <v>13</v>
      </c>
      <c r="K697" t="str">
        <f>"98844"</f>
        <v>98844</v>
      </c>
      <c r="L697">
        <v>6</v>
      </c>
      <c r="M697">
        <v>6</v>
      </c>
      <c r="N697">
        <v>0</v>
      </c>
    </row>
    <row r="698" spans="1:14" x14ac:dyDescent="0.25">
      <c r="A698" t="s">
        <v>4070</v>
      </c>
      <c r="B698" t="s">
        <v>4071</v>
      </c>
      <c r="C698" t="s">
        <v>3070</v>
      </c>
      <c r="D698" t="s">
        <v>13</v>
      </c>
      <c r="E698" t="str">
        <f>"98577"</f>
        <v>98577</v>
      </c>
      <c r="F698" t="s">
        <v>68</v>
      </c>
      <c r="G698" t="s">
        <v>4072</v>
      </c>
      <c r="I698" t="s">
        <v>107</v>
      </c>
      <c r="J698" t="s">
        <v>13</v>
      </c>
      <c r="K698" t="str">
        <f>"98119"</f>
        <v>98119</v>
      </c>
      <c r="L698">
        <v>10</v>
      </c>
      <c r="M698">
        <v>1</v>
      </c>
      <c r="N698">
        <v>9</v>
      </c>
    </row>
    <row r="699" spans="1:14" x14ac:dyDescent="0.25">
      <c r="A699" t="s">
        <v>2770</v>
      </c>
      <c r="B699" t="s">
        <v>2771</v>
      </c>
      <c r="C699" t="s">
        <v>2772</v>
      </c>
      <c r="D699" t="s">
        <v>13</v>
      </c>
      <c r="E699" t="str">
        <f>"98586"</f>
        <v>98586</v>
      </c>
      <c r="F699" t="s">
        <v>68</v>
      </c>
      <c r="G699" t="s">
        <v>2773</v>
      </c>
      <c r="I699" t="s">
        <v>87</v>
      </c>
      <c r="J699" t="s">
        <v>13</v>
      </c>
      <c r="K699" t="str">
        <f>"98508"</f>
        <v>98508</v>
      </c>
      <c r="L699">
        <v>11</v>
      </c>
      <c r="M699">
        <v>9</v>
      </c>
      <c r="N699">
        <v>2</v>
      </c>
    </row>
    <row r="700" spans="1:14" x14ac:dyDescent="0.25">
      <c r="A700" t="s">
        <v>65</v>
      </c>
      <c r="B700" t="s">
        <v>66</v>
      </c>
      <c r="C700" t="s">
        <v>67</v>
      </c>
      <c r="D700" t="s">
        <v>13</v>
      </c>
      <c r="E700" t="str">
        <f>"98614"</f>
        <v>98614</v>
      </c>
      <c r="F700" t="s">
        <v>68</v>
      </c>
      <c r="G700" t="s">
        <v>69</v>
      </c>
      <c r="I700" t="s">
        <v>67</v>
      </c>
      <c r="J700" t="s">
        <v>13</v>
      </c>
      <c r="K700" t="str">
        <f>"98614"</f>
        <v>98614</v>
      </c>
      <c r="L700">
        <v>10</v>
      </c>
      <c r="M700">
        <v>10</v>
      </c>
      <c r="N700">
        <v>0</v>
      </c>
    </row>
    <row r="701" spans="1:14" x14ac:dyDescent="0.25">
      <c r="A701" t="s">
        <v>65</v>
      </c>
      <c r="B701" t="s">
        <v>66</v>
      </c>
      <c r="C701" t="s">
        <v>67</v>
      </c>
      <c r="D701" t="s">
        <v>13</v>
      </c>
      <c r="E701" t="str">
        <f>"98614"</f>
        <v>98614</v>
      </c>
      <c r="F701" t="s">
        <v>68</v>
      </c>
      <c r="G701" t="s">
        <v>69</v>
      </c>
      <c r="I701" t="s">
        <v>67</v>
      </c>
      <c r="J701" t="s">
        <v>13</v>
      </c>
      <c r="K701" t="str">
        <f>"98614"</f>
        <v>98614</v>
      </c>
      <c r="L701">
        <v>10</v>
      </c>
      <c r="M701">
        <v>10</v>
      </c>
      <c r="N701">
        <v>0</v>
      </c>
    </row>
    <row r="702" spans="1:14" x14ac:dyDescent="0.25">
      <c r="A702" t="s">
        <v>696</v>
      </c>
      <c r="B702" t="s">
        <v>697</v>
      </c>
      <c r="C702" t="s">
        <v>698</v>
      </c>
      <c r="D702" t="s">
        <v>13</v>
      </c>
      <c r="E702" t="str">
        <f>"98638"</f>
        <v>98638</v>
      </c>
      <c r="F702" t="s">
        <v>68</v>
      </c>
      <c r="G702" t="s">
        <v>699</v>
      </c>
      <c r="I702" t="s">
        <v>698</v>
      </c>
      <c r="J702" t="s">
        <v>13</v>
      </c>
      <c r="K702" t="str">
        <f>"98638"</f>
        <v>98638</v>
      </c>
      <c r="L702">
        <v>9</v>
      </c>
      <c r="M702">
        <v>3</v>
      </c>
      <c r="N702">
        <v>6</v>
      </c>
    </row>
    <row r="703" spans="1:14" x14ac:dyDescent="0.25">
      <c r="A703" t="s">
        <v>2120</v>
      </c>
      <c r="B703" t="s">
        <v>2121</v>
      </c>
      <c r="C703" t="s">
        <v>589</v>
      </c>
      <c r="D703" t="s">
        <v>13</v>
      </c>
      <c r="E703" t="str">
        <f>"98631"</f>
        <v>98631</v>
      </c>
      <c r="F703" t="s">
        <v>68</v>
      </c>
      <c r="G703" t="s">
        <v>2122</v>
      </c>
      <c r="I703" t="s">
        <v>589</v>
      </c>
      <c r="J703" t="s">
        <v>13</v>
      </c>
      <c r="K703" t="str">
        <f>"98631"</f>
        <v>98631</v>
      </c>
      <c r="L703">
        <v>31</v>
      </c>
      <c r="M703">
        <v>29</v>
      </c>
      <c r="N703">
        <v>2</v>
      </c>
    </row>
    <row r="704" spans="1:14" x14ac:dyDescent="0.25">
      <c r="A704" t="s">
        <v>1621</v>
      </c>
      <c r="B704" t="s">
        <v>1622</v>
      </c>
      <c r="C704" t="s">
        <v>280</v>
      </c>
      <c r="D704" t="s">
        <v>13</v>
      </c>
      <c r="E704" t="str">
        <f>"98640"</f>
        <v>98640</v>
      </c>
      <c r="F704" t="s">
        <v>68</v>
      </c>
      <c r="G704" t="s">
        <v>1623</v>
      </c>
      <c r="I704" t="s">
        <v>280</v>
      </c>
      <c r="J704" t="s">
        <v>13</v>
      </c>
      <c r="K704" t="str">
        <f>"98640"</f>
        <v>98640</v>
      </c>
      <c r="L704">
        <v>11</v>
      </c>
      <c r="M704">
        <v>8</v>
      </c>
      <c r="N704">
        <v>3</v>
      </c>
    </row>
    <row r="705" spans="1:14" x14ac:dyDescent="0.25">
      <c r="A705" t="s">
        <v>1305</v>
      </c>
      <c r="B705" t="s">
        <v>1306</v>
      </c>
      <c r="C705" t="s">
        <v>280</v>
      </c>
      <c r="D705" t="s">
        <v>13</v>
      </c>
      <c r="E705" t="str">
        <f>"98640"</f>
        <v>98640</v>
      </c>
      <c r="F705" t="s">
        <v>68</v>
      </c>
      <c r="G705" t="s">
        <v>1306</v>
      </c>
      <c r="I705" t="s">
        <v>280</v>
      </c>
      <c r="J705" t="s">
        <v>13</v>
      </c>
      <c r="K705" t="str">
        <f>"98640"</f>
        <v>98640</v>
      </c>
      <c r="L705">
        <v>21</v>
      </c>
      <c r="M705">
        <v>21</v>
      </c>
      <c r="N705">
        <v>0</v>
      </c>
    </row>
    <row r="706" spans="1:14" x14ac:dyDescent="0.25">
      <c r="A706" t="s">
        <v>587</v>
      </c>
      <c r="B706" t="s">
        <v>588</v>
      </c>
      <c r="C706" t="s">
        <v>589</v>
      </c>
      <c r="D706" t="s">
        <v>13</v>
      </c>
      <c r="E706" t="str">
        <f>"98631"</f>
        <v>98631</v>
      </c>
      <c r="F706" t="s">
        <v>68</v>
      </c>
      <c r="G706" t="s">
        <v>590</v>
      </c>
      <c r="I706" t="s">
        <v>589</v>
      </c>
      <c r="J706" t="s">
        <v>13</v>
      </c>
      <c r="K706" t="str">
        <f>"98631"</f>
        <v>98631</v>
      </c>
      <c r="L706">
        <v>10</v>
      </c>
      <c r="M706">
        <v>10</v>
      </c>
      <c r="N706">
        <v>0</v>
      </c>
    </row>
    <row r="707" spans="1:14" x14ac:dyDescent="0.25">
      <c r="A707" t="s">
        <v>278</v>
      </c>
      <c r="B707" t="s">
        <v>279</v>
      </c>
      <c r="C707" t="s">
        <v>280</v>
      </c>
      <c r="D707" t="s">
        <v>13</v>
      </c>
      <c r="E707" t="str">
        <f>"98640"</f>
        <v>98640</v>
      </c>
      <c r="F707" t="s">
        <v>68</v>
      </c>
      <c r="G707" t="s">
        <v>279</v>
      </c>
      <c r="I707" t="s">
        <v>280</v>
      </c>
      <c r="J707" t="s">
        <v>13</v>
      </c>
      <c r="K707" t="str">
        <f>"98640"</f>
        <v>98640</v>
      </c>
      <c r="L707">
        <v>5</v>
      </c>
      <c r="M707">
        <v>5</v>
      </c>
      <c r="N707">
        <v>0</v>
      </c>
    </row>
    <row r="708" spans="1:14" x14ac:dyDescent="0.25">
      <c r="A708" t="s">
        <v>3705</v>
      </c>
      <c r="B708" t="s">
        <v>3706</v>
      </c>
      <c r="C708" t="s">
        <v>2772</v>
      </c>
      <c r="D708" t="s">
        <v>13</v>
      </c>
      <c r="E708" t="str">
        <f>"98586"</f>
        <v>98586</v>
      </c>
      <c r="F708" t="s">
        <v>68</v>
      </c>
      <c r="G708" t="s">
        <v>3707</v>
      </c>
      <c r="I708" t="s">
        <v>107</v>
      </c>
      <c r="J708" t="s">
        <v>13</v>
      </c>
      <c r="K708" t="str">
        <f>"98114"</f>
        <v>98114</v>
      </c>
      <c r="L708">
        <v>11</v>
      </c>
      <c r="M708">
        <v>11</v>
      </c>
      <c r="N708">
        <v>0</v>
      </c>
    </row>
    <row r="709" spans="1:14" x14ac:dyDescent="0.25">
      <c r="A709" t="s">
        <v>3840</v>
      </c>
      <c r="B709" t="s">
        <v>3841</v>
      </c>
      <c r="C709" t="s">
        <v>3070</v>
      </c>
      <c r="D709" t="s">
        <v>13</v>
      </c>
      <c r="E709" t="str">
        <f>"98577"</f>
        <v>98577</v>
      </c>
      <c r="F709" t="s">
        <v>68</v>
      </c>
      <c r="G709" t="s">
        <v>2214</v>
      </c>
      <c r="I709" t="s">
        <v>132</v>
      </c>
      <c r="J709" t="s">
        <v>13</v>
      </c>
      <c r="K709" t="str">
        <f>"98382"</f>
        <v>98382</v>
      </c>
      <c r="L709">
        <v>52</v>
      </c>
      <c r="M709">
        <v>52</v>
      </c>
      <c r="N709">
        <v>0</v>
      </c>
    </row>
    <row r="710" spans="1:14" x14ac:dyDescent="0.25">
      <c r="A710" t="s">
        <v>3068</v>
      </c>
      <c r="B710" t="s">
        <v>3069</v>
      </c>
      <c r="C710" t="s">
        <v>3070</v>
      </c>
      <c r="D710" t="s">
        <v>13</v>
      </c>
      <c r="E710" t="str">
        <f>"98577"</f>
        <v>98577</v>
      </c>
      <c r="F710" t="s">
        <v>68</v>
      </c>
      <c r="G710" t="s">
        <v>3008</v>
      </c>
      <c r="I710" t="s">
        <v>3071</v>
      </c>
      <c r="J710" t="s">
        <v>13</v>
      </c>
      <c r="K710" t="str">
        <f>"98561"</f>
        <v>98561</v>
      </c>
      <c r="L710">
        <v>13</v>
      </c>
      <c r="M710">
        <v>13</v>
      </c>
      <c r="N710">
        <v>0</v>
      </c>
    </row>
    <row r="711" spans="1:14" x14ac:dyDescent="0.25">
      <c r="A711" t="s">
        <v>2463</v>
      </c>
      <c r="B711" t="s">
        <v>2464</v>
      </c>
      <c r="C711" t="s">
        <v>280</v>
      </c>
      <c r="D711" t="s">
        <v>13</v>
      </c>
      <c r="E711" t="str">
        <f>"98640"</f>
        <v>98640</v>
      </c>
      <c r="F711" t="s">
        <v>68</v>
      </c>
      <c r="G711" t="s">
        <v>2465</v>
      </c>
      <c r="H711" t="s">
        <v>926</v>
      </c>
      <c r="I711" t="s">
        <v>280</v>
      </c>
      <c r="J711" t="s">
        <v>13</v>
      </c>
      <c r="K711" t="str">
        <f>"98640"</f>
        <v>98640</v>
      </c>
      <c r="L711">
        <v>29</v>
      </c>
      <c r="M711">
        <v>1</v>
      </c>
      <c r="N711">
        <v>28</v>
      </c>
    </row>
    <row r="712" spans="1:14" x14ac:dyDescent="0.25">
      <c r="A712" t="s">
        <v>3009</v>
      </c>
      <c r="B712" t="s">
        <v>3010</v>
      </c>
      <c r="C712" t="s">
        <v>280</v>
      </c>
      <c r="D712" t="s">
        <v>13</v>
      </c>
      <c r="E712" t="str">
        <f>"98640"</f>
        <v>98640</v>
      </c>
      <c r="F712" t="s">
        <v>68</v>
      </c>
      <c r="G712" t="s">
        <v>3011</v>
      </c>
      <c r="I712" t="s">
        <v>280</v>
      </c>
      <c r="J712" t="s">
        <v>13</v>
      </c>
      <c r="K712" t="str">
        <f>"98640"</f>
        <v>98640</v>
      </c>
      <c r="L712">
        <v>12</v>
      </c>
      <c r="M712">
        <v>12</v>
      </c>
      <c r="N712">
        <v>0</v>
      </c>
    </row>
    <row r="713" spans="1:14" x14ac:dyDescent="0.25">
      <c r="A713" t="s">
        <v>4050</v>
      </c>
      <c r="B713" t="s">
        <v>4051</v>
      </c>
      <c r="C713" t="s">
        <v>4052</v>
      </c>
      <c r="D713" t="s">
        <v>13</v>
      </c>
      <c r="E713" t="str">
        <f>"99153"</f>
        <v>99153</v>
      </c>
      <c r="F713" t="s">
        <v>425</v>
      </c>
      <c r="G713" t="s">
        <v>4051</v>
      </c>
      <c r="I713" t="s">
        <v>4052</v>
      </c>
      <c r="J713" t="s">
        <v>13</v>
      </c>
      <c r="K713" t="str">
        <f>"99153"</f>
        <v>99153</v>
      </c>
      <c r="L713">
        <v>10</v>
      </c>
      <c r="M713">
        <v>2</v>
      </c>
      <c r="N713">
        <v>8</v>
      </c>
    </row>
    <row r="714" spans="1:14" x14ac:dyDescent="0.25">
      <c r="A714" t="s">
        <v>3098</v>
      </c>
      <c r="B714" t="s">
        <v>3099</v>
      </c>
      <c r="C714" t="s">
        <v>2847</v>
      </c>
      <c r="D714" t="s">
        <v>13</v>
      </c>
      <c r="E714" t="str">
        <f>"99156"</f>
        <v>99156</v>
      </c>
      <c r="F714" t="s">
        <v>425</v>
      </c>
      <c r="G714" t="s">
        <v>593</v>
      </c>
      <c r="I714" t="s">
        <v>2847</v>
      </c>
      <c r="J714" t="s">
        <v>13</v>
      </c>
      <c r="K714" t="str">
        <f>"99156"</f>
        <v>99156</v>
      </c>
      <c r="L714">
        <v>5</v>
      </c>
      <c r="M714">
        <v>5</v>
      </c>
      <c r="N714">
        <v>0</v>
      </c>
    </row>
    <row r="715" spans="1:14" x14ac:dyDescent="0.25">
      <c r="A715" t="s">
        <v>2845</v>
      </c>
      <c r="B715" t="s">
        <v>2846</v>
      </c>
      <c r="C715" t="s">
        <v>2847</v>
      </c>
      <c r="D715" t="s">
        <v>13</v>
      </c>
      <c r="E715" t="str">
        <f>"99156"</f>
        <v>99156</v>
      </c>
      <c r="F715" t="s">
        <v>425</v>
      </c>
      <c r="G715" t="s">
        <v>2848</v>
      </c>
      <c r="I715" t="s">
        <v>2849</v>
      </c>
      <c r="J715" t="s">
        <v>1270</v>
      </c>
      <c r="K715" t="str">
        <f>"83822"</f>
        <v>83822</v>
      </c>
      <c r="L715">
        <v>36</v>
      </c>
      <c r="M715">
        <v>34</v>
      </c>
      <c r="N715">
        <v>2</v>
      </c>
    </row>
    <row r="716" spans="1:14" x14ac:dyDescent="0.25">
      <c r="A716" t="s">
        <v>3976</v>
      </c>
      <c r="B716" t="s">
        <v>3977</v>
      </c>
      <c r="C716" t="s">
        <v>424</v>
      </c>
      <c r="D716" t="s">
        <v>13</v>
      </c>
      <c r="E716" t="str">
        <f>"99152"</f>
        <v>99152</v>
      </c>
      <c r="F716" t="s">
        <v>425</v>
      </c>
      <c r="G716" t="s">
        <v>3978</v>
      </c>
      <c r="I716" t="s">
        <v>424</v>
      </c>
      <c r="J716" t="s">
        <v>13</v>
      </c>
      <c r="K716" t="str">
        <f>"99152"</f>
        <v>99152</v>
      </c>
      <c r="L716">
        <v>4</v>
      </c>
      <c r="M716">
        <v>4</v>
      </c>
      <c r="N716">
        <v>0</v>
      </c>
    </row>
    <row r="717" spans="1:14" x14ac:dyDescent="0.25">
      <c r="A717" t="s">
        <v>422</v>
      </c>
      <c r="B717" t="s">
        <v>423</v>
      </c>
      <c r="C717" t="s">
        <v>424</v>
      </c>
      <c r="D717" t="s">
        <v>13</v>
      </c>
      <c r="E717" t="str">
        <f>"99152"</f>
        <v>99152</v>
      </c>
      <c r="F717" t="s">
        <v>425</v>
      </c>
      <c r="G717" t="s">
        <v>64</v>
      </c>
      <c r="I717" t="s">
        <v>424</v>
      </c>
      <c r="J717" t="s">
        <v>13</v>
      </c>
      <c r="K717" t="str">
        <f>"99152"</f>
        <v>99152</v>
      </c>
      <c r="L717">
        <v>7</v>
      </c>
      <c r="M717">
        <v>2</v>
      </c>
      <c r="N717">
        <v>5</v>
      </c>
    </row>
    <row r="718" spans="1:14" x14ac:dyDescent="0.25">
      <c r="A718" t="s">
        <v>3955</v>
      </c>
      <c r="B718" t="s">
        <v>3956</v>
      </c>
      <c r="C718" t="s">
        <v>146</v>
      </c>
      <c r="D718" t="s">
        <v>13</v>
      </c>
      <c r="E718" t="str">
        <f>"98374"</f>
        <v>98374</v>
      </c>
      <c r="F718" t="s">
        <v>73</v>
      </c>
      <c r="G718" t="s">
        <v>2129</v>
      </c>
      <c r="I718" t="s">
        <v>2130</v>
      </c>
      <c r="J718" t="s">
        <v>13</v>
      </c>
      <c r="K718" t="str">
        <f>"98039"</f>
        <v>98039</v>
      </c>
      <c r="L718">
        <v>34</v>
      </c>
      <c r="M718">
        <v>33</v>
      </c>
      <c r="N718">
        <v>1</v>
      </c>
    </row>
    <row r="719" spans="1:14" x14ac:dyDescent="0.25">
      <c r="A719" t="s">
        <v>2614</v>
      </c>
      <c r="B719" t="s">
        <v>2615</v>
      </c>
      <c r="C719" t="s">
        <v>72</v>
      </c>
      <c r="D719" t="s">
        <v>13</v>
      </c>
      <c r="E719" t="str">
        <f>"98444"</f>
        <v>98444</v>
      </c>
      <c r="F719" t="s">
        <v>73</v>
      </c>
      <c r="G719" t="s">
        <v>2616</v>
      </c>
      <c r="I719" t="s">
        <v>561</v>
      </c>
      <c r="J719" t="s">
        <v>13</v>
      </c>
      <c r="K719" t="str">
        <f>"98028"</f>
        <v>98028</v>
      </c>
      <c r="L719">
        <v>15</v>
      </c>
      <c r="M719">
        <v>15</v>
      </c>
      <c r="N719">
        <v>0</v>
      </c>
    </row>
    <row r="720" spans="1:14" x14ac:dyDescent="0.25">
      <c r="A720" t="s">
        <v>4015</v>
      </c>
      <c r="B720" t="s">
        <v>4016</v>
      </c>
      <c r="C720" t="s">
        <v>536</v>
      </c>
      <c r="D720" t="s">
        <v>13</v>
      </c>
      <c r="E720" t="str">
        <f>"98439"</f>
        <v>98439</v>
      </c>
      <c r="F720" t="s">
        <v>73</v>
      </c>
      <c r="G720" t="s">
        <v>111</v>
      </c>
      <c r="I720" t="s">
        <v>107</v>
      </c>
      <c r="J720" t="s">
        <v>13</v>
      </c>
      <c r="K720" t="str">
        <f>"98105"</f>
        <v>98105</v>
      </c>
      <c r="L720">
        <v>46</v>
      </c>
      <c r="M720">
        <v>44</v>
      </c>
      <c r="N720">
        <v>2</v>
      </c>
    </row>
    <row r="721" spans="1:14" x14ac:dyDescent="0.25">
      <c r="A721" t="s">
        <v>1779</v>
      </c>
      <c r="B721" t="s">
        <v>1780</v>
      </c>
      <c r="C721" t="s">
        <v>146</v>
      </c>
      <c r="D721" t="s">
        <v>13</v>
      </c>
      <c r="E721" t="str">
        <f>"98372"</f>
        <v>98372</v>
      </c>
      <c r="F721" t="s">
        <v>73</v>
      </c>
      <c r="G721" t="s">
        <v>1781</v>
      </c>
      <c r="I721" t="s">
        <v>1782</v>
      </c>
      <c r="J721" t="s">
        <v>13</v>
      </c>
      <c r="K721" t="str">
        <f>"98467"</f>
        <v>98467</v>
      </c>
      <c r="L721">
        <v>32</v>
      </c>
      <c r="M721">
        <v>25</v>
      </c>
      <c r="N721">
        <v>7</v>
      </c>
    </row>
    <row r="722" spans="1:14" x14ac:dyDescent="0.25">
      <c r="A722" t="s">
        <v>1061</v>
      </c>
      <c r="B722" t="s">
        <v>1062</v>
      </c>
      <c r="C722" t="s">
        <v>72</v>
      </c>
      <c r="D722" t="s">
        <v>13</v>
      </c>
      <c r="E722" t="str">
        <f>"98439"</f>
        <v>98439</v>
      </c>
      <c r="F722" t="s">
        <v>73</v>
      </c>
      <c r="G722" t="s">
        <v>1063</v>
      </c>
      <c r="I722" t="s">
        <v>501</v>
      </c>
      <c r="J722" t="s">
        <v>13</v>
      </c>
      <c r="K722" t="str">
        <f>"98052"</f>
        <v>98052</v>
      </c>
      <c r="L722">
        <v>11</v>
      </c>
      <c r="M722">
        <v>11</v>
      </c>
      <c r="N722">
        <v>0</v>
      </c>
    </row>
    <row r="723" spans="1:14" x14ac:dyDescent="0.25">
      <c r="A723" t="s">
        <v>233</v>
      </c>
      <c r="B723" t="s">
        <v>234</v>
      </c>
      <c r="C723" t="s">
        <v>72</v>
      </c>
      <c r="D723" t="s">
        <v>13</v>
      </c>
      <c r="E723" t="str">
        <f>"98444"</f>
        <v>98444</v>
      </c>
      <c r="F723" t="s">
        <v>73</v>
      </c>
      <c r="G723" t="s">
        <v>235</v>
      </c>
      <c r="I723" t="s">
        <v>236</v>
      </c>
      <c r="J723" t="s">
        <v>13</v>
      </c>
      <c r="K723" t="str">
        <f>"98580"</f>
        <v>98580</v>
      </c>
      <c r="L723">
        <v>20</v>
      </c>
      <c r="M723">
        <v>15</v>
      </c>
      <c r="N723">
        <v>5</v>
      </c>
    </row>
    <row r="724" spans="1:14" x14ac:dyDescent="0.25">
      <c r="A724" t="s">
        <v>949</v>
      </c>
      <c r="B724" t="s">
        <v>950</v>
      </c>
      <c r="C724" t="s">
        <v>951</v>
      </c>
      <c r="D724" t="s">
        <v>13</v>
      </c>
      <c r="E724" t="str">
        <f>"98424"</f>
        <v>98424</v>
      </c>
      <c r="F724" t="s">
        <v>73</v>
      </c>
      <c r="G724" t="s">
        <v>952</v>
      </c>
      <c r="I724" t="s">
        <v>148</v>
      </c>
      <c r="J724" t="s">
        <v>13</v>
      </c>
      <c r="K724" t="str">
        <f>"98335"</f>
        <v>98335</v>
      </c>
      <c r="L724">
        <v>61</v>
      </c>
      <c r="M724">
        <v>61</v>
      </c>
      <c r="N724">
        <v>0</v>
      </c>
    </row>
    <row r="725" spans="1:14" x14ac:dyDescent="0.25">
      <c r="A725" t="s">
        <v>1936</v>
      </c>
      <c r="B725" t="s">
        <v>1937</v>
      </c>
      <c r="C725" t="s">
        <v>725</v>
      </c>
      <c r="D725" t="s">
        <v>13</v>
      </c>
      <c r="E725" t="str">
        <f>"98338"</f>
        <v>98338</v>
      </c>
      <c r="F725" t="s">
        <v>73</v>
      </c>
      <c r="G725" t="s">
        <v>326</v>
      </c>
      <c r="I725" t="s">
        <v>107</v>
      </c>
      <c r="J725" t="s">
        <v>13</v>
      </c>
      <c r="K725" t="str">
        <f>"98105"</f>
        <v>98105</v>
      </c>
      <c r="L725">
        <v>97</v>
      </c>
      <c r="M725">
        <v>97</v>
      </c>
      <c r="N725">
        <v>0</v>
      </c>
    </row>
    <row r="726" spans="1:14" x14ac:dyDescent="0.25">
      <c r="A726" t="s">
        <v>505</v>
      </c>
      <c r="B726" t="s">
        <v>506</v>
      </c>
      <c r="C726" t="s">
        <v>507</v>
      </c>
      <c r="D726" t="s">
        <v>13</v>
      </c>
      <c r="E726" t="str">
        <f>"98391"</f>
        <v>98391</v>
      </c>
      <c r="F726" t="s">
        <v>73</v>
      </c>
      <c r="G726" t="s">
        <v>508</v>
      </c>
      <c r="I726" t="s">
        <v>146</v>
      </c>
      <c r="J726" t="s">
        <v>13</v>
      </c>
      <c r="K726" t="str">
        <f>"98371"</f>
        <v>98371</v>
      </c>
      <c r="L726">
        <v>14</v>
      </c>
      <c r="M726">
        <v>13</v>
      </c>
      <c r="N726">
        <v>1</v>
      </c>
    </row>
    <row r="727" spans="1:14" x14ac:dyDescent="0.25">
      <c r="A727" t="s">
        <v>309</v>
      </c>
      <c r="B727" t="s">
        <v>310</v>
      </c>
      <c r="C727" t="s">
        <v>159</v>
      </c>
      <c r="D727" t="s">
        <v>13</v>
      </c>
      <c r="E727" t="str">
        <f>"98387"</f>
        <v>98387</v>
      </c>
      <c r="F727" t="s">
        <v>73</v>
      </c>
      <c r="G727" t="s">
        <v>311</v>
      </c>
      <c r="I727" t="s">
        <v>159</v>
      </c>
      <c r="J727" t="s">
        <v>13</v>
      </c>
      <c r="K727" t="str">
        <f>"98387"</f>
        <v>98387</v>
      </c>
      <c r="L727">
        <v>14</v>
      </c>
      <c r="M727">
        <v>11</v>
      </c>
      <c r="N727">
        <v>3</v>
      </c>
    </row>
    <row r="728" spans="1:14" x14ac:dyDescent="0.25">
      <c r="A728" t="s">
        <v>1624</v>
      </c>
      <c r="B728" t="s">
        <v>1625</v>
      </c>
      <c r="C728" t="s">
        <v>536</v>
      </c>
      <c r="D728" t="s">
        <v>13</v>
      </c>
      <c r="E728" t="str">
        <f>"98439"</f>
        <v>98439</v>
      </c>
      <c r="F728" t="s">
        <v>73</v>
      </c>
      <c r="G728" t="s">
        <v>1328</v>
      </c>
      <c r="I728" t="s">
        <v>43</v>
      </c>
      <c r="J728" t="s">
        <v>13</v>
      </c>
      <c r="K728" t="str">
        <f>"98040"</f>
        <v>98040</v>
      </c>
      <c r="L728">
        <v>4</v>
      </c>
      <c r="M728">
        <v>4</v>
      </c>
      <c r="N728">
        <v>0</v>
      </c>
    </row>
    <row r="729" spans="1:14" x14ac:dyDescent="0.25">
      <c r="A729" t="s">
        <v>1518</v>
      </c>
      <c r="B729" t="s">
        <v>1519</v>
      </c>
      <c r="C729" t="s">
        <v>146</v>
      </c>
      <c r="D729" t="s">
        <v>13</v>
      </c>
      <c r="E729" t="str">
        <f>"98372"</f>
        <v>98372</v>
      </c>
      <c r="F729" t="s">
        <v>73</v>
      </c>
      <c r="G729" t="s">
        <v>1520</v>
      </c>
      <c r="H729" t="s">
        <v>1521</v>
      </c>
      <c r="I729" t="s">
        <v>1522</v>
      </c>
      <c r="J729" t="s">
        <v>433</v>
      </c>
      <c r="K729" t="str">
        <f>"92614"</f>
        <v>92614</v>
      </c>
      <c r="L729">
        <v>78</v>
      </c>
      <c r="M729">
        <v>42</v>
      </c>
      <c r="N729">
        <v>36</v>
      </c>
    </row>
    <row r="730" spans="1:14" x14ac:dyDescent="0.25">
      <c r="A730" t="s">
        <v>1567</v>
      </c>
      <c r="B730" t="s">
        <v>1568</v>
      </c>
      <c r="C730" t="s">
        <v>72</v>
      </c>
      <c r="D730" t="s">
        <v>13</v>
      </c>
      <c r="E730" t="str">
        <f>"98445"</f>
        <v>98445</v>
      </c>
      <c r="F730" t="s">
        <v>73</v>
      </c>
      <c r="G730" t="s">
        <v>1566</v>
      </c>
      <c r="I730" t="s">
        <v>107</v>
      </c>
      <c r="J730" t="s">
        <v>13</v>
      </c>
      <c r="K730" t="str">
        <f>"98198"</f>
        <v>98198</v>
      </c>
      <c r="L730">
        <v>94</v>
      </c>
      <c r="M730">
        <v>92</v>
      </c>
      <c r="N730">
        <v>2</v>
      </c>
    </row>
    <row r="731" spans="1:14" x14ac:dyDescent="0.25">
      <c r="A731" t="s">
        <v>70</v>
      </c>
      <c r="B731" t="s">
        <v>71</v>
      </c>
      <c r="C731" t="s">
        <v>72</v>
      </c>
      <c r="D731" t="s">
        <v>13</v>
      </c>
      <c r="E731" t="str">
        <f>"98445"</f>
        <v>98445</v>
      </c>
      <c r="F731" t="s">
        <v>73</v>
      </c>
      <c r="G731" t="s">
        <v>74</v>
      </c>
      <c r="I731" t="s">
        <v>72</v>
      </c>
      <c r="J731" t="s">
        <v>13</v>
      </c>
      <c r="K731" t="str">
        <f>"98445"</f>
        <v>98445</v>
      </c>
      <c r="L731">
        <v>7</v>
      </c>
      <c r="M731">
        <v>3</v>
      </c>
      <c r="N731">
        <v>4</v>
      </c>
    </row>
    <row r="732" spans="1:14" x14ac:dyDescent="0.25">
      <c r="A732" t="s">
        <v>2596</v>
      </c>
      <c r="B732" t="s">
        <v>2597</v>
      </c>
      <c r="C732" t="s">
        <v>536</v>
      </c>
      <c r="D732" t="s">
        <v>13</v>
      </c>
      <c r="E732" t="str">
        <f>"98499"</f>
        <v>98499</v>
      </c>
      <c r="F732" t="s">
        <v>73</v>
      </c>
      <c r="G732" t="s">
        <v>2597</v>
      </c>
      <c r="I732" t="s">
        <v>536</v>
      </c>
      <c r="J732" t="s">
        <v>13</v>
      </c>
      <c r="K732" t="str">
        <f>"98499"</f>
        <v>98499</v>
      </c>
      <c r="L732">
        <v>96</v>
      </c>
      <c r="M732">
        <v>94</v>
      </c>
      <c r="N732">
        <v>2</v>
      </c>
    </row>
    <row r="733" spans="1:14" x14ac:dyDescent="0.25">
      <c r="A733" t="s">
        <v>144</v>
      </c>
      <c r="B733" t="s">
        <v>145</v>
      </c>
      <c r="C733" t="s">
        <v>146</v>
      </c>
      <c r="D733" t="s">
        <v>13</v>
      </c>
      <c r="E733" t="str">
        <f>"98371"</f>
        <v>98371</v>
      </c>
      <c r="F733" t="s">
        <v>73</v>
      </c>
      <c r="G733" t="s">
        <v>147</v>
      </c>
      <c r="I733" t="s">
        <v>148</v>
      </c>
      <c r="J733" t="s">
        <v>13</v>
      </c>
      <c r="K733" t="str">
        <f>"98332"</f>
        <v>98332</v>
      </c>
      <c r="L733">
        <v>20</v>
      </c>
      <c r="M733">
        <v>20</v>
      </c>
      <c r="N733">
        <v>0</v>
      </c>
    </row>
    <row r="734" spans="1:14" x14ac:dyDescent="0.25">
      <c r="A734" t="s">
        <v>2779</v>
      </c>
      <c r="B734" t="s">
        <v>2780</v>
      </c>
      <c r="C734" t="s">
        <v>146</v>
      </c>
      <c r="D734" t="s">
        <v>13</v>
      </c>
      <c r="E734" t="str">
        <f>"98375"</f>
        <v>98375</v>
      </c>
      <c r="F734" t="s">
        <v>73</v>
      </c>
      <c r="G734" t="s">
        <v>111</v>
      </c>
      <c r="I734" t="s">
        <v>107</v>
      </c>
      <c r="J734" t="s">
        <v>13</v>
      </c>
      <c r="K734" t="str">
        <f>"98105"</f>
        <v>98105</v>
      </c>
      <c r="L734">
        <v>82</v>
      </c>
      <c r="M734">
        <v>82</v>
      </c>
      <c r="N734">
        <v>0</v>
      </c>
    </row>
    <row r="735" spans="1:14" x14ac:dyDescent="0.25">
      <c r="A735" t="s">
        <v>907</v>
      </c>
      <c r="B735" t="s">
        <v>908</v>
      </c>
      <c r="C735" t="s">
        <v>72</v>
      </c>
      <c r="D735" t="s">
        <v>13</v>
      </c>
      <c r="E735" t="str">
        <f>"98446"</f>
        <v>98446</v>
      </c>
      <c r="F735" t="s">
        <v>73</v>
      </c>
      <c r="G735" t="s">
        <v>909</v>
      </c>
      <c r="H735" t="s">
        <v>910</v>
      </c>
      <c r="I735" t="s">
        <v>107</v>
      </c>
      <c r="J735" t="s">
        <v>13</v>
      </c>
      <c r="K735" t="str">
        <f>"98144"</f>
        <v>98144</v>
      </c>
      <c r="L735">
        <v>77</v>
      </c>
      <c r="M735">
        <v>77</v>
      </c>
      <c r="N735">
        <v>0</v>
      </c>
    </row>
    <row r="736" spans="1:14" x14ac:dyDescent="0.25">
      <c r="A736" t="s">
        <v>1654</v>
      </c>
      <c r="B736" t="s">
        <v>1655</v>
      </c>
      <c r="C736" t="s">
        <v>146</v>
      </c>
      <c r="D736" t="s">
        <v>13</v>
      </c>
      <c r="E736" t="str">
        <f>"98371"</f>
        <v>98371</v>
      </c>
      <c r="F736" t="s">
        <v>73</v>
      </c>
      <c r="G736" t="s">
        <v>535</v>
      </c>
      <c r="I736" t="s">
        <v>536</v>
      </c>
      <c r="J736" t="s">
        <v>13</v>
      </c>
      <c r="K736" t="str">
        <f>"98499"</f>
        <v>98499</v>
      </c>
      <c r="L736">
        <v>87</v>
      </c>
      <c r="M736">
        <v>87</v>
      </c>
      <c r="N736">
        <v>0</v>
      </c>
    </row>
    <row r="737" spans="1:14" x14ac:dyDescent="0.25">
      <c r="A737" t="s">
        <v>1146</v>
      </c>
      <c r="B737" t="s">
        <v>1147</v>
      </c>
      <c r="C737" t="s">
        <v>159</v>
      </c>
      <c r="D737" t="s">
        <v>13</v>
      </c>
      <c r="E737" t="str">
        <f>"98387"</f>
        <v>98387</v>
      </c>
      <c r="F737" t="s">
        <v>73</v>
      </c>
      <c r="G737" t="s">
        <v>1148</v>
      </c>
      <c r="I737" t="s">
        <v>146</v>
      </c>
      <c r="J737" t="s">
        <v>13</v>
      </c>
      <c r="K737" t="str">
        <f>"98373"</f>
        <v>98373</v>
      </c>
      <c r="L737">
        <v>45</v>
      </c>
      <c r="M737">
        <v>34</v>
      </c>
      <c r="N737">
        <v>11</v>
      </c>
    </row>
    <row r="738" spans="1:14" x14ac:dyDescent="0.25">
      <c r="A738" t="s">
        <v>930</v>
      </c>
      <c r="B738" t="s">
        <v>931</v>
      </c>
      <c r="C738" t="s">
        <v>146</v>
      </c>
      <c r="D738" t="s">
        <v>13</v>
      </c>
      <c r="E738" t="str">
        <f>"98374"</f>
        <v>98374</v>
      </c>
      <c r="F738" t="s">
        <v>73</v>
      </c>
      <c r="G738" t="s">
        <v>932</v>
      </c>
      <c r="I738" t="s">
        <v>933</v>
      </c>
      <c r="J738" t="s">
        <v>13</v>
      </c>
      <c r="K738" t="str">
        <f>"98372"</f>
        <v>98372</v>
      </c>
      <c r="L738">
        <v>9</v>
      </c>
      <c r="M738">
        <v>7</v>
      </c>
      <c r="N738">
        <v>2</v>
      </c>
    </row>
    <row r="739" spans="1:14" x14ac:dyDescent="0.25">
      <c r="A739" t="s">
        <v>2901</v>
      </c>
      <c r="B739" t="s">
        <v>2902</v>
      </c>
      <c r="C739" t="s">
        <v>146</v>
      </c>
      <c r="D739" t="s">
        <v>13</v>
      </c>
      <c r="E739" t="str">
        <f>"98375"</f>
        <v>98375</v>
      </c>
      <c r="F739" t="s">
        <v>73</v>
      </c>
      <c r="G739" t="s">
        <v>2903</v>
      </c>
      <c r="I739" t="s">
        <v>87</v>
      </c>
      <c r="J739" t="s">
        <v>13</v>
      </c>
      <c r="K739" t="str">
        <f>"98516"</f>
        <v>98516</v>
      </c>
      <c r="L739">
        <v>23</v>
      </c>
      <c r="M739">
        <v>17</v>
      </c>
      <c r="N739">
        <v>6</v>
      </c>
    </row>
    <row r="740" spans="1:14" x14ac:dyDescent="0.25">
      <c r="A740" t="s">
        <v>2178</v>
      </c>
      <c r="B740" t="s">
        <v>2179</v>
      </c>
      <c r="C740" t="s">
        <v>148</v>
      </c>
      <c r="D740" t="s">
        <v>13</v>
      </c>
      <c r="E740" t="str">
        <f>"98332"</f>
        <v>98332</v>
      </c>
      <c r="F740" t="s">
        <v>73</v>
      </c>
      <c r="G740" t="s">
        <v>2180</v>
      </c>
      <c r="H740" t="s">
        <v>2181</v>
      </c>
      <c r="I740" t="s">
        <v>437</v>
      </c>
      <c r="J740" t="s">
        <v>13</v>
      </c>
      <c r="K740" t="str">
        <f>"98020"</f>
        <v>98020</v>
      </c>
      <c r="L740">
        <v>42</v>
      </c>
      <c r="M740">
        <v>42</v>
      </c>
      <c r="N740">
        <v>0</v>
      </c>
    </row>
    <row r="741" spans="1:14" x14ac:dyDescent="0.25">
      <c r="A741" t="s">
        <v>2459</v>
      </c>
      <c r="B741" t="s">
        <v>2460</v>
      </c>
      <c r="C741" t="s">
        <v>72</v>
      </c>
      <c r="D741" t="s">
        <v>13</v>
      </c>
      <c r="E741" t="str">
        <f>"98422"</f>
        <v>98422</v>
      </c>
      <c r="F741" t="s">
        <v>73</v>
      </c>
      <c r="G741" t="s">
        <v>2458</v>
      </c>
      <c r="I741" t="s">
        <v>107</v>
      </c>
      <c r="J741" t="s">
        <v>13</v>
      </c>
      <c r="K741" t="str">
        <f>"98177"</f>
        <v>98177</v>
      </c>
      <c r="L741">
        <v>36</v>
      </c>
      <c r="M741">
        <v>36</v>
      </c>
      <c r="N741">
        <v>0</v>
      </c>
    </row>
    <row r="742" spans="1:14" x14ac:dyDescent="0.25">
      <c r="A742" t="s">
        <v>1882</v>
      </c>
      <c r="B742" t="s">
        <v>1883</v>
      </c>
      <c r="C742" t="s">
        <v>536</v>
      </c>
      <c r="D742" t="s">
        <v>13</v>
      </c>
      <c r="E742" t="str">
        <f>"98439"</f>
        <v>98439</v>
      </c>
      <c r="F742" t="s">
        <v>73</v>
      </c>
      <c r="G742" t="s">
        <v>1328</v>
      </c>
      <c r="I742" t="s">
        <v>43</v>
      </c>
      <c r="J742" t="s">
        <v>13</v>
      </c>
      <c r="K742" t="str">
        <f>"98040"</f>
        <v>98040</v>
      </c>
      <c r="L742">
        <v>53</v>
      </c>
      <c r="M742">
        <v>53</v>
      </c>
      <c r="N742">
        <v>0</v>
      </c>
    </row>
    <row r="743" spans="1:14" x14ac:dyDescent="0.25">
      <c r="A743" t="s">
        <v>2074</v>
      </c>
      <c r="B743" t="s">
        <v>2075</v>
      </c>
      <c r="C743" t="s">
        <v>933</v>
      </c>
      <c r="D743" t="s">
        <v>13</v>
      </c>
      <c r="E743" t="str">
        <f>"98371"</f>
        <v>98371</v>
      </c>
      <c r="F743" t="s">
        <v>73</v>
      </c>
      <c r="G743" t="s">
        <v>2076</v>
      </c>
      <c r="I743" t="s">
        <v>107</v>
      </c>
      <c r="J743" t="s">
        <v>13</v>
      </c>
      <c r="K743" t="str">
        <f>"98101"</f>
        <v>98101</v>
      </c>
      <c r="L743">
        <v>84</v>
      </c>
      <c r="M743">
        <v>82</v>
      </c>
      <c r="N743">
        <v>2</v>
      </c>
    </row>
    <row r="744" spans="1:14" x14ac:dyDescent="0.25">
      <c r="A744" t="s">
        <v>2819</v>
      </c>
      <c r="B744" t="s">
        <v>2820</v>
      </c>
      <c r="C744" t="s">
        <v>161</v>
      </c>
      <c r="D744" t="s">
        <v>13</v>
      </c>
      <c r="E744" t="str">
        <f>"98391"</f>
        <v>98391</v>
      </c>
      <c r="F744" t="s">
        <v>73</v>
      </c>
      <c r="G744" t="s">
        <v>2821</v>
      </c>
      <c r="I744" t="s">
        <v>297</v>
      </c>
      <c r="J744" t="s">
        <v>13</v>
      </c>
      <c r="K744" t="str">
        <f>"98092"</f>
        <v>98092</v>
      </c>
      <c r="L744">
        <v>30</v>
      </c>
      <c r="M744">
        <v>30</v>
      </c>
      <c r="N744">
        <v>0</v>
      </c>
    </row>
    <row r="745" spans="1:14" x14ac:dyDescent="0.25">
      <c r="A745" t="s">
        <v>3168</v>
      </c>
      <c r="B745" t="s">
        <v>3169</v>
      </c>
      <c r="C745" t="s">
        <v>72</v>
      </c>
      <c r="D745" t="s">
        <v>13</v>
      </c>
      <c r="E745" t="str">
        <f>"98445"</f>
        <v>98445</v>
      </c>
      <c r="F745" t="s">
        <v>73</v>
      </c>
      <c r="G745" t="s">
        <v>3169</v>
      </c>
      <c r="I745" t="s">
        <v>72</v>
      </c>
      <c r="J745" t="s">
        <v>13</v>
      </c>
      <c r="K745" t="str">
        <f>"98445"</f>
        <v>98445</v>
      </c>
      <c r="L745">
        <v>5</v>
      </c>
      <c r="M745">
        <v>4</v>
      </c>
      <c r="N745">
        <v>1</v>
      </c>
    </row>
    <row r="746" spans="1:14" x14ac:dyDescent="0.25">
      <c r="A746" t="s">
        <v>868</v>
      </c>
      <c r="B746" t="s">
        <v>869</v>
      </c>
      <c r="C746" t="s">
        <v>72</v>
      </c>
      <c r="D746" t="s">
        <v>13</v>
      </c>
      <c r="E746" t="str">
        <f>"98445"</f>
        <v>98445</v>
      </c>
      <c r="F746" t="s">
        <v>73</v>
      </c>
      <c r="G746" t="s">
        <v>870</v>
      </c>
      <c r="I746" t="s">
        <v>72</v>
      </c>
      <c r="J746" t="s">
        <v>13</v>
      </c>
      <c r="K746" t="str">
        <f>"98445"</f>
        <v>98445</v>
      </c>
      <c r="L746">
        <v>29</v>
      </c>
      <c r="M746">
        <v>24</v>
      </c>
      <c r="N746">
        <v>5</v>
      </c>
    </row>
    <row r="747" spans="1:14" x14ac:dyDescent="0.25">
      <c r="A747" t="s">
        <v>1613</v>
      </c>
      <c r="B747" t="s">
        <v>1614</v>
      </c>
      <c r="C747" t="s">
        <v>159</v>
      </c>
      <c r="D747" t="s">
        <v>13</v>
      </c>
      <c r="E747" t="str">
        <f>"98387"</f>
        <v>98387</v>
      </c>
      <c r="F747" t="s">
        <v>73</v>
      </c>
      <c r="G747" t="s">
        <v>1615</v>
      </c>
      <c r="I747" t="s">
        <v>1616</v>
      </c>
      <c r="J747" t="s">
        <v>821</v>
      </c>
      <c r="K747" t="str">
        <f>"97501"</f>
        <v>97501</v>
      </c>
      <c r="L747">
        <v>80</v>
      </c>
      <c r="M747">
        <v>80</v>
      </c>
      <c r="N747">
        <v>0</v>
      </c>
    </row>
    <row r="748" spans="1:14" x14ac:dyDescent="0.25">
      <c r="A748" t="s">
        <v>1161</v>
      </c>
      <c r="B748" t="s">
        <v>1162</v>
      </c>
      <c r="C748" t="s">
        <v>146</v>
      </c>
      <c r="D748" t="s">
        <v>13</v>
      </c>
      <c r="E748" t="str">
        <f>"98374"</f>
        <v>98374</v>
      </c>
      <c r="F748" t="s">
        <v>73</v>
      </c>
      <c r="G748" t="s">
        <v>42</v>
      </c>
      <c r="I748" t="s">
        <v>43</v>
      </c>
      <c r="J748" t="s">
        <v>13</v>
      </c>
      <c r="K748" t="str">
        <f>"98040"</f>
        <v>98040</v>
      </c>
      <c r="L748">
        <v>114</v>
      </c>
      <c r="M748">
        <v>114</v>
      </c>
      <c r="N748">
        <v>0</v>
      </c>
    </row>
    <row r="749" spans="1:14" x14ac:dyDescent="0.25">
      <c r="A749" t="s">
        <v>3717</v>
      </c>
      <c r="B749" t="s">
        <v>3718</v>
      </c>
      <c r="C749" t="s">
        <v>383</v>
      </c>
      <c r="D749" t="s">
        <v>13</v>
      </c>
      <c r="E749" t="str">
        <f>"98328"</f>
        <v>98328</v>
      </c>
      <c r="F749" t="s">
        <v>73</v>
      </c>
      <c r="G749" t="s">
        <v>2277</v>
      </c>
      <c r="I749" t="s">
        <v>2278</v>
      </c>
      <c r="J749" t="s">
        <v>13</v>
      </c>
      <c r="K749" t="str">
        <f>"98070"</f>
        <v>98070</v>
      </c>
      <c r="L749">
        <v>21</v>
      </c>
      <c r="M749">
        <v>21</v>
      </c>
      <c r="N749">
        <v>0</v>
      </c>
    </row>
    <row r="750" spans="1:14" x14ac:dyDescent="0.25">
      <c r="A750" t="s">
        <v>1586</v>
      </c>
      <c r="B750" t="s">
        <v>1587</v>
      </c>
      <c r="C750" t="s">
        <v>72</v>
      </c>
      <c r="D750" t="s">
        <v>13</v>
      </c>
      <c r="E750" t="str">
        <f>"98445"</f>
        <v>98445</v>
      </c>
      <c r="F750" t="s">
        <v>73</v>
      </c>
      <c r="G750" t="s">
        <v>1588</v>
      </c>
      <c r="I750" t="s">
        <v>681</v>
      </c>
      <c r="J750" t="s">
        <v>13</v>
      </c>
      <c r="K750" t="str">
        <f>"98023"</f>
        <v>98023</v>
      </c>
      <c r="L750">
        <v>72</v>
      </c>
      <c r="M750">
        <v>72</v>
      </c>
      <c r="N750">
        <v>0</v>
      </c>
    </row>
    <row r="751" spans="1:14" x14ac:dyDescent="0.25">
      <c r="A751" t="s">
        <v>938</v>
      </c>
      <c r="B751" t="s">
        <v>939</v>
      </c>
      <c r="C751" t="s">
        <v>725</v>
      </c>
      <c r="D751" t="s">
        <v>13</v>
      </c>
      <c r="E751" t="str">
        <f>"98338"</f>
        <v>98338</v>
      </c>
      <c r="F751" t="s">
        <v>73</v>
      </c>
      <c r="G751" t="s">
        <v>932</v>
      </c>
      <c r="I751" t="s">
        <v>933</v>
      </c>
      <c r="J751" t="s">
        <v>13</v>
      </c>
      <c r="K751" t="str">
        <f>"98372"</f>
        <v>98372</v>
      </c>
      <c r="L751">
        <v>16</v>
      </c>
      <c r="M751">
        <v>11</v>
      </c>
      <c r="N751">
        <v>5</v>
      </c>
    </row>
    <row r="752" spans="1:14" x14ac:dyDescent="0.25">
      <c r="A752" t="s">
        <v>1313</v>
      </c>
      <c r="B752" t="s">
        <v>1314</v>
      </c>
      <c r="C752" t="s">
        <v>148</v>
      </c>
      <c r="D752" t="s">
        <v>13</v>
      </c>
      <c r="E752" t="str">
        <f>"98332"</f>
        <v>98332</v>
      </c>
      <c r="F752" t="s">
        <v>73</v>
      </c>
      <c r="G752" t="s">
        <v>1314</v>
      </c>
      <c r="I752" t="s">
        <v>148</v>
      </c>
      <c r="J752" t="s">
        <v>13</v>
      </c>
      <c r="K752" t="str">
        <f>"98332"</f>
        <v>98332</v>
      </c>
      <c r="L752">
        <v>3</v>
      </c>
      <c r="M752">
        <v>1</v>
      </c>
      <c r="N752">
        <v>2</v>
      </c>
    </row>
    <row r="753" spans="1:14" x14ac:dyDescent="0.25">
      <c r="A753" t="s">
        <v>1696</v>
      </c>
      <c r="B753" t="s">
        <v>1697</v>
      </c>
      <c r="C753" t="s">
        <v>146</v>
      </c>
      <c r="D753" t="s">
        <v>13</v>
      </c>
      <c r="E753" t="str">
        <f>"98374"</f>
        <v>98374</v>
      </c>
      <c r="F753" t="s">
        <v>73</v>
      </c>
      <c r="G753" t="s">
        <v>1698</v>
      </c>
      <c r="I753" t="s">
        <v>605</v>
      </c>
      <c r="J753" t="s">
        <v>13</v>
      </c>
      <c r="K753" t="str">
        <f>"98005"</f>
        <v>98005</v>
      </c>
      <c r="L753">
        <v>35</v>
      </c>
      <c r="M753">
        <v>35</v>
      </c>
      <c r="N753">
        <v>0</v>
      </c>
    </row>
    <row r="754" spans="1:14" x14ac:dyDescent="0.25">
      <c r="A754" t="s">
        <v>712</v>
      </c>
      <c r="B754" t="s">
        <v>713</v>
      </c>
      <c r="C754" t="s">
        <v>146</v>
      </c>
      <c r="D754" t="s">
        <v>13</v>
      </c>
      <c r="E754" t="str">
        <f>"98372"</f>
        <v>98372</v>
      </c>
      <c r="F754" t="s">
        <v>73</v>
      </c>
      <c r="G754" t="s">
        <v>714</v>
      </c>
      <c r="I754" t="s">
        <v>715</v>
      </c>
      <c r="J754" t="s">
        <v>13</v>
      </c>
      <c r="K754" t="str">
        <f>"98351"</f>
        <v>98351</v>
      </c>
      <c r="L754">
        <v>8</v>
      </c>
      <c r="M754">
        <v>8</v>
      </c>
      <c r="N754">
        <v>0</v>
      </c>
    </row>
    <row r="755" spans="1:14" x14ac:dyDescent="0.25">
      <c r="A755" t="s">
        <v>4047</v>
      </c>
      <c r="B755" t="s">
        <v>4048</v>
      </c>
      <c r="C755" t="s">
        <v>2648</v>
      </c>
      <c r="D755" t="s">
        <v>13</v>
      </c>
      <c r="E755" t="str">
        <f>"98321"</f>
        <v>98321</v>
      </c>
      <c r="F755" t="s">
        <v>73</v>
      </c>
      <c r="G755" t="s">
        <v>4049</v>
      </c>
      <c r="I755" t="s">
        <v>2648</v>
      </c>
      <c r="J755" t="s">
        <v>13</v>
      </c>
      <c r="K755" t="str">
        <f>"98321"</f>
        <v>98321</v>
      </c>
      <c r="L755">
        <v>4</v>
      </c>
      <c r="M755">
        <v>2</v>
      </c>
      <c r="N755">
        <v>2</v>
      </c>
    </row>
    <row r="756" spans="1:14" x14ac:dyDescent="0.25">
      <c r="A756" t="s">
        <v>2565</v>
      </c>
      <c r="B756" t="s">
        <v>2566</v>
      </c>
      <c r="C756" t="s">
        <v>146</v>
      </c>
      <c r="D756" t="s">
        <v>13</v>
      </c>
      <c r="E756" t="str">
        <f>"98371"</f>
        <v>98371</v>
      </c>
      <c r="F756" t="s">
        <v>73</v>
      </c>
      <c r="G756" t="s">
        <v>2567</v>
      </c>
      <c r="I756" t="s">
        <v>146</v>
      </c>
      <c r="J756" t="s">
        <v>13</v>
      </c>
      <c r="K756" t="str">
        <f>"98371"</f>
        <v>98371</v>
      </c>
      <c r="L756">
        <v>115</v>
      </c>
      <c r="M756">
        <v>115</v>
      </c>
      <c r="N756">
        <v>0</v>
      </c>
    </row>
    <row r="757" spans="1:14" x14ac:dyDescent="0.25">
      <c r="A757" t="s">
        <v>2395</v>
      </c>
      <c r="B757" t="s">
        <v>2396</v>
      </c>
      <c r="C757" t="s">
        <v>159</v>
      </c>
      <c r="D757" t="s">
        <v>13</v>
      </c>
      <c r="E757" t="str">
        <f>"98387"</f>
        <v>98387</v>
      </c>
      <c r="F757" t="s">
        <v>73</v>
      </c>
      <c r="G757" t="s">
        <v>1521</v>
      </c>
      <c r="I757" t="s">
        <v>1522</v>
      </c>
      <c r="J757" t="s">
        <v>433</v>
      </c>
      <c r="K757" t="str">
        <f>"92614"</f>
        <v>92614</v>
      </c>
      <c r="L757">
        <v>126</v>
      </c>
      <c r="M757">
        <v>122</v>
      </c>
      <c r="N757">
        <v>4</v>
      </c>
    </row>
    <row r="758" spans="1:14" x14ac:dyDescent="0.25">
      <c r="A758" t="s">
        <v>3733</v>
      </c>
      <c r="B758" t="s">
        <v>3734</v>
      </c>
      <c r="C758" t="s">
        <v>1100</v>
      </c>
      <c r="D758" t="s">
        <v>13</v>
      </c>
      <c r="E758" t="str">
        <f>"98390"</f>
        <v>98390</v>
      </c>
      <c r="F758" t="s">
        <v>73</v>
      </c>
      <c r="G758" t="s">
        <v>2619</v>
      </c>
      <c r="I758" t="s">
        <v>2620</v>
      </c>
      <c r="J758" t="s">
        <v>433</v>
      </c>
      <c r="K758" t="str">
        <f>"94080"</f>
        <v>94080</v>
      </c>
      <c r="L758">
        <v>50</v>
      </c>
      <c r="M758">
        <v>50</v>
      </c>
      <c r="N758">
        <v>0</v>
      </c>
    </row>
    <row r="759" spans="1:14" x14ac:dyDescent="0.25">
      <c r="A759" t="s">
        <v>3731</v>
      </c>
      <c r="B759" t="s">
        <v>3732</v>
      </c>
      <c r="C759" t="s">
        <v>72</v>
      </c>
      <c r="D759" t="s">
        <v>13</v>
      </c>
      <c r="E759" t="str">
        <f>"98444"</f>
        <v>98444</v>
      </c>
      <c r="F759" t="s">
        <v>73</v>
      </c>
      <c r="G759" t="s">
        <v>3059</v>
      </c>
      <c r="I759" t="s">
        <v>890</v>
      </c>
      <c r="J759" t="s">
        <v>821</v>
      </c>
      <c r="K759" t="str">
        <f>"97219"</f>
        <v>97219</v>
      </c>
      <c r="L759">
        <v>17</v>
      </c>
      <c r="M759">
        <v>17</v>
      </c>
      <c r="N759">
        <v>0</v>
      </c>
    </row>
    <row r="760" spans="1:14" x14ac:dyDescent="0.25">
      <c r="A760" t="s">
        <v>2355</v>
      </c>
      <c r="B760" t="s">
        <v>2356</v>
      </c>
      <c r="C760" t="s">
        <v>72</v>
      </c>
      <c r="D760" t="s">
        <v>13</v>
      </c>
      <c r="E760" t="str">
        <f>"98444"</f>
        <v>98444</v>
      </c>
      <c r="F760" t="s">
        <v>73</v>
      </c>
      <c r="G760" t="s">
        <v>2357</v>
      </c>
      <c r="I760" t="s">
        <v>46</v>
      </c>
      <c r="J760" t="s">
        <v>13</v>
      </c>
      <c r="K760" t="str">
        <f>"98072"</f>
        <v>98072</v>
      </c>
      <c r="L760">
        <v>25</v>
      </c>
      <c r="M760">
        <v>22</v>
      </c>
      <c r="N760">
        <v>3</v>
      </c>
    </row>
    <row r="761" spans="1:14" x14ac:dyDescent="0.25">
      <c r="A761" t="s">
        <v>3658</v>
      </c>
      <c r="B761" t="s">
        <v>3659</v>
      </c>
      <c r="C761" t="s">
        <v>146</v>
      </c>
      <c r="D761" t="s">
        <v>13</v>
      </c>
      <c r="E761" t="str">
        <f>"98371"</f>
        <v>98371</v>
      </c>
      <c r="F761" t="s">
        <v>73</v>
      </c>
      <c r="G761" t="s">
        <v>3660</v>
      </c>
      <c r="I761" t="s">
        <v>3661</v>
      </c>
      <c r="J761" t="s">
        <v>1270</v>
      </c>
      <c r="K761" t="str">
        <f>"83642"</f>
        <v>83642</v>
      </c>
      <c r="L761">
        <v>16</v>
      </c>
      <c r="M761">
        <v>16</v>
      </c>
      <c r="N761">
        <v>0</v>
      </c>
    </row>
    <row r="762" spans="1:14" x14ac:dyDescent="0.25">
      <c r="A762" t="s">
        <v>723</v>
      </c>
      <c r="B762" t="s">
        <v>724</v>
      </c>
      <c r="C762" t="s">
        <v>725</v>
      </c>
      <c r="D762" t="s">
        <v>13</v>
      </c>
      <c r="E762" t="str">
        <f>"98338"</f>
        <v>98338</v>
      </c>
      <c r="F762" t="s">
        <v>73</v>
      </c>
      <c r="G762" t="s">
        <v>726</v>
      </c>
      <c r="I762" t="s">
        <v>727</v>
      </c>
      <c r="J762" t="s">
        <v>13</v>
      </c>
      <c r="K762" t="str">
        <f>"98360"</f>
        <v>98360</v>
      </c>
      <c r="L762">
        <v>91</v>
      </c>
      <c r="M762">
        <v>73</v>
      </c>
      <c r="N762">
        <v>18</v>
      </c>
    </row>
    <row r="763" spans="1:14" x14ac:dyDescent="0.25">
      <c r="A763" t="s">
        <v>2017</v>
      </c>
      <c r="B763" t="s">
        <v>2018</v>
      </c>
      <c r="C763" t="s">
        <v>146</v>
      </c>
      <c r="D763" t="s">
        <v>13</v>
      </c>
      <c r="E763" t="str">
        <f>"98371"</f>
        <v>98371</v>
      </c>
      <c r="F763" t="s">
        <v>73</v>
      </c>
      <c r="G763" t="s">
        <v>2019</v>
      </c>
      <c r="I763" t="s">
        <v>146</v>
      </c>
      <c r="J763" t="s">
        <v>13</v>
      </c>
      <c r="K763" t="str">
        <f>"98371"</f>
        <v>98371</v>
      </c>
      <c r="L763">
        <v>17</v>
      </c>
      <c r="M763">
        <v>17</v>
      </c>
      <c r="N763">
        <v>0</v>
      </c>
    </row>
    <row r="764" spans="1:14" x14ac:dyDescent="0.25">
      <c r="A764" t="s">
        <v>2187</v>
      </c>
      <c r="B764" t="s">
        <v>2188</v>
      </c>
      <c r="C764" t="s">
        <v>1100</v>
      </c>
      <c r="D764" t="s">
        <v>13</v>
      </c>
      <c r="E764" t="str">
        <f>"98390"</f>
        <v>98390</v>
      </c>
      <c r="F764" t="s">
        <v>73</v>
      </c>
      <c r="G764" t="s">
        <v>2189</v>
      </c>
      <c r="I764" t="s">
        <v>2190</v>
      </c>
      <c r="J764" t="s">
        <v>13</v>
      </c>
      <c r="K764" t="str">
        <f>"98075"</f>
        <v>98075</v>
      </c>
      <c r="L764">
        <v>42</v>
      </c>
      <c r="M764">
        <v>42</v>
      </c>
      <c r="N764">
        <v>0</v>
      </c>
    </row>
    <row r="765" spans="1:14" x14ac:dyDescent="0.25">
      <c r="A765" t="s">
        <v>3983</v>
      </c>
      <c r="B765" t="s">
        <v>3984</v>
      </c>
      <c r="C765" t="s">
        <v>146</v>
      </c>
      <c r="D765" t="s">
        <v>13</v>
      </c>
      <c r="E765" t="str">
        <f>"98317"</f>
        <v>98317</v>
      </c>
      <c r="F765" t="s">
        <v>73</v>
      </c>
      <c r="G765" t="s">
        <v>3985</v>
      </c>
      <c r="I765" t="s">
        <v>146</v>
      </c>
      <c r="J765" t="s">
        <v>13</v>
      </c>
      <c r="K765" t="str">
        <f>"98371"</f>
        <v>98371</v>
      </c>
      <c r="L765">
        <v>44</v>
      </c>
      <c r="M765">
        <v>37</v>
      </c>
      <c r="N765">
        <v>7</v>
      </c>
    </row>
    <row r="766" spans="1:14" x14ac:dyDescent="0.25">
      <c r="A766" t="s">
        <v>2062</v>
      </c>
      <c r="B766" t="s">
        <v>2063</v>
      </c>
      <c r="C766" t="s">
        <v>159</v>
      </c>
      <c r="D766" t="s">
        <v>13</v>
      </c>
      <c r="E766" t="str">
        <f>"98387"</f>
        <v>98387</v>
      </c>
      <c r="F766" t="s">
        <v>73</v>
      </c>
      <c r="G766" t="s">
        <v>2064</v>
      </c>
      <c r="I766" t="s">
        <v>159</v>
      </c>
      <c r="J766" t="s">
        <v>13</v>
      </c>
      <c r="K766" t="str">
        <f>"98387"</f>
        <v>98387</v>
      </c>
      <c r="L766">
        <v>48</v>
      </c>
      <c r="M766">
        <v>48</v>
      </c>
      <c r="N766">
        <v>0</v>
      </c>
    </row>
    <row r="767" spans="1:14" x14ac:dyDescent="0.25">
      <c r="A767" t="s">
        <v>3360</v>
      </c>
      <c r="B767" t="s">
        <v>3361</v>
      </c>
      <c r="C767" t="s">
        <v>725</v>
      </c>
      <c r="D767" t="s">
        <v>13</v>
      </c>
      <c r="E767" t="str">
        <f>"98338"</f>
        <v>98338</v>
      </c>
      <c r="F767" t="s">
        <v>73</v>
      </c>
      <c r="G767" t="s">
        <v>3362</v>
      </c>
      <c r="I767" t="s">
        <v>725</v>
      </c>
      <c r="J767" t="s">
        <v>13</v>
      </c>
      <c r="K767" t="str">
        <f>"98338"</f>
        <v>98338</v>
      </c>
      <c r="L767">
        <v>35</v>
      </c>
      <c r="M767">
        <v>32</v>
      </c>
      <c r="N767">
        <v>3</v>
      </c>
    </row>
    <row r="768" spans="1:14" x14ac:dyDescent="0.25">
      <c r="A768" t="s">
        <v>2749</v>
      </c>
      <c r="B768" t="s">
        <v>2750</v>
      </c>
      <c r="C768" t="s">
        <v>72</v>
      </c>
      <c r="D768" t="s">
        <v>13</v>
      </c>
      <c r="E768" t="str">
        <f>"98409"</f>
        <v>98409</v>
      </c>
      <c r="F768" t="s">
        <v>73</v>
      </c>
      <c r="G768" t="s">
        <v>2751</v>
      </c>
      <c r="I768" t="s">
        <v>72</v>
      </c>
      <c r="J768" t="s">
        <v>13</v>
      </c>
      <c r="K768" t="str">
        <f>"98409"</f>
        <v>98409</v>
      </c>
      <c r="L768">
        <v>20</v>
      </c>
      <c r="M768">
        <v>20</v>
      </c>
      <c r="N768">
        <v>0</v>
      </c>
    </row>
    <row r="769" spans="1:14" x14ac:dyDescent="0.25">
      <c r="A769" t="s">
        <v>2971</v>
      </c>
      <c r="B769" t="s">
        <v>2972</v>
      </c>
      <c r="C769" t="s">
        <v>536</v>
      </c>
      <c r="D769" t="s">
        <v>13</v>
      </c>
      <c r="E769" t="str">
        <f>"98499"</f>
        <v>98499</v>
      </c>
      <c r="F769" t="s">
        <v>73</v>
      </c>
      <c r="G769" t="s">
        <v>2252</v>
      </c>
      <c r="I769" t="s">
        <v>536</v>
      </c>
      <c r="J769" t="s">
        <v>13</v>
      </c>
      <c r="K769" t="str">
        <f>"98496"</f>
        <v>98496</v>
      </c>
      <c r="L769">
        <v>60</v>
      </c>
      <c r="M769">
        <v>60</v>
      </c>
      <c r="N769">
        <v>0</v>
      </c>
    </row>
    <row r="770" spans="1:14" x14ac:dyDescent="0.25">
      <c r="A770" t="s">
        <v>3400</v>
      </c>
      <c r="B770" t="s">
        <v>3401</v>
      </c>
      <c r="C770" t="s">
        <v>72</v>
      </c>
      <c r="D770" t="s">
        <v>13</v>
      </c>
      <c r="E770" t="str">
        <f>"98444"</f>
        <v>98444</v>
      </c>
      <c r="F770" t="s">
        <v>73</v>
      </c>
      <c r="G770" t="s">
        <v>3402</v>
      </c>
      <c r="I770" t="s">
        <v>1616</v>
      </c>
      <c r="J770" t="s">
        <v>821</v>
      </c>
      <c r="K770" t="str">
        <f>"97501"</f>
        <v>97501</v>
      </c>
      <c r="L770">
        <v>23</v>
      </c>
      <c r="M770">
        <v>23</v>
      </c>
      <c r="N770">
        <v>0</v>
      </c>
    </row>
    <row r="771" spans="1:14" x14ac:dyDescent="0.25">
      <c r="A771" t="s">
        <v>1857</v>
      </c>
      <c r="B771" t="s">
        <v>1858</v>
      </c>
      <c r="C771" t="s">
        <v>146</v>
      </c>
      <c r="D771" t="s">
        <v>13</v>
      </c>
      <c r="E771" t="str">
        <f>"98075"</f>
        <v>98075</v>
      </c>
      <c r="F771" t="s">
        <v>73</v>
      </c>
      <c r="G771" t="s">
        <v>1698</v>
      </c>
      <c r="I771" t="s">
        <v>605</v>
      </c>
      <c r="J771" t="s">
        <v>13</v>
      </c>
      <c r="K771" t="str">
        <f>"98005"</f>
        <v>98005</v>
      </c>
      <c r="L771">
        <v>30</v>
      </c>
      <c r="M771">
        <v>30</v>
      </c>
      <c r="N771">
        <v>0</v>
      </c>
    </row>
    <row r="772" spans="1:14" x14ac:dyDescent="0.25">
      <c r="A772" t="s">
        <v>2724</v>
      </c>
      <c r="B772" t="s">
        <v>2725</v>
      </c>
      <c r="C772" t="s">
        <v>146</v>
      </c>
      <c r="D772" t="s">
        <v>13</v>
      </c>
      <c r="E772" t="str">
        <f>"98375"</f>
        <v>98375</v>
      </c>
      <c r="F772" t="s">
        <v>73</v>
      </c>
      <c r="G772" t="s">
        <v>2726</v>
      </c>
      <c r="I772" t="s">
        <v>146</v>
      </c>
      <c r="J772" t="s">
        <v>13</v>
      </c>
      <c r="K772" t="str">
        <f>"98371"</f>
        <v>98371</v>
      </c>
      <c r="L772">
        <v>19</v>
      </c>
      <c r="M772">
        <v>19</v>
      </c>
      <c r="N772">
        <v>0</v>
      </c>
    </row>
    <row r="773" spans="1:14" x14ac:dyDescent="0.25">
      <c r="A773" t="s">
        <v>2402</v>
      </c>
      <c r="B773" t="s">
        <v>2403</v>
      </c>
      <c r="C773" t="s">
        <v>507</v>
      </c>
      <c r="D773" t="s">
        <v>13</v>
      </c>
      <c r="E773" t="str">
        <f>"98391"</f>
        <v>98391</v>
      </c>
      <c r="F773" t="s">
        <v>73</v>
      </c>
      <c r="G773" t="s">
        <v>2061</v>
      </c>
      <c r="I773" t="s">
        <v>507</v>
      </c>
      <c r="J773" t="s">
        <v>13</v>
      </c>
      <c r="K773" t="str">
        <f>"98391"</f>
        <v>98391</v>
      </c>
      <c r="L773">
        <v>29</v>
      </c>
      <c r="M773">
        <v>23</v>
      </c>
      <c r="N773">
        <v>6</v>
      </c>
    </row>
    <row r="774" spans="1:14" x14ac:dyDescent="0.25">
      <c r="A774" t="s">
        <v>1507</v>
      </c>
      <c r="B774" t="s">
        <v>1508</v>
      </c>
      <c r="C774" t="s">
        <v>72</v>
      </c>
      <c r="D774" t="s">
        <v>13</v>
      </c>
      <c r="E774" t="str">
        <f>"98444"</f>
        <v>98444</v>
      </c>
      <c r="F774" t="s">
        <v>73</v>
      </c>
      <c r="G774" t="s">
        <v>1509</v>
      </c>
      <c r="I774" t="s">
        <v>1484</v>
      </c>
      <c r="J774" t="s">
        <v>13</v>
      </c>
      <c r="K774" t="str">
        <f>"98033"</f>
        <v>98033</v>
      </c>
      <c r="L774">
        <v>21</v>
      </c>
      <c r="M774">
        <v>18</v>
      </c>
      <c r="N774">
        <v>3</v>
      </c>
    </row>
    <row r="775" spans="1:14" x14ac:dyDescent="0.25">
      <c r="A775" t="s">
        <v>709</v>
      </c>
      <c r="B775" t="s">
        <v>710</v>
      </c>
      <c r="C775" t="s">
        <v>159</v>
      </c>
      <c r="D775" t="s">
        <v>13</v>
      </c>
      <c r="E775" t="str">
        <f>"98387"</f>
        <v>98387</v>
      </c>
      <c r="F775" t="s">
        <v>73</v>
      </c>
      <c r="G775" t="s">
        <v>711</v>
      </c>
      <c r="I775" t="s">
        <v>146</v>
      </c>
      <c r="J775" t="s">
        <v>13</v>
      </c>
      <c r="K775" t="str">
        <f>"98371"</f>
        <v>98371</v>
      </c>
      <c r="L775">
        <v>10</v>
      </c>
      <c r="M775">
        <v>1</v>
      </c>
      <c r="N775">
        <v>9</v>
      </c>
    </row>
    <row r="776" spans="1:14" x14ac:dyDescent="0.25">
      <c r="A776" t="s">
        <v>2676</v>
      </c>
      <c r="B776" t="s">
        <v>2677</v>
      </c>
      <c r="C776" t="s">
        <v>536</v>
      </c>
      <c r="D776" t="s">
        <v>13</v>
      </c>
      <c r="E776" t="str">
        <f>"98499"</f>
        <v>98499</v>
      </c>
      <c r="F776" t="s">
        <v>73</v>
      </c>
      <c r="G776" t="s">
        <v>2318</v>
      </c>
      <c r="I776" t="s">
        <v>890</v>
      </c>
      <c r="J776" t="s">
        <v>821</v>
      </c>
      <c r="K776" t="str">
        <f>"97218"</f>
        <v>97218</v>
      </c>
      <c r="L776">
        <v>51</v>
      </c>
      <c r="M776">
        <v>51</v>
      </c>
      <c r="N776">
        <v>0</v>
      </c>
    </row>
    <row r="777" spans="1:14" x14ac:dyDescent="0.25">
      <c r="A777" t="s">
        <v>2008</v>
      </c>
      <c r="B777" t="s">
        <v>2009</v>
      </c>
      <c r="C777" t="s">
        <v>159</v>
      </c>
      <c r="D777" t="s">
        <v>13</v>
      </c>
      <c r="E777" t="str">
        <f>"98387"</f>
        <v>98387</v>
      </c>
      <c r="F777" t="s">
        <v>73</v>
      </c>
      <c r="G777" t="s">
        <v>2010</v>
      </c>
      <c r="H777" t="s">
        <v>1698</v>
      </c>
      <c r="I777" t="s">
        <v>605</v>
      </c>
      <c r="J777" t="s">
        <v>13</v>
      </c>
      <c r="K777" t="str">
        <f>"98005"</f>
        <v>98005</v>
      </c>
      <c r="L777">
        <v>30</v>
      </c>
      <c r="M777">
        <v>30</v>
      </c>
      <c r="N777">
        <v>0</v>
      </c>
    </row>
    <row r="778" spans="1:14" x14ac:dyDescent="0.25">
      <c r="A778" t="s">
        <v>3461</v>
      </c>
      <c r="B778" t="s">
        <v>3462</v>
      </c>
      <c r="C778" t="s">
        <v>536</v>
      </c>
      <c r="D778" t="s">
        <v>13</v>
      </c>
      <c r="E778" t="str">
        <f>"98499"</f>
        <v>98499</v>
      </c>
      <c r="F778" t="s">
        <v>73</v>
      </c>
      <c r="G778" t="s">
        <v>111</v>
      </c>
      <c r="I778" t="s">
        <v>107</v>
      </c>
      <c r="J778" t="s">
        <v>13</v>
      </c>
      <c r="K778" t="str">
        <f>"98105"</f>
        <v>98105</v>
      </c>
      <c r="L778">
        <v>49</v>
      </c>
      <c r="M778">
        <v>22</v>
      </c>
      <c r="N778">
        <v>27</v>
      </c>
    </row>
    <row r="779" spans="1:14" x14ac:dyDescent="0.25">
      <c r="A779" t="s">
        <v>1006</v>
      </c>
      <c r="B779" t="s">
        <v>1007</v>
      </c>
      <c r="C779" t="s">
        <v>72</v>
      </c>
      <c r="D779" t="s">
        <v>13</v>
      </c>
      <c r="E779" t="str">
        <f>"98445"</f>
        <v>98445</v>
      </c>
      <c r="F779" t="s">
        <v>73</v>
      </c>
      <c r="G779" t="s">
        <v>1008</v>
      </c>
      <c r="I779" t="s">
        <v>1009</v>
      </c>
      <c r="J779" t="s">
        <v>13</v>
      </c>
      <c r="K779" t="str">
        <f>"98025"</f>
        <v>98025</v>
      </c>
      <c r="L779">
        <v>102</v>
      </c>
      <c r="M779">
        <v>98</v>
      </c>
      <c r="N779">
        <v>4</v>
      </c>
    </row>
    <row r="780" spans="1:14" x14ac:dyDescent="0.25">
      <c r="A780" t="s">
        <v>3864</v>
      </c>
      <c r="B780" t="s">
        <v>3865</v>
      </c>
      <c r="C780" t="s">
        <v>146</v>
      </c>
      <c r="D780" t="s">
        <v>13</v>
      </c>
      <c r="E780" t="str">
        <f>"98375"</f>
        <v>98375</v>
      </c>
      <c r="F780" t="s">
        <v>73</v>
      </c>
      <c r="G780" t="s">
        <v>3114</v>
      </c>
      <c r="I780" t="s">
        <v>3866</v>
      </c>
      <c r="J780" t="s">
        <v>433</v>
      </c>
      <c r="K780" t="str">
        <f>"94019"</f>
        <v>94019</v>
      </c>
      <c r="L780">
        <v>11</v>
      </c>
      <c r="M780">
        <v>11</v>
      </c>
      <c r="N780">
        <v>0</v>
      </c>
    </row>
    <row r="781" spans="1:14" x14ac:dyDescent="0.25">
      <c r="A781" t="s">
        <v>2612</v>
      </c>
      <c r="B781" t="s">
        <v>2613</v>
      </c>
      <c r="C781" t="s">
        <v>725</v>
      </c>
      <c r="D781" t="s">
        <v>13</v>
      </c>
      <c r="E781" t="str">
        <f>"98338"</f>
        <v>98338</v>
      </c>
      <c r="F781" t="s">
        <v>73</v>
      </c>
      <c r="G781" t="s">
        <v>111</v>
      </c>
      <c r="I781" t="s">
        <v>107</v>
      </c>
      <c r="J781" t="s">
        <v>13</v>
      </c>
      <c r="K781" t="str">
        <f>"98105"</f>
        <v>98105</v>
      </c>
      <c r="L781">
        <v>54</v>
      </c>
      <c r="M781">
        <v>49</v>
      </c>
      <c r="N781">
        <v>5</v>
      </c>
    </row>
    <row r="782" spans="1:14" x14ac:dyDescent="0.25">
      <c r="A782" t="s">
        <v>920</v>
      </c>
      <c r="B782" t="s">
        <v>921</v>
      </c>
      <c r="C782" t="s">
        <v>72</v>
      </c>
      <c r="D782" t="s">
        <v>13</v>
      </c>
      <c r="E782" t="str">
        <f>"98445"</f>
        <v>98445</v>
      </c>
      <c r="F782" t="s">
        <v>73</v>
      </c>
      <c r="G782" t="s">
        <v>922</v>
      </c>
      <c r="I782" t="s">
        <v>12</v>
      </c>
      <c r="J782" t="s">
        <v>13</v>
      </c>
      <c r="K782" t="str">
        <f>"98037"</f>
        <v>98037</v>
      </c>
      <c r="L782">
        <v>31</v>
      </c>
      <c r="M782">
        <v>31</v>
      </c>
      <c r="N782">
        <v>0</v>
      </c>
    </row>
    <row r="783" spans="1:14" x14ac:dyDescent="0.25">
      <c r="A783" t="s">
        <v>1562</v>
      </c>
      <c r="B783" t="s">
        <v>1563</v>
      </c>
      <c r="C783" t="s">
        <v>725</v>
      </c>
      <c r="D783" t="s">
        <v>13</v>
      </c>
      <c r="E783" t="str">
        <f>"98338"</f>
        <v>98338</v>
      </c>
      <c r="F783" t="s">
        <v>73</v>
      </c>
      <c r="G783" t="s">
        <v>1022</v>
      </c>
      <c r="I783" t="s">
        <v>561</v>
      </c>
      <c r="J783" t="s">
        <v>13</v>
      </c>
      <c r="K783" t="str">
        <f>"98028"</f>
        <v>98028</v>
      </c>
      <c r="L783">
        <v>88</v>
      </c>
      <c r="M783">
        <v>72</v>
      </c>
      <c r="N783">
        <v>16</v>
      </c>
    </row>
    <row r="784" spans="1:14" x14ac:dyDescent="0.25">
      <c r="A784" t="s">
        <v>1344</v>
      </c>
      <c r="B784" t="s">
        <v>1345</v>
      </c>
      <c r="C784" t="s">
        <v>146</v>
      </c>
      <c r="D784" t="s">
        <v>13</v>
      </c>
      <c r="E784" t="str">
        <f>"98372"</f>
        <v>98372</v>
      </c>
      <c r="F784" t="s">
        <v>73</v>
      </c>
      <c r="G784" t="s">
        <v>1342</v>
      </c>
      <c r="I784" t="s">
        <v>1343</v>
      </c>
      <c r="J784" t="s">
        <v>433</v>
      </c>
      <c r="K784" t="str">
        <f>"92626"</f>
        <v>92626</v>
      </c>
      <c r="L784">
        <v>176</v>
      </c>
      <c r="M784">
        <v>169</v>
      </c>
      <c r="N784">
        <v>7</v>
      </c>
    </row>
    <row r="785" spans="1:14" x14ac:dyDescent="0.25">
      <c r="A785" t="s">
        <v>2646</v>
      </c>
      <c r="B785" t="s">
        <v>2647</v>
      </c>
      <c r="C785" t="s">
        <v>2648</v>
      </c>
      <c r="D785" t="s">
        <v>13</v>
      </c>
      <c r="E785" t="str">
        <f>"98321"</f>
        <v>98321</v>
      </c>
      <c r="F785" t="s">
        <v>73</v>
      </c>
      <c r="G785" t="s">
        <v>2073</v>
      </c>
      <c r="I785" t="s">
        <v>1522</v>
      </c>
      <c r="J785" t="s">
        <v>433</v>
      </c>
      <c r="K785" t="str">
        <f>"92612"</f>
        <v>92612</v>
      </c>
      <c r="L785">
        <v>96</v>
      </c>
      <c r="M785">
        <v>90</v>
      </c>
      <c r="N785">
        <v>6</v>
      </c>
    </row>
    <row r="786" spans="1:14" x14ac:dyDescent="0.25">
      <c r="A786" t="s">
        <v>2404</v>
      </c>
      <c r="B786" t="s">
        <v>2405</v>
      </c>
      <c r="C786" t="s">
        <v>72</v>
      </c>
      <c r="D786" t="s">
        <v>13</v>
      </c>
      <c r="E786" t="str">
        <f>"98404"</f>
        <v>98404</v>
      </c>
      <c r="F786" t="s">
        <v>73</v>
      </c>
      <c r="G786" t="s">
        <v>2406</v>
      </c>
      <c r="I786" t="s">
        <v>2407</v>
      </c>
      <c r="J786" t="s">
        <v>2408</v>
      </c>
      <c r="K786" t="str">
        <f>"45237"</f>
        <v>45237</v>
      </c>
      <c r="L786">
        <v>59</v>
      </c>
      <c r="M786">
        <v>4</v>
      </c>
      <c r="N786">
        <v>55</v>
      </c>
    </row>
    <row r="787" spans="1:14" x14ac:dyDescent="0.25">
      <c r="A787" t="s">
        <v>3686</v>
      </c>
      <c r="B787" t="s">
        <v>3687</v>
      </c>
      <c r="C787" t="s">
        <v>725</v>
      </c>
      <c r="D787" t="s">
        <v>13</v>
      </c>
      <c r="E787" t="str">
        <f>"98338"</f>
        <v>98338</v>
      </c>
      <c r="F787" t="s">
        <v>73</v>
      </c>
      <c r="G787" t="s">
        <v>2534</v>
      </c>
      <c r="I787" t="s">
        <v>72</v>
      </c>
      <c r="J787" t="s">
        <v>13</v>
      </c>
      <c r="K787" t="str">
        <f>"98417"</f>
        <v>98417</v>
      </c>
      <c r="L787">
        <v>33</v>
      </c>
      <c r="M787">
        <v>24</v>
      </c>
      <c r="N787">
        <v>9</v>
      </c>
    </row>
    <row r="788" spans="1:14" x14ac:dyDescent="0.25">
      <c r="A788" t="s">
        <v>1333</v>
      </c>
      <c r="B788" t="s">
        <v>1334</v>
      </c>
      <c r="C788" t="s">
        <v>72</v>
      </c>
      <c r="D788" t="s">
        <v>13</v>
      </c>
      <c r="E788" t="str">
        <f>"98444"</f>
        <v>98444</v>
      </c>
      <c r="F788" t="s">
        <v>73</v>
      </c>
      <c r="G788" t="s">
        <v>1335</v>
      </c>
      <c r="I788" t="s">
        <v>148</v>
      </c>
      <c r="J788" t="s">
        <v>13</v>
      </c>
      <c r="K788" t="str">
        <f>"98335"</f>
        <v>98335</v>
      </c>
      <c r="L788">
        <v>18</v>
      </c>
      <c r="M788">
        <v>14</v>
      </c>
      <c r="N788">
        <v>4</v>
      </c>
    </row>
    <row r="789" spans="1:14" x14ac:dyDescent="0.25">
      <c r="A789" t="s">
        <v>769</v>
      </c>
      <c r="B789" t="s">
        <v>770</v>
      </c>
      <c r="C789" t="s">
        <v>72</v>
      </c>
      <c r="D789" t="s">
        <v>13</v>
      </c>
      <c r="E789" t="str">
        <f>"98444"</f>
        <v>98444</v>
      </c>
      <c r="F789" t="s">
        <v>73</v>
      </c>
      <c r="G789" t="s">
        <v>771</v>
      </c>
      <c r="H789" t="s">
        <v>772</v>
      </c>
      <c r="I789" t="s">
        <v>146</v>
      </c>
      <c r="J789" t="s">
        <v>13</v>
      </c>
      <c r="K789" t="str">
        <f>"98371"</f>
        <v>98371</v>
      </c>
      <c r="L789">
        <v>4</v>
      </c>
      <c r="M789">
        <v>4</v>
      </c>
      <c r="N789">
        <v>0</v>
      </c>
    </row>
    <row r="790" spans="1:14" x14ac:dyDescent="0.25">
      <c r="A790" t="s">
        <v>2236</v>
      </c>
      <c r="B790" t="s">
        <v>2237</v>
      </c>
      <c r="C790" t="s">
        <v>148</v>
      </c>
      <c r="D790" t="s">
        <v>13</v>
      </c>
      <c r="E790" t="str">
        <f>"98335"</f>
        <v>98335</v>
      </c>
      <c r="F790" t="s">
        <v>73</v>
      </c>
      <c r="G790" t="s">
        <v>2234</v>
      </c>
      <c r="I790" t="s">
        <v>2235</v>
      </c>
      <c r="J790" t="s">
        <v>13</v>
      </c>
      <c r="K790" t="str">
        <f>"98346"</f>
        <v>98346</v>
      </c>
      <c r="L790">
        <v>64</v>
      </c>
      <c r="M790">
        <v>62</v>
      </c>
      <c r="N790">
        <v>2</v>
      </c>
    </row>
    <row r="791" spans="1:14" x14ac:dyDescent="0.25">
      <c r="A791" t="s">
        <v>1492</v>
      </c>
      <c r="B791" t="s">
        <v>1493</v>
      </c>
      <c r="C791" t="s">
        <v>72</v>
      </c>
      <c r="D791" t="s">
        <v>13</v>
      </c>
      <c r="E791" t="str">
        <f>"98404"</f>
        <v>98404</v>
      </c>
      <c r="F791" t="s">
        <v>73</v>
      </c>
      <c r="G791" t="s">
        <v>1494</v>
      </c>
      <c r="I791" t="s">
        <v>200</v>
      </c>
      <c r="J791" t="s">
        <v>13</v>
      </c>
      <c r="K791" t="str">
        <f>"98166"</f>
        <v>98166</v>
      </c>
      <c r="L791">
        <v>46</v>
      </c>
      <c r="M791">
        <v>44</v>
      </c>
      <c r="N791">
        <v>2</v>
      </c>
    </row>
    <row r="792" spans="1:14" x14ac:dyDescent="0.25">
      <c r="A792" t="s">
        <v>1302</v>
      </c>
      <c r="B792" t="s">
        <v>1303</v>
      </c>
      <c r="C792" t="s">
        <v>146</v>
      </c>
      <c r="D792" t="s">
        <v>13</v>
      </c>
      <c r="E792" t="str">
        <f>"98371"</f>
        <v>98371</v>
      </c>
      <c r="F792" t="s">
        <v>73</v>
      </c>
      <c r="G792" t="s">
        <v>1304</v>
      </c>
      <c r="I792" t="s">
        <v>72</v>
      </c>
      <c r="J792" t="s">
        <v>13</v>
      </c>
      <c r="K792" t="str">
        <f>"98408"</f>
        <v>98408</v>
      </c>
      <c r="L792">
        <v>187</v>
      </c>
      <c r="M792">
        <v>187</v>
      </c>
      <c r="N792">
        <v>0</v>
      </c>
    </row>
    <row r="793" spans="1:14" x14ac:dyDescent="0.25">
      <c r="A793" t="s">
        <v>2662</v>
      </c>
      <c r="B793" t="s">
        <v>2663</v>
      </c>
      <c r="C793" t="s">
        <v>1891</v>
      </c>
      <c r="D793" t="s">
        <v>13</v>
      </c>
      <c r="E793" t="str">
        <f>"98354"</f>
        <v>98354</v>
      </c>
      <c r="F793" t="s">
        <v>73</v>
      </c>
      <c r="G793" t="s">
        <v>2664</v>
      </c>
      <c r="H793" t="s">
        <v>2665</v>
      </c>
      <c r="I793" t="s">
        <v>161</v>
      </c>
      <c r="J793" t="s">
        <v>13</v>
      </c>
      <c r="K793" t="str">
        <f>"98391"</f>
        <v>98391</v>
      </c>
      <c r="L793">
        <v>126</v>
      </c>
      <c r="M793">
        <v>126</v>
      </c>
      <c r="N793">
        <v>0</v>
      </c>
    </row>
    <row r="794" spans="1:14" x14ac:dyDescent="0.25">
      <c r="A794" t="s">
        <v>3995</v>
      </c>
      <c r="B794" t="s">
        <v>3996</v>
      </c>
      <c r="C794" t="s">
        <v>161</v>
      </c>
      <c r="D794" t="s">
        <v>13</v>
      </c>
      <c r="E794" t="str">
        <f>"98391"</f>
        <v>98391</v>
      </c>
      <c r="F794" t="s">
        <v>73</v>
      </c>
      <c r="G794" t="s">
        <v>3997</v>
      </c>
      <c r="I794" t="s">
        <v>297</v>
      </c>
      <c r="J794" t="s">
        <v>13</v>
      </c>
      <c r="K794" t="str">
        <f>"98071"</f>
        <v>98071</v>
      </c>
      <c r="L794">
        <v>9</v>
      </c>
      <c r="M794">
        <v>9</v>
      </c>
      <c r="N794">
        <v>0</v>
      </c>
    </row>
    <row r="795" spans="1:14" x14ac:dyDescent="0.25">
      <c r="A795" t="s">
        <v>2421</v>
      </c>
      <c r="B795" t="s">
        <v>2422</v>
      </c>
      <c r="C795" t="s">
        <v>146</v>
      </c>
      <c r="D795" t="s">
        <v>13</v>
      </c>
      <c r="E795" t="str">
        <f>"98375"</f>
        <v>98375</v>
      </c>
      <c r="F795" t="s">
        <v>73</v>
      </c>
      <c r="G795" t="s">
        <v>1521</v>
      </c>
      <c r="I795" t="s">
        <v>1522</v>
      </c>
      <c r="J795" t="s">
        <v>433</v>
      </c>
      <c r="K795" t="str">
        <f>"92614"</f>
        <v>92614</v>
      </c>
      <c r="L795">
        <v>195</v>
      </c>
      <c r="M795">
        <v>193</v>
      </c>
      <c r="N795">
        <v>2</v>
      </c>
    </row>
    <row r="796" spans="1:14" x14ac:dyDescent="0.25">
      <c r="A796" t="s">
        <v>1397</v>
      </c>
      <c r="B796" t="s">
        <v>1398</v>
      </c>
      <c r="C796" t="s">
        <v>148</v>
      </c>
      <c r="D796" t="s">
        <v>13</v>
      </c>
      <c r="E796" t="str">
        <f>"98332"</f>
        <v>98332</v>
      </c>
      <c r="F796" t="s">
        <v>73</v>
      </c>
      <c r="G796" t="s">
        <v>535</v>
      </c>
      <c r="I796" t="s">
        <v>536</v>
      </c>
      <c r="J796" t="s">
        <v>13</v>
      </c>
      <c r="K796" t="str">
        <f>"98499"</f>
        <v>98499</v>
      </c>
      <c r="L796">
        <v>63</v>
      </c>
      <c r="M796">
        <v>63</v>
      </c>
      <c r="N796">
        <v>0</v>
      </c>
    </row>
    <row r="797" spans="1:14" x14ac:dyDescent="0.25">
      <c r="A797" t="s">
        <v>2880</v>
      </c>
      <c r="B797" t="s">
        <v>2881</v>
      </c>
      <c r="C797" t="s">
        <v>951</v>
      </c>
      <c r="D797" t="s">
        <v>13</v>
      </c>
      <c r="E797" t="str">
        <f>"98424"</f>
        <v>98424</v>
      </c>
      <c r="F797" t="s">
        <v>73</v>
      </c>
      <c r="G797" t="s">
        <v>2882</v>
      </c>
      <c r="I797" t="s">
        <v>161</v>
      </c>
      <c r="J797" t="s">
        <v>13</v>
      </c>
      <c r="K797" t="str">
        <f>"98391"</f>
        <v>98391</v>
      </c>
      <c r="L797">
        <v>17</v>
      </c>
      <c r="M797">
        <v>17</v>
      </c>
      <c r="N797">
        <v>0</v>
      </c>
    </row>
    <row r="798" spans="1:14" x14ac:dyDescent="0.25">
      <c r="A798" t="s">
        <v>3876</v>
      </c>
      <c r="B798" t="s">
        <v>3877</v>
      </c>
      <c r="C798" t="s">
        <v>1100</v>
      </c>
      <c r="D798" t="s">
        <v>13</v>
      </c>
      <c r="E798" t="str">
        <f>"98390"</f>
        <v>98390</v>
      </c>
      <c r="F798" t="s">
        <v>73</v>
      </c>
      <c r="G798" t="s">
        <v>3878</v>
      </c>
      <c r="I798" t="s">
        <v>104</v>
      </c>
      <c r="J798" t="s">
        <v>13</v>
      </c>
      <c r="K798" t="str">
        <f>"98056"</f>
        <v>98056</v>
      </c>
      <c r="L798">
        <v>43</v>
      </c>
      <c r="M798">
        <v>5</v>
      </c>
      <c r="N798">
        <v>38</v>
      </c>
    </row>
    <row r="799" spans="1:14" x14ac:dyDescent="0.25">
      <c r="A799" t="s">
        <v>1556</v>
      </c>
      <c r="B799" t="s">
        <v>1557</v>
      </c>
      <c r="C799" t="s">
        <v>536</v>
      </c>
      <c r="D799" t="s">
        <v>13</v>
      </c>
      <c r="E799" t="str">
        <f>"98439"</f>
        <v>98439</v>
      </c>
      <c r="F799" t="s">
        <v>73</v>
      </c>
      <c r="G799" t="s">
        <v>1022</v>
      </c>
      <c r="I799" t="s">
        <v>561</v>
      </c>
      <c r="J799" t="s">
        <v>13</v>
      </c>
      <c r="K799" t="str">
        <f>"98028"</f>
        <v>98028</v>
      </c>
      <c r="L799">
        <v>43</v>
      </c>
      <c r="M799">
        <v>41</v>
      </c>
      <c r="N799">
        <v>2</v>
      </c>
    </row>
    <row r="800" spans="1:14" x14ac:dyDescent="0.25">
      <c r="A800" t="s">
        <v>911</v>
      </c>
      <c r="B800" t="s">
        <v>912</v>
      </c>
      <c r="C800" t="s">
        <v>146</v>
      </c>
      <c r="D800" t="s">
        <v>13</v>
      </c>
      <c r="E800" t="str">
        <f>"98373"</f>
        <v>98373</v>
      </c>
      <c r="F800" t="s">
        <v>73</v>
      </c>
      <c r="G800" t="s">
        <v>913</v>
      </c>
      <c r="I800" t="s">
        <v>159</v>
      </c>
      <c r="J800" t="s">
        <v>13</v>
      </c>
      <c r="K800" t="str">
        <f>"98387"</f>
        <v>98387</v>
      </c>
      <c r="L800">
        <v>4</v>
      </c>
      <c r="M800">
        <v>4</v>
      </c>
      <c r="N800">
        <v>0</v>
      </c>
    </row>
    <row r="801" spans="1:14" x14ac:dyDescent="0.25">
      <c r="A801" t="s">
        <v>3605</v>
      </c>
      <c r="B801" t="s">
        <v>3606</v>
      </c>
      <c r="C801" t="s">
        <v>725</v>
      </c>
      <c r="D801" t="s">
        <v>13</v>
      </c>
      <c r="E801" t="str">
        <f>"98338"</f>
        <v>98338</v>
      </c>
      <c r="F801" t="s">
        <v>73</v>
      </c>
      <c r="G801" t="s">
        <v>3607</v>
      </c>
      <c r="I801" t="s">
        <v>236</v>
      </c>
      <c r="J801" t="s">
        <v>13</v>
      </c>
      <c r="K801" t="str">
        <f>"98580"</f>
        <v>98580</v>
      </c>
      <c r="L801">
        <v>14</v>
      </c>
      <c r="M801">
        <v>2</v>
      </c>
      <c r="N801">
        <v>12</v>
      </c>
    </row>
    <row r="802" spans="1:14" x14ac:dyDescent="0.25">
      <c r="A802" t="s">
        <v>3397</v>
      </c>
      <c r="B802" t="s">
        <v>3398</v>
      </c>
      <c r="C802" t="s">
        <v>536</v>
      </c>
      <c r="D802" t="s">
        <v>13</v>
      </c>
      <c r="E802" t="str">
        <f>"98499"</f>
        <v>98499</v>
      </c>
      <c r="F802" t="s">
        <v>73</v>
      </c>
      <c r="G802" t="s">
        <v>3399</v>
      </c>
      <c r="I802" t="s">
        <v>681</v>
      </c>
      <c r="J802" t="s">
        <v>13</v>
      </c>
      <c r="K802" t="str">
        <f>"98003"</f>
        <v>98003</v>
      </c>
      <c r="L802">
        <v>38</v>
      </c>
      <c r="M802">
        <v>38</v>
      </c>
      <c r="N802">
        <v>0</v>
      </c>
    </row>
    <row r="803" spans="1:14" x14ac:dyDescent="0.25">
      <c r="A803" t="s">
        <v>192</v>
      </c>
      <c r="B803" t="s">
        <v>193</v>
      </c>
      <c r="C803" t="s">
        <v>194</v>
      </c>
      <c r="D803" t="s">
        <v>13</v>
      </c>
      <c r="E803" t="str">
        <f>"98349"</f>
        <v>98349</v>
      </c>
      <c r="F803" t="s">
        <v>73</v>
      </c>
      <c r="G803" t="s">
        <v>193</v>
      </c>
      <c r="I803" t="s">
        <v>194</v>
      </c>
      <c r="J803" t="s">
        <v>13</v>
      </c>
      <c r="K803" t="str">
        <f>"98349"</f>
        <v>98349</v>
      </c>
      <c r="L803">
        <v>11</v>
      </c>
      <c r="M803">
        <v>11</v>
      </c>
      <c r="N803">
        <v>0</v>
      </c>
    </row>
    <row r="804" spans="1:14" x14ac:dyDescent="0.25">
      <c r="A804" t="s">
        <v>3466</v>
      </c>
      <c r="B804" t="s">
        <v>3467</v>
      </c>
      <c r="C804" t="s">
        <v>161</v>
      </c>
      <c r="D804" t="s">
        <v>13</v>
      </c>
      <c r="E804" t="str">
        <f>"98391"</f>
        <v>98391</v>
      </c>
      <c r="F804" t="s">
        <v>73</v>
      </c>
      <c r="G804" t="s">
        <v>3468</v>
      </c>
      <c r="I804" t="s">
        <v>58</v>
      </c>
      <c r="J804" t="s">
        <v>13</v>
      </c>
      <c r="K804" t="str">
        <f>"98333"</f>
        <v>98333</v>
      </c>
      <c r="L804">
        <v>24</v>
      </c>
      <c r="M804">
        <v>24</v>
      </c>
      <c r="N804">
        <v>0</v>
      </c>
    </row>
    <row r="805" spans="1:14" x14ac:dyDescent="0.25">
      <c r="A805" t="s">
        <v>1538</v>
      </c>
      <c r="B805" t="s">
        <v>1539</v>
      </c>
      <c r="C805" t="s">
        <v>297</v>
      </c>
      <c r="D805" t="s">
        <v>13</v>
      </c>
      <c r="E805" t="str">
        <f>"98092"</f>
        <v>98092</v>
      </c>
      <c r="F805" t="s">
        <v>73</v>
      </c>
      <c r="G805" t="s">
        <v>1539</v>
      </c>
      <c r="I805" t="s">
        <v>297</v>
      </c>
      <c r="J805" t="s">
        <v>13</v>
      </c>
      <c r="K805" t="str">
        <f>"98092"</f>
        <v>98092</v>
      </c>
      <c r="L805">
        <v>13</v>
      </c>
      <c r="M805">
        <v>12</v>
      </c>
      <c r="N805">
        <v>1</v>
      </c>
    </row>
    <row r="806" spans="1:14" x14ac:dyDescent="0.25">
      <c r="A806" t="s">
        <v>2579</v>
      </c>
      <c r="B806" t="s">
        <v>2580</v>
      </c>
      <c r="C806" t="s">
        <v>72</v>
      </c>
      <c r="D806" t="s">
        <v>13</v>
      </c>
      <c r="E806" t="str">
        <f>"98444"</f>
        <v>98444</v>
      </c>
      <c r="F806" t="s">
        <v>73</v>
      </c>
      <c r="G806" t="s">
        <v>1853</v>
      </c>
      <c r="I806" t="s">
        <v>1646</v>
      </c>
      <c r="J806" t="s">
        <v>13</v>
      </c>
      <c r="K806" t="str">
        <f>"98936"</f>
        <v>98936</v>
      </c>
      <c r="L806">
        <v>37</v>
      </c>
      <c r="M806">
        <v>37</v>
      </c>
      <c r="N806">
        <v>0</v>
      </c>
    </row>
    <row r="807" spans="1:14" x14ac:dyDescent="0.25">
      <c r="A807" t="s">
        <v>4057</v>
      </c>
      <c r="B807" t="s">
        <v>2580</v>
      </c>
      <c r="C807" t="s">
        <v>72</v>
      </c>
      <c r="D807" t="s">
        <v>13</v>
      </c>
      <c r="E807" t="str">
        <f>"98444"</f>
        <v>98444</v>
      </c>
      <c r="F807" t="s">
        <v>73</v>
      </c>
      <c r="G807" t="s">
        <v>2583</v>
      </c>
      <c r="I807" t="s">
        <v>283</v>
      </c>
      <c r="J807" t="s">
        <v>13</v>
      </c>
      <c r="K807" t="str">
        <f>"99350"</f>
        <v>99350</v>
      </c>
      <c r="L807">
        <v>37</v>
      </c>
      <c r="M807">
        <v>37</v>
      </c>
      <c r="N807">
        <v>0</v>
      </c>
    </row>
    <row r="808" spans="1:14" x14ac:dyDescent="0.25">
      <c r="A808" t="s">
        <v>2456</v>
      </c>
      <c r="B808" t="s">
        <v>2457</v>
      </c>
      <c r="C808" t="s">
        <v>297</v>
      </c>
      <c r="D808" t="s">
        <v>13</v>
      </c>
      <c r="E808" t="str">
        <f>"98002"</f>
        <v>98002</v>
      </c>
      <c r="F808" t="s">
        <v>73</v>
      </c>
      <c r="G808" t="s">
        <v>2458</v>
      </c>
      <c r="I808" t="s">
        <v>107</v>
      </c>
      <c r="J808" t="s">
        <v>13</v>
      </c>
      <c r="K808" t="str">
        <f>"98177"</f>
        <v>98177</v>
      </c>
      <c r="L808">
        <v>39</v>
      </c>
      <c r="M808">
        <v>39</v>
      </c>
      <c r="N808">
        <v>0</v>
      </c>
    </row>
    <row r="809" spans="1:14" x14ac:dyDescent="0.25">
      <c r="A809" t="s">
        <v>914</v>
      </c>
      <c r="B809" t="s">
        <v>915</v>
      </c>
      <c r="C809" t="s">
        <v>725</v>
      </c>
      <c r="D809" t="s">
        <v>13</v>
      </c>
      <c r="E809" t="str">
        <f>"98338"</f>
        <v>98338</v>
      </c>
      <c r="F809" t="s">
        <v>73</v>
      </c>
      <c r="G809" t="s">
        <v>916</v>
      </c>
      <c r="I809" t="s">
        <v>159</v>
      </c>
      <c r="J809" t="s">
        <v>13</v>
      </c>
      <c r="K809" t="str">
        <f>"98387"</f>
        <v>98387</v>
      </c>
      <c r="L809">
        <v>17</v>
      </c>
      <c r="M809">
        <v>17</v>
      </c>
      <c r="N809">
        <v>0</v>
      </c>
    </row>
    <row r="810" spans="1:14" x14ac:dyDescent="0.25">
      <c r="A810" t="s">
        <v>3116</v>
      </c>
      <c r="B810" t="s">
        <v>3117</v>
      </c>
      <c r="C810" t="s">
        <v>236</v>
      </c>
      <c r="D810" t="s">
        <v>13</v>
      </c>
      <c r="E810" t="str">
        <f>"98580"</f>
        <v>98580</v>
      </c>
      <c r="F810" t="s">
        <v>73</v>
      </c>
      <c r="G810" t="s">
        <v>3118</v>
      </c>
      <c r="I810" t="s">
        <v>3119</v>
      </c>
      <c r="J810" t="s">
        <v>13</v>
      </c>
      <c r="K810" t="str">
        <f>"98558"</f>
        <v>98558</v>
      </c>
      <c r="L810">
        <v>34</v>
      </c>
      <c r="M810">
        <v>2</v>
      </c>
      <c r="N810">
        <v>32</v>
      </c>
    </row>
    <row r="811" spans="1:14" x14ac:dyDescent="0.25">
      <c r="A811" t="s">
        <v>1717</v>
      </c>
      <c r="B811" t="s">
        <v>1718</v>
      </c>
      <c r="C811" t="s">
        <v>146</v>
      </c>
      <c r="D811" t="s">
        <v>13</v>
      </c>
      <c r="E811" t="str">
        <f>"98372"</f>
        <v>98372</v>
      </c>
      <c r="F811" t="s">
        <v>73</v>
      </c>
      <c r="G811" t="s">
        <v>1719</v>
      </c>
      <c r="I811" t="s">
        <v>232</v>
      </c>
      <c r="J811" t="s">
        <v>13</v>
      </c>
      <c r="K811" t="str">
        <f>"98012"</f>
        <v>98012</v>
      </c>
      <c r="L811">
        <v>51</v>
      </c>
      <c r="M811">
        <v>51</v>
      </c>
      <c r="N811">
        <v>0</v>
      </c>
    </row>
    <row r="812" spans="1:14" x14ac:dyDescent="0.25">
      <c r="A812" t="s">
        <v>2921</v>
      </c>
      <c r="B812" t="s">
        <v>2922</v>
      </c>
      <c r="C812" t="s">
        <v>159</v>
      </c>
      <c r="D812" t="s">
        <v>13</v>
      </c>
      <c r="E812" t="str">
        <f>"98387"</f>
        <v>98387</v>
      </c>
      <c r="F812" t="s">
        <v>73</v>
      </c>
      <c r="G812" t="s">
        <v>2923</v>
      </c>
      <c r="I812" t="s">
        <v>107</v>
      </c>
      <c r="J812" t="s">
        <v>13</v>
      </c>
      <c r="K812" t="str">
        <f>"98109"</f>
        <v>98109</v>
      </c>
      <c r="L812">
        <v>105</v>
      </c>
      <c r="M812">
        <v>102</v>
      </c>
      <c r="N812">
        <v>3</v>
      </c>
    </row>
    <row r="813" spans="1:14" x14ac:dyDescent="0.25">
      <c r="A813" t="s">
        <v>387</v>
      </c>
      <c r="B813" t="s">
        <v>388</v>
      </c>
      <c r="C813" t="s">
        <v>146</v>
      </c>
      <c r="D813" t="s">
        <v>13</v>
      </c>
      <c r="E813" t="str">
        <f>"98371"</f>
        <v>98371</v>
      </c>
      <c r="F813" t="s">
        <v>73</v>
      </c>
      <c r="G813" t="s">
        <v>389</v>
      </c>
      <c r="I813" t="s">
        <v>146</v>
      </c>
      <c r="J813" t="s">
        <v>13</v>
      </c>
      <c r="K813" t="str">
        <f>"98371"</f>
        <v>98371</v>
      </c>
      <c r="L813">
        <v>64</v>
      </c>
      <c r="M813">
        <v>64</v>
      </c>
      <c r="N813">
        <v>0</v>
      </c>
    </row>
    <row r="814" spans="1:14" x14ac:dyDescent="0.25">
      <c r="A814" t="s">
        <v>1756</v>
      </c>
      <c r="B814" t="s">
        <v>1757</v>
      </c>
      <c r="C814" t="s">
        <v>236</v>
      </c>
      <c r="D814" t="s">
        <v>13</v>
      </c>
      <c r="E814" t="str">
        <f>"98580"</f>
        <v>98580</v>
      </c>
      <c r="F814" t="s">
        <v>73</v>
      </c>
      <c r="G814" t="s">
        <v>1158</v>
      </c>
      <c r="I814" t="s">
        <v>678</v>
      </c>
      <c r="J814" t="s">
        <v>13</v>
      </c>
      <c r="K814" t="str">
        <f>"98501"</f>
        <v>98501</v>
      </c>
      <c r="L814">
        <v>29</v>
      </c>
      <c r="M814">
        <v>29</v>
      </c>
      <c r="N814">
        <v>0</v>
      </c>
    </row>
    <row r="815" spans="1:14" x14ac:dyDescent="0.25">
      <c r="A815" t="s">
        <v>1255</v>
      </c>
      <c r="B815" t="s">
        <v>1256</v>
      </c>
      <c r="C815" t="s">
        <v>72</v>
      </c>
      <c r="D815" t="s">
        <v>13</v>
      </c>
      <c r="E815" t="str">
        <f>"98443"</f>
        <v>98443</v>
      </c>
      <c r="F815" t="s">
        <v>73</v>
      </c>
      <c r="G815" t="s">
        <v>1256</v>
      </c>
      <c r="I815" t="s">
        <v>72</v>
      </c>
      <c r="J815" t="s">
        <v>13</v>
      </c>
      <c r="K815" t="str">
        <f>"98443"</f>
        <v>98443</v>
      </c>
      <c r="L815">
        <v>12</v>
      </c>
      <c r="M815">
        <v>12</v>
      </c>
      <c r="N815">
        <v>0</v>
      </c>
    </row>
    <row r="816" spans="1:14" x14ac:dyDescent="0.25">
      <c r="A816" t="s">
        <v>851</v>
      </c>
      <c r="B816" t="s">
        <v>852</v>
      </c>
      <c r="C816" t="s">
        <v>536</v>
      </c>
      <c r="D816" t="s">
        <v>13</v>
      </c>
      <c r="E816" t="str">
        <f>"98499"</f>
        <v>98499</v>
      </c>
      <c r="F816" t="s">
        <v>73</v>
      </c>
      <c r="G816" t="s">
        <v>853</v>
      </c>
      <c r="I816" t="s">
        <v>72</v>
      </c>
      <c r="J816" t="s">
        <v>13</v>
      </c>
      <c r="K816" t="str">
        <f>"98405"</f>
        <v>98405</v>
      </c>
      <c r="L816">
        <v>24</v>
      </c>
      <c r="M816">
        <v>4</v>
      </c>
      <c r="N816">
        <v>20</v>
      </c>
    </row>
    <row r="817" spans="1:14" x14ac:dyDescent="0.25">
      <c r="A817" t="s">
        <v>4044</v>
      </c>
      <c r="B817" t="s">
        <v>4045</v>
      </c>
      <c r="C817" t="s">
        <v>2648</v>
      </c>
      <c r="D817" t="s">
        <v>13</v>
      </c>
      <c r="E817" t="str">
        <f>"98321"</f>
        <v>98321</v>
      </c>
      <c r="F817" t="s">
        <v>73</v>
      </c>
      <c r="G817" t="s">
        <v>4046</v>
      </c>
      <c r="I817" t="s">
        <v>501</v>
      </c>
      <c r="J817" t="s">
        <v>13</v>
      </c>
      <c r="K817" t="str">
        <f>"98052"</f>
        <v>98052</v>
      </c>
      <c r="L817">
        <v>66</v>
      </c>
      <c r="M817">
        <v>66</v>
      </c>
      <c r="N817">
        <v>0</v>
      </c>
    </row>
    <row r="818" spans="1:14" x14ac:dyDescent="0.25">
      <c r="A818" t="s">
        <v>4001</v>
      </c>
      <c r="B818" t="s">
        <v>4002</v>
      </c>
      <c r="C818" t="s">
        <v>725</v>
      </c>
      <c r="D818" t="s">
        <v>13</v>
      </c>
      <c r="E818" t="str">
        <f>"98338"</f>
        <v>98338</v>
      </c>
      <c r="F818" t="s">
        <v>73</v>
      </c>
      <c r="G818" t="s">
        <v>4002</v>
      </c>
      <c r="I818" t="s">
        <v>725</v>
      </c>
      <c r="J818" t="s">
        <v>13</v>
      </c>
      <c r="K818" t="str">
        <f>"98338"</f>
        <v>98338</v>
      </c>
      <c r="L818">
        <v>70</v>
      </c>
      <c r="M818">
        <v>66</v>
      </c>
      <c r="N818">
        <v>4</v>
      </c>
    </row>
    <row r="819" spans="1:14" x14ac:dyDescent="0.25">
      <c r="A819" t="s">
        <v>2890</v>
      </c>
      <c r="B819" t="s">
        <v>2891</v>
      </c>
      <c r="C819" t="s">
        <v>72</v>
      </c>
      <c r="D819" t="s">
        <v>13</v>
      </c>
      <c r="E819" t="str">
        <f>"98445"</f>
        <v>98445</v>
      </c>
      <c r="F819" t="s">
        <v>73</v>
      </c>
      <c r="G819" t="s">
        <v>1361</v>
      </c>
      <c r="I819" t="s">
        <v>43</v>
      </c>
      <c r="J819" t="s">
        <v>13</v>
      </c>
      <c r="K819" t="str">
        <f>"98040"</f>
        <v>98040</v>
      </c>
      <c r="L819">
        <v>25</v>
      </c>
      <c r="M819">
        <v>25</v>
      </c>
      <c r="N819">
        <v>0</v>
      </c>
    </row>
    <row r="820" spans="1:14" x14ac:dyDescent="0.25">
      <c r="A820" t="s">
        <v>381</v>
      </c>
      <c r="B820" t="s">
        <v>382</v>
      </c>
      <c r="C820" t="s">
        <v>383</v>
      </c>
      <c r="D820" t="s">
        <v>13</v>
      </c>
      <c r="E820" t="str">
        <f>"98328"</f>
        <v>98328</v>
      </c>
      <c r="F820" t="s">
        <v>73</v>
      </c>
      <c r="G820" t="s">
        <v>384</v>
      </c>
      <c r="I820" t="s">
        <v>383</v>
      </c>
      <c r="J820" t="s">
        <v>13</v>
      </c>
      <c r="K820" t="str">
        <f>"98328"</f>
        <v>98328</v>
      </c>
      <c r="L820">
        <v>37</v>
      </c>
      <c r="M820">
        <v>27</v>
      </c>
      <c r="N820">
        <v>10</v>
      </c>
    </row>
    <row r="821" spans="1:14" x14ac:dyDescent="0.25">
      <c r="A821" t="s">
        <v>361</v>
      </c>
      <c r="B821" t="s">
        <v>362</v>
      </c>
      <c r="C821" t="s">
        <v>72</v>
      </c>
      <c r="D821" t="s">
        <v>13</v>
      </c>
      <c r="E821" t="str">
        <f>"98444"</f>
        <v>98444</v>
      </c>
      <c r="F821" t="s">
        <v>73</v>
      </c>
      <c r="G821" t="s">
        <v>363</v>
      </c>
      <c r="I821" t="s">
        <v>107</v>
      </c>
      <c r="J821" t="s">
        <v>13</v>
      </c>
      <c r="K821" t="str">
        <f>"98133"</f>
        <v>98133</v>
      </c>
      <c r="L821">
        <v>34</v>
      </c>
      <c r="M821">
        <v>34</v>
      </c>
      <c r="N821">
        <v>0</v>
      </c>
    </row>
    <row r="822" spans="1:14" x14ac:dyDescent="0.25">
      <c r="A822" t="s">
        <v>1412</v>
      </c>
      <c r="B822" t="s">
        <v>1413</v>
      </c>
      <c r="C822" t="s">
        <v>161</v>
      </c>
      <c r="D822" t="s">
        <v>13</v>
      </c>
      <c r="E822" t="str">
        <f>"98391"</f>
        <v>98391</v>
      </c>
      <c r="F822" t="s">
        <v>73</v>
      </c>
      <c r="G822" t="s">
        <v>1414</v>
      </c>
      <c r="I822" t="s">
        <v>161</v>
      </c>
      <c r="J822" t="s">
        <v>13</v>
      </c>
      <c r="K822" t="str">
        <f>"98391"</f>
        <v>98391</v>
      </c>
      <c r="L822">
        <v>27</v>
      </c>
      <c r="M822">
        <v>25</v>
      </c>
      <c r="N822">
        <v>2</v>
      </c>
    </row>
    <row r="823" spans="1:14" x14ac:dyDescent="0.25">
      <c r="A823" t="s">
        <v>3856</v>
      </c>
      <c r="B823" t="s">
        <v>3857</v>
      </c>
      <c r="C823" t="s">
        <v>72</v>
      </c>
      <c r="D823" t="s">
        <v>13</v>
      </c>
      <c r="E823" t="str">
        <f>"98409"</f>
        <v>98409</v>
      </c>
      <c r="F823" t="s">
        <v>73</v>
      </c>
      <c r="G823" t="s">
        <v>3857</v>
      </c>
      <c r="I823" t="s">
        <v>72</v>
      </c>
      <c r="J823" t="s">
        <v>13</v>
      </c>
      <c r="K823" t="str">
        <f>"98409"</f>
        <v>98409</v>
      </c>
      <c r="L823">
        <v>59</v>
      </c>
      <c r="M823">
        <v>25</v>
      </c>
      <c r="N823">
        <v>34</v>
      </c>
    </row>
    <row r="824" spans="1:14" x14ac:dyDescent="0.25">
      <c r="A824" t="s">
        <v>3142</v>
      </c>
      <c r="B824" t="s">
        <v>3143</v>
      </c>
      <c r="C824" t="s">
        <v>159</v>
      </c>
      <c r="D824" t="s">
        <v>13</v>
      </c>
      <c r="E824" t="str">
        <f>"98387"</f>
        <v>98387</v>
      </c>
      <c r="F824" t="s">
        <v>73</v>
      </c>
      <c r="G824" t="s">
        <v>3137</v>
      </c>
      <c r="I824" t="s">
        <v>87</v>
      </c>
      <c r="J824" t="s">
        <v>13</v>
      </c>
      <c r="K824" t="str">
        <f>"98501"</f>
        <v>98501</v>
      </c>
      <c r="L824">
        <v>41</v>
      </c>
      <c r="M824">
        <v>36</v>
      </c>
      <c r="N824">
        <v>5</v>
      </c>
    </row>
    <row r="825" spans="1:14" x14ac:dyDescent="0.25">
      <c r="A825" t="s">
        <v>1044</v>
      </c>
      <c r="B825" t="s">
        <v>1459</v>
      </c>
      <c r="C825" t="s">
        <v>727</v>
      </c>
      <c r="D825" t="s">
        <v>13</v>
      </c>
      <c r="E825" t="str">
        <f>"98360"</f>
        <v>98360</v>
      </c>
      <c r="F825" t="s">
        <v>73</v>
      </c>
      <c r="G825" t="s">
        <v>1044</v>
      </c>
      <c r="H825" t="s">
        <v>326</v>
      </c>
      <c r="I825" t="s">
        <v>107</v>
      </c>
      <c r="J825" t="s">
        <v>13</v>
      </c>
      <c r="K825" t="str">
        <f>"98105"</f>
        <v>98105</v>
      </c>
      <c r="L825">
        <v>96</v>
      </c>
      <c r="M825">
        <v>96</v>
      </c>
      <c r="N825">
        <v>0</v>
      </c>
    </row>
    <row r="826" spans="1:14" x14ac:dyDescent="0.25">
      <c r="A826" t="s">
        <v>2344</v>
      </c>
      <c r="B826" t="s">
        <v>3429</v>
      </c>
      <c r="C826" t="s">
        <v>2648</v>
      </c>
      <c r="D826" t="s">
        <v>13</v>
      </c>
      <c r="E826" t="str">
        <f>"98321"</f>
        <v>98321</v>
      </c>
      <c r="F826" t="s">
        <v>73</v>
      </c>
      <c r="G826" t="s">
        <v>3429</v>
      </c>
      <c r="I826" t="s">
        <v>2648</v>
      </c>
      <c r="J826" t="s">
        <v>13</v>
      </c>
      <c r="K826" t="str">
        <f>"98321"</f>
        <v>98321</v>
      </c>
      <c r="L826">
        <v>16</v>
      </c>
      <c r="M826">
        <v>16</v>
      </c>
      <c r="N826">
        <v>0</v>
      </c>
    </row>
    <row r="827" spans="1:14" x14ac:dyDescent="0.25">
      <c r="A827" t="s">
        <v>2250</v>
      </c>
      <c r="B827" t="s">
        <v>2251</v>
      </c>
      <c r="C827" t="s">
        <v>146</v>
      </c>
      <c r="D827" t="s">
        <v>13</v>
      </c>
      <c r="E827" t="str">
        <f>"98374"</f>
        <v>98374</v>
      </c>
      <c r="F827" t="s">
        <v>73</v>
      </c>
      <c r="G827" t="s">
        <v>2252</v>
      </c>
      <c r="I827" t="s">
        <v>536</v>
      </c>
      <c r="J827" t="s">
        <v>13</v>
      </c>
      <c r="K827" t="str">
        <f>"98496"</f>
        <v>98496</v>
      </c>
      <c r="L827">
        <v>63</v>
      </c>
      <c r="M827">
        <v>63</v>
      </c>
      <c r="N827">
        <v>0</v>
      </c>
    </row>
    <row r="828" spans="1:14" x14ac:dyDescent="0.25">
      <c r="A828" t="s">
        <v>240</v>
      </c>
      <c r="B828" t="s">
        <v>241</v>
      </c>
      <c r="C828" t="s">
        <v>146</v>
      </c>
      <c r="D828" t="s">
        <v>13</v>
      </c>
      <c r="E828" t="str">
        <f>"98372"</f>
        <v>98372</v>
      </c>
      <c r="F828" t="s">
        <v>73</v>
      </c>
      <c r="G828" t="s">
        <v>242</v>
      </c>
      <c r="I828" t="s">
        <v>146</v>
      </c>
      <c r="J828" t="s">
        <v>13</v>
      </c>
      <c r="K828" t="str">
        <f>"98372"</f>
        <v>98372</v>
      </c>
      <c r="L828">
        <v>6</v>
      </c>
      <c r="M828">
        <v>6</v>
      </c>
      <c r="N828">
        <v>0</v>
      </c>
    </row>
    <row r="829" spans="1:14" x14ac:dyDescent="0.25">
      <c r="A829" t="s">
        <v>621</v>
      </c>
      <c r="B829" t="s">
        <v>622</v>
      </c>
      <c r="C829" t="s">
        <v>536</v>
      </c>
      <c r="D829" t="s">
        <v>13</v>
      </c>
      <c r="E829" t="str">
        <f>"98499"</f>
        <v>98499</v>
      </c>
      <c r="F829" t="s">
        <v>73</v>
      </c>
      <c r="G829" t="s">
        <v>618</v>
      </c>
      <c r="I829" t="s">
        <v>366</v>
      </c>
      <c r="J829" t="s">
        <v>13</v>
      </c>
      <c r="K829" t="str">
        <f>"98367"</f>
        <v>98367</v>
      </c>
      <c r="L829">
        <v>51</v>
      </c>
      <c r="M829">
        <v>51</v>
      </c>
      <c r="N829">
        <v>0</v>
      </c>
    </row>
    <row r="830" spans="1:14" x14ac:dyDescent="0.25">
      <c r="A830" t="s">
        <v>1372</v>
      </c>
      <c r="B830" t="s">
        <v>1373</v>
      </c>
      <c r="C830" t="s">
        <v>72</v>
      </c>
      <c r="D830" t="s">
        <v>13</v>
      </c>
      <c r="E830" t="str">
        <f>"98499"</f>
        <v>98499</v>
      </c>
      <c r="F830" t="s">
        <v>73</v>
      </c>
      <c r="G830" t="s">
        <v>1374</v>
      </c>
      <c r="I830" t="s">
        <v>72</v>
      </c>
      <c r="J830" t="s">
        <v>13</v>
      </c>
      <c r="K830" t="str">
        <f>"98448"</f>
        <v>98448</v>
      </c>
      <c r="L830">
        <v>24</v>
      </c>
      <c r="M830">
        <v>24</v>
      </c>
      <c r="N830">
        <v>0</v>
      </c>
    </row>
    <row r="831" spans="1:14" x14ac:dyDescent="0.25">
      <c r="A831" t="s">
        <v>835</v>
      </c>
      <c r="B831" t="s">
        <v>836</v>
      </c>
      <c r="C831" t="s">
        <v>159</v>
      </c>
      <c r="D831" t="s">
        <v>13</v>
      </c>
      <c r="E831" t="str">
        <f>"98387"</f>
        <v>98387</v>
      </c>
      <c r="F831" t="s">
        <v>73</v>
      </c>
      <c r="G831" t="s">
        <v>837</v>
      </c>
      <c r="I831" t="s">
        <v>72</v>
      </c>
      <c r="J831" t="s">
        <v>13</v>
      </c>
      <c r="K831" t="str">
        <f>"98445"</f>
        <v>98445</v>
      </c>
      <c r="L831">
        <v>8</v>
      </c>
      <c r="M831">
        <v>8</v>
      </c>
      <c r="N831">
        <v>0</v>
      </c>
    </row>
    <row r="832" spans="1:14" x14ac:dyDescent="0.25">
      <c r="A832" t="s">
        <v>2378</v>
      </c>
      <c r="B832" t="s">
        <v>2379</v>
      </c>
      <c r="C832" t="s">
        <v>536</v>
      </c>
      <c r="D832" t="s">
        <v>13</v>
      </c>
      <c r="E832" t="str">
        <f>"98499"</f>
        <v>98499</v>
      </c>
      <c r="F832" t="s">
        <v>73</v>
      </c>
      <c r="G832" t="s">
        <v>2380</v>
      </c>
      <c r="I832" t="s">
        <v>437</v>
      </c>
      <c r="J832" t="s">
        <v>13</v>
      </c>
      <c r="K832" t="str">
        <f>"98020"</f>
        <v>98020</v>
      </c>
      <c r="L832">
        <v>11</v>
      </c>
      <c r="M832">
        <v>11</v>
      </c>
      <c r="N832">
        <v>0</v>
      </c>
    </row>
    <row r="833" spans="1:14" x14ac:dyDescent="0.25">
      <c r="A833" t="s">
        <v>157</v>
      </c>
      <c r="B833" t="s">
        <v>158</v>
      </c>
      <c r="C833" t="s">
        <v>159</v>
      </c>
      <c r="D833" t="s">
        <v>13</v>
      </c>
      <c r="E833" t="str">
        <f>"98387"</f>
        <v>98387</v>
      </c>
      <c r="F833" t="s">
        <v>73</v>
      </c>
      <c r="G833" t="s">
        <v>160</v>
      </c>
      <c r="I833" t="s">
        <v>161</v>
      </c>
      <c r="J833" t="s">
        <v>13</v>
      </c>
      <c r="K833" t="str">
        <f>"98391"</f>
        <v>98391</v>
      </c>
      <c r="L833">
        <v>40</v>
      </c>
      <c r="M833">
        <v>40</v>
      </c>
      <c r="N833">
        <v>0</v>
      </c>
    </row>
    <row r="834" spans="1:14" x14ac:dyDescent="0.25">
      <c r="A834" t="s">
        <v>3348</v>
      </c>
      <c r="B834" t="s">
        <v>3349</v>
      </c>
      <c r="C834" t="s">
        <v>159</v>
      </c>
      <c r="D834" t="s">
        <v>13</v>
      </c>
      <c r="E834" t="str">
        <f>"98387"</f>
        <v>98387</v>
      </c>
      <c r="F834" t="s">
        <v>73</v>
      </c>
      <c r="G834" t="s">
        <v>3350</v>
      </c>
      <c r="I834" t="s">
        <v>725</v>
      </c>
      <c r="J834" t="s">
        <v>13</v>
      </c>
      <c r="K834" t="str">
        <f>"98338"</f>
        <v>98338</v>
      </c>
      <c r="L834">
        <v>15</v>
      </c>
      <c r="M834">
        <v>13</v>
      </c>
      <c r="N834">
        <v>2</v>
      </c>
    </row>
    <row r="835" spans="1:14" x14ac:dyDescent="0.25">
      <c r="A835" t="s">
        <v>989</v>
      </c>
      <c r="B835" t="s">
        <v>990</v>
      </c>
      <c r="C835" t="s">
        <v>72</v>
      </c>
      <c r="D835" t="s">
        <v>13</v>
      </c>
      <c r="E835" t="str">
        <f>"98404"</f>
        <v>98404</v>
      </c>
      <c r="F835" t="s">
        <v>73</v>
      </c>
      <c r="G835" t="s">
        <v>684</v>
      </c>
      <c r="I835" t="s">
        <v>598</v>
      </c>
      <c r="J835" t="s">
        <v>13</v>
      </c>
      <c r="K835" t="str">
        <f>"98370"</f>
        <v>98370</v>
      </c>
      <c r="L835">
        <v>25</v>
      </c>
      <c r="M835">
        <v>25</v>
      </c>
      <c r="N835">
        <v>0</v>
      </c>
    </row>
    <row r="836" spans="1:14" x14ac:dyDescent="0.25">
      <c r="A836" t="s">
        <v>2215</v>
      </c>
      <c r="B836" t="s">
        <v>2216</v>
      </c>
      <c r="C836" t="s">
        <v>72</v>
      </c>
      <c r="D836" t="s">
        <v>13</v>
      </c>
      <c r="E836" t="str">
        <f>"98444"</f>
        <v>98444</v>
      </c>
      <c r="F836" t="s">
        <v>73</v>
      </c>
      <c r="G836" t="s">
        <v>2217</v>
      </c>
      <c r="I836" t="s">
        <v>132</v>
      </c>
      <c r="J836" t="s">
        <v>13</v>
      </c>
      <c r="K836" t="str">
        <f>"98382"</f>
        <v>98382</v>
      </c>
      <c r="L836">
        <v>45</v>
      </c>
      <c r="M836">
        <v>45</v>
      </c>
      <c r="N836">
        <v>0</v>
      </c>
    </row>
    <row r="837" spans="1:14" x14ac:dyDescent="0.25">
      <c r="A837" t="s">
        <v>995</v>
      </c>
      <c r="B837" t="s">
        <v>996</v>
      </c>
      <c r="C837" t="s">
        <v>72</v>
      </c>
      <c r="D837" t="s">
        <v>13</v>
      </c>
      <c r="E837" t="str">
        <f>"98444"</f>
        <v>98444</v>
      </c>
      <c r="F837" t="s">
        <v>73</v>
      </c>
      <c r="G837" t="s">
        <v>997</v>
      </c>
      <c r="I837" t="s">
        <v>998</v>
      </c>
      <c r="J837" t="s">
        <v>13</v>
      </c>
      <c r="K837" t="str">
        <f>"98059"</f>
        <v>98059</v>
      </c>
      <c r="L837">
        <v>16</v>
      </c>
      <c r="M837">
        <v>14</v>
      </c>
      <c r="N837">
        <v>2</v>
      </c>
    </row>
    <row r="838" spans="1:14" x14ac:dyDescent="0.25">
      <c r="A838" t="s">
        <v>2461</v>
      </c>
      <c r="B838" t="s">
        <v>2462</v>
      </c>
      <c r="C838" t="s">
        <v>146</v>
      </c>
      <c r="D838" t="s">
        <v>13</v>
      </c>
      <c r="E838" t="str">
        <f>"98374"</f>
        <v>98374</v>
      </c>
      <c r="F838" t="s">
        <v>73</v>
      </c>
      <c r="G838" t="s">
        <v>1566</v>
      </c>
      <c r="I838" t="s">
        <v>107</v>
      </c>
      <c r="J838" t="s">
        <v>13</v>
      </c>
      <c r="K838" t="str">
        <f>"98198"</f>
        <v>98198</v>
      </c>
      <c r="L838">
        <v>60</v>
      </c>
      <c r="M838">
        <v>27</v>
      </c>
      <c r="N838">
        <v>33</v>
      </c>
    </row>
    <row r="839" spans="1:14" x14ac:dyDescent="0.25">
      <c r="A839" t="s">
        <v>2370</v>
      </c>
      <c r="B839" t="s">
        <v>2371</v>
      </c>
      <c r="C839" t="s">
        <v>297</v>
      </c>
      <c r="D839" t="s">
        <v>13</v>
      </c>
      <c r="E839" t="str">
        <f>"98092"</f>
        <v>98092</v>
      </c>
      <c r="F839" t="s">
        <v>73</v>
      </c>
      <c r="G839" t="s">
        <v>1698</v>
      </c>
      <c r="I839" t="s">
        <v>605</v>
      </c>
      <c r="J839" t="s">
        <v>13</v>
      </c>
      <c r="K839" t="str">
        <f>"98005"</f>
        <v>98005</v>
      </c>
      <c r="L839">
        <v>91</v>
      </c>
      <c r="M839">
        <v>91</v>
      </c>
      <c r="N839">
        <v>0</v>
      </c>
    </row>
    <row r="840" spans="1:14" x14ac:dyDescent="0.25">
      <c r="A840" t="s">
        <v>1742</v>
      </c>
      <c r="B840" t="s">
        <v>1743</v>
      </c>
      <c r="C840" t="s">
        <v>72</v>
      </c>
      <c r="D840" t="s">
        <v>13</v>
      </c>
      <c r="E840" t="str">
        <f>"98445"</f>
        <v>98445</v>
      </c>
      <c r="F840" t="s">
        <v>73</v>
      </c>
      <c r="G840" t="s">
        <v>1744</v>
      </c>
      <c r="H840" t="s">
        <v>1745</v>
      </c>
      <c r="I840" t="s">
        <v>437</v>
      </c>
      <c r="J840" t="s">
        <v>13</v>
      </c>
      <c r="K840" t="str">
        <f>"98020"</f>
        <v>98020</v>
      </c>
      <c r="L840">
        <v>64</v>
      </c>
      <c r="M840">
        <v>64</v>
      </c>
      <c r="N840">
        <v>0</v>
      </c>
    </row>
    <row r="841" spans="1:14" x14ac:dyDescent="0.25">
      <c r="A841" t="s">
        <v>1681</v>
      </c>
      <c r="B841" t="s">
        <v>1682</v>
      </c>
      <c r="C841" t="s">
        <v>159</v>
      </c>
      <c r="D841" t="s">
        <v>13</v>
      </c>
      <c r="E841" t="str">
        <f>"98387"</f>
        <v>98387</v>
      </c>
      <c r="F841" t="s">
        <v>73</v>
      </c>
      <c r="G841" t="s">
        <v>1683</v>
      </c>
      <c r="I841" t="s">
        <v>146</v>
      </c>
      <c r="J841" t="s">
        <v>13</v>
      </c>
      <c r="K841" t="str">
        <f>"98372"</f>
        <v>98372</v>
      </c>
      <c r="L841">
        <v>94</v>
      </c>
      <c r="M841">
        <v>94</v>
      </c>
      <c r="N841">
        <v>0</v>
      </c>
    </row>
    <row r="842" spans="1:14" x14ac:dyDescent="0.25">
      <c r="A842" t="s">
        <v>2973</v>
      </c>
      <c r="B842" t="s">
        <v>2974</v>
      </c>
      <c r="C842" t="s">
        <v>148</v>
      </c>
      <c r="D842" t="s">
        <v>13</v>
      </c>
      <c r="E842" t="str">
        <f>"98332"</f>
        <v>98332</v>
      </c>
      <c r="F842" t="s">
        <v>73</v>
      </c>
      <c r="G842" t="s">
        <v>2975</v>
      </c>
      <c r="I842" t="s">
        <v>148</v>
      </c>
      <c r="J842" t="s">
        <v>13</v>
      </c>
      <c r="K842" t="str">
        <f>"98335"</f>
        <v>98335</v>
      </c>
      <c r="L842">
        <v>42</v>
      </c>
      <c r="M842">
        <v>42</v>
      </c>
      <c r="N842">
        <v>0</v>
      </c>
    </row>
    <row r="843" spans="1:14" x14ac:dyDescent="0.25">
      <c r="A843" t="s">
        <v>3453</v>
      </c>
      <c r="B843" t="s">
        <v>3454</v>
      </c>
      <c r="C843" t="s">
        <v>72</v>
      </c>
      <c r="D843" t="s">
        <v>13</v>
      </c>
      <c r="E843" t="str">
        <f>"98444"</f>
        <v>98444</v>
      </c>
      <c r="F843" t="s">
        <v>73</v>
      </c>
      <c r="G843" t="s">
        <v>3455</v>
      </c>
      <c r="I843" t="s">
        <v>87</v>
      </c>
      <c r="J843" t="s">
        <v>13</v>
      </c>
      <c r="K843" t="str">
        <f>"98516"</f>
        <v>98516</v>
      </c>
      <c r="L843">
        <v>23</v>
      </c>
      <c r="M843">
        <v>19</v>
      </c>
      <c r="N843">
        <v>4</v>
      </c>
    </row>
    <row r="844" spans="1:14" x14ac:dyDescent="0.25">
      <c r="A844" t="s">
        <v>3060</v>
      </c>
      <c r="B844" t="s">
        <v>3061</v>
      </c>
      <c r="C844" t="s">
        <v>159</v>
      </c>
      <c r="D844" t="s">
        <v>13</v>
      </c>
      <c r="E844" t="str">
        <f>"98387"</f>
        <v>98387</v>
      </c>
      <c r="F844" t="s">
        <v>73</v>
      </c>
      <c r="G844" t="s">
        <v>3062</v>
      </c>
      <c r="I844" t="s">
        <v>87</v>
      </c>
      <c r="J844" t="s">
        <v>13</v>
      </c>
      <c r="K844" t="str">
        <f>"98507"</f>
        <v>98507</v>
      </c>
      <c r="L844">
        <v>23</v>
      </c>
      <c r="M844">
        <v>23</v>
      </c>
      <c r="N844">
        <v>0</v>
      </c>
    </row>
    <row r="845" spans="1:14" x14ac:dyDescent="0.25">
      <c r="A845" t="s">
        <v>2653</v>
      </c>
      <c r="B845" t="s">
        <v>2654</v>
      </c>
      <c r="C845" t="s">
        <v>159</v>
      </c>
      <c r="D845" t="s">
        <v>13</v>
      </c>
      <c r="E845" t="str">
        <f>"98387"</f>
        <v>98387</v>
      </c>
      <c r="F845" t="s">
        <v>73</v>
      </c>
      <c r="G845" t="s">
        <v>2655</v>
      </c>
      <c r="I845" t="s">
        <v>146</v>
      </c>
      <c r="J845" t="s">
        <v>13</v>
      </c>
      <c r="K845" t="str">
        <f>"98373"</f>
        <v>98373</v>
      </c>
      <c r="L845">
        <v>17</v>
      </c>
      <c r="M845">
        <v>6</v>
      </c>
      <c r="N845">
        <v>11</v>
      </c>
    </row>
    <row r="846" spans="1:14" x14ac:dyDescent="0.25">
      <c r="A846" t="s">
        <v>934</v>
      </c>
      <c r="B846" t="s">
        <v>935</v>
      </c>
      <c r="C846" t="s">
        <v>159</v>
      </c>
      <c r="D846" t="s">
        <v>13</v>
      </c>
      <c r="E846" t="str">
        <f>"98387"</f>
        <v>98387</v>
      </c>
      <c r="F846" t="s">
        <v>73</v>
      </c>
      <c r="G846" t="s">
        <v>932</v>
      </c>
      <c r="I846" t="s">
        <v>933</v>
      </c>
      <c r="J846" t="s">
        <v>13</v>
      </c>
      <c r="K846" t="str">
        <f>"98372"</f>
        <v>98372</v>
      </c>
      <c r="L846">
        <v>11</v>
      </c>
      <c r="M846">
        <v>9</v>
      </c>
      <c r="N846">
        <v>2</v>
      </c>
    </row>
    <row r="847" spans="1:14" x14ac:dyDescent="0.25">
      <c r="A847" t="s">
        <v>1594</v>
      </c>
      <c r="B847" t="s">
        <v>1595</v>
      </c>
      <c r="C847" t="s">
        <v>536</v>
      </c>
      <c r="D847" t="s">
        <v>13</v>
      </c>
      <c r="E847" t="str">
        <f>"98499"</f>
        <v>98499</v>
      </c>
      <c r="F847" t="s">
        <v>73</v>
      </c>
      <c r="G847" t="s">
        <v>1596</v>
      </c>
      <c r="I847" t="s">
        <v>107</v>
      </c>
      <c r="J847" t="s">
        <v>13</v>
      </c>
      <c r="K847" t="str">
        <f>"98109"</f>
        <v>98109</v>
      </c>
      <c r="L847">
        <v>55</v>
      </c>
      <c r="M847">
        <v>55</v>
      </c>
      <c r="N847">
        <v>0</v>
      </c>
    </row>
    <row r="848" spans="1:14" x14ac:dyDescent="0.25">
      <c r="A848" t="s">
        <v>648</v>
      </c>
      <c r="B848" t="s">
        <v>649</v>
      </c>
      <c r="C848" t="s">
        <v>72</v>
      </c>
      <c r="D848" t="s">
        <v>13</v>
      </c>
      <c r="E848" t="str">
        <f>"98443"</f>
        <v>98443</v>
      </c>
      <c r="F848" t="s">
        <v>73</v>
      </c>
      <c r="G848" t="s">
        <v>650</v>
      </c>
      <c r="I848" t="s">
        <v>492</v>
      </c>
      <c r="J848" t="s">
        <v>13</v>
      </c>
      <c r="K848" t="str">
        <f>"98584"</f>
        <v>98584</v>
      </c>
      <c r="L848">
        <v>12</v>
      </c>
      <c r="M848">
        <v>12</v>
      </c>
      <c r="N848">
        <v>0</v>
      </c>
    </row>
    <row r="849" spans="1:14" x14ac:dyDescent="0.25">
      <c r="A849" t="s">
        <v>2666</v>
      </c>
      <c r="B849" t="s">
        <v>2667</v>
      </c>
      <c r="C849" t="s">
        <v>146</v>
      </c>
      <c r="D849" t="s">
        <v>13</v>
      </c>
      <c r="E849" t="str">
        <f>"98371"</f>
        <v>98371</v>
      </c>
      <c r="F849" t="s">
        <v>73</v>
      </c>
      <c r="G849" t="s">
        <v>2022</v>
      </c>
      <c r="I849" t="s">
        <v>681</v>
      </c>
      <c r="J849" t="s">
        <v>13</v>
      </c>
      <c r="K849" t="str">
        <f>"98093"</f>
        <v>98093</v>
      </c>
      <c r="L849">
        <v>101</v>
      </c>
      <c r="M849">
        <v>92</v>
      </c>
      <c r="N849">
        <v>9</v>
      </c>
    </row>
    <row r="850" spans="1:14" x14ac:dyDescent="0.25">
      <c r="A850" t="s">
        <v>2638</v>
      </c>
      <c r="B850" t="s">
        <v>2639</v>
      </c>
      <c r="C850" t="s">
        <v>146</v>
      </c>
      <c r="D850" t="s">
        <v>13</v>
      </c>
      <c r="E850" t="str">
        <f>"98371"</f>
        <v>98371</v>
      </c>
      <c r="F850" t="s">
        <v>73</v>
      </c>
      <c r="G850" t="s">
        <v>2640</v>
      </c>
      <c r="I850" t="s">
        <v>30</v>
      </c>
      <c r="J850" t="s">
        <v>13</v>
      </c>
      <c r="K850" t="str">
        <f>"98684"</f>
        <v>98684</v>
      </c>
      <c r="L850">
        <v>14</v>
      </c>
      <c r="M850">
        <v>14</v>
      </c>
      <c r="N850">
        <v>0</v>
      </c>
    </row>
    <row r="851" spans="1:14" x14ac:dyDescent="0.25">
      <c r="A851" t="s">
        <v>3885</v>
      </c>
      <c r="B851" t="s">
        <v>3886</v>
      </c>
      <c r="C851" t="s">
        <v>146</v>
      </c>
      <c r="D851" t="s">
        <v>13</v>
      </c>
      <c r="E851" t="str">
        <f>"98371"</f>
        <v>98371</v>
      </c>
      <c r="F851" t="s">
        <v>73</v>
      </c>
      <c r="G851" t="s">
        <v>3887</v>
      </c>
      <c r="H851" t="s">
        <v>3888</v>
      </c>
      <c r="I851" t="s">
        <v>146</v>
      </c>
      <c r="J851" t="s">
        <v>13</v>
      </c>
      <c r="K851" t="str">
        <f>"98373"</f>
        <v>98373</v>
      </c>
      <c r="L851">
        <v>62</v>
      </c>
      <c r="M851">
        <v>56</v>
      </c>
      <c r="N851">
        <v>6</v>
      </c>
    </row>
    <row r="852" spans="1:14" x14ac:dyDescent="0.25">
      <c r="A852" t="s">
        <v>1986</v>
      </c>
      <c r="B852" t="s">
        <v>1987</v>
      </c>
      <c r="C852" t="s">
        <v>159</v>
      </c>
      <c r="D852" t="s">
        <v>13</v>
      </c>
      <c r="E852" t="str">
        <f>"98387"</f>
        <v>98387</v>
      </c>
      <c r="F852" t="s">
        <v>73</v>
      </c>
      <c r="G852" t="s">
        <v>1988</v>
      </c>
      <c r="I852" t="s">
        <v>159</v>
      </c>
      <c r="J852" t="s">
        <v>13</v>
      </c>
      <c r="K852" t="str">
        <f>"98387"</f>
        <v>98387</v>
      </c>
      <c r="L852">
        <v>26</v>
      </c>
      <c r="M852">
        <v>14</v>
      </c>
      <c r="N852">
        <v>12</v>
      </c>
    </row>
    <row r="853" spans="1:14" x14ac:dyDescent="0.25">
      <c r="A853" t="s">
        <v>1294</v>
      </c>
      <c r="B853" t="s">
        <v>1295</v>
      </c>
      <c r="C853" t="s">
        <v>236</v>
      </c>
      <c r="D853" t="s">
        <v>13</v>
      </c>
      <c r="E853" t="str">
        <f>"98580"</f>
        <v>98580</v>
      </c>
      <c r="F853" t="s">
        <v>73</v>
      </c>
      <c r="G853" t="s">
        <v>1296</v>
      </c>
      <c r="I853" t="s">
        <v>297</v>
      </c>
      <c r="J853" t="s">
        <v>13</v>
      </c>
      <c r="K853" t="str">
        <f>"98002"</f>
        <v>98002</v>
      </c>
      <c r="L853">
        <v>28</v>
      </c>
      <c r="M853">
        <v>17</v>
      </c>
      <c r="N853">
        <v>11</v>
      </c>
    </row>
    <row r="854" spans="1:14" x14ac:dyDescent="0.25">
      <c r="A854" t="s">
        <v>2659</v>
      </c>
      <c r="B854" t="s">
        <v>2660</v>
      </c>
      <c r="C854" t="s">
        <v>72</v>
      </c>
      <c r="D854" t="s">
        <v>13</v>
      </c>
      <c r="E854" t="str">
        <f>"98443"</f>
        <v>98443</v>
      </c>
      <c r="F854" t="s">
        <v>73</v>
      </c>
      <c r="G854" t="s">
        <v>2661</v>
      </c>
      <c r="I854" t="s">
        <v>536</v>
      </c>
      <c r="J854" t="s">
        <v>13</v>
      </c>
      <c r="K854" t="str">
        <f>"98499"</f>
        <v>98499</v>
      </c>
      <c r="L854">
        <v>5</v>
      </c>
      <c r="M854">
        <v>5</v>
      </c>
      <c r="N854">
        <v>0</v>
      </c>
    </row>
    <row r="855" spans="1:14" x14ac:dyDescent="0.25">
      <c r="A855" t="s">
        <v>3373</v>
      </c>
      <c r="B855" t="s">
        <v>3374</v>
      </c>
      <c r="C855" t="s">
        <v>2648</v>
      </c>
      <c r="D855" t="s">
        <v>13</v>
      </c>
      <c r="E855" t="str">
        <f>"98321"</f>
        <v>98321</v>
      </c>
      <c r="F855" t="s">
        <v>73</v>
      </c>
      <c r="G855" t="s">
        <v>3375</v>
      </c>
      <c r="I855" t="s">
        <v>2648</v>
      </c>
      <c r="J855" t="s">
        <v>13</v>
      </c>
      <c r="K855" t="str">
        <f>"98321"</f>
        <v>98321</v>
      </c>
      <c r="L855">
        <v>35</v>
      </c>
      <c r="M855">
        <v>35</v>
      </c>
      <c r="N855">
        <v>0</v>
      </c>
    </row>
    <row r="856" spans="1:14" x14ac:dyDescent="0.25">
      <c r="A856" t="s">
        <v>2955</v>
      </c>
      <c r="B856" t="s">
        <v>2956</v>
      </c>
      <c r="C856" t="s">
        <v>725</v>
      </c>
      <c r="D856" t="s">
        <v>13</v>
      </c>
      <c r="E856" t="str">
        <f>"98338"</f>
        <v>98338</v>
      </c>
      <c r="F856" t="s">
        <v>73</v>
      </c>
      <c r="G856" t="s">
        <v>2957</v>
      </c>
      <c r="I856" t="s">
        <v>2958</v>
      </c>
      <c r="J856" t="s">
        <v>13</v>
      </c>
      <c r="K856" t="str">
        <f>"98388"</f>
        <v>98388</v>
      </c>
      <c r="L856">
        <v>6</v>
      </c>
      <c r="M856">
        <v>4</v>
      </c>
      <c r="N856">
        <v>2</v>
      </c>
    </row>
    <row r="857" spans="1:14" x14ac:dyDescent="0.25">
      <c r="A857" t="s">
        <v>1186</v>
      </c>
      <c r="B857" t="s">
        <v>1187</v>
      </c>
      <c r="C857" t="s">
        <v>146</v>
      </c>
      <c r="D857" t="s">
        <v>13</v>
      </c>
      <c r="E857" t="str">
        <f>"98374"</f>
        <v>98374</v>
      </c>
      <c r="F857" t="s">
        <v>73</v>
      </c>
      <c r="G857" t="s">
        <v>1188</v>
      </c>
      <c r="I857" t="s">
        <v>1189</v>
      </c>
      <c r="J857" t="s">
        <v>433</v>
      </c>
      <c r="K857" t="str">
        <f>"94948"</f>
        <v>94948</v>
      </c>
      <c r="L857">
        <v>262</v>
      </c>
      <c r="M857">
        <v>248</v>
      </c>
      <c r="N857">
        <v>14</v>
      </c>
    </row>
    <row r="858" spans="1:14" x14ac:dyDescent="0.25">
      <c r="A858" t="s">
        <v>2283</v>
      </c>
      <c r="B858" t="s">
        <v>2284</v>
      </c>
      <c r="C858" t="s">
        <v>725</v>
      </c>
      <c r="D858" t="s">
        <v>13</v>
      </c>
      <c r="E858" t="str">
        <f>"98338"</f>
        <v>98338</v>
      </c>
      <c r="F858" t="s">
        <v>73</v>
      </c>
      <c r="G858" t="s">
        <v>2285</v>
      </c>
      <c r="I858" t="s">
        <v>107</v>
      </c>
      <c r="J858" t="s">
        <v>13</v>
      </c>
      <c r="K858" t="str">
        <f>"98103"</f>
        <v>98103</v>
      </c>
      <c r="L858">
        <v>50</v>
      </c>
      <c r="M858">
        <v>41</v>
      </c>
      <c r="N858">
        <v>9</v>
      </c>
    </row>
    <row r="859" spans="1:14" x14ac:dyDescent="0.25">
      <c r="A859" t="s">
        <v>2136</v>
      </c>
      <c r="B859" t="s">
        <v>2137</v>
      </c>
      <c r="C859" t="s">
        <v>146</v>
      </c>
      <c r="D859" t="s">
        <v>13</v>
      </c>
      <c r="E859" t="str">
        <f>"98373"</f>
        <v>98373</v>
      </c>
      <c r="F859" t="s">
        <v>73</v>
      </c>
      <c r="G859" t="s">
        <v>2138</v>
      </c>
      <c r="I859" t="s">
        <v>48</v>
      </c>
      <c r="J859" t="s">
        <v>13</v>
      </c>
      <c r="K859" t="str">
        <f>"98012"</f>
        <v>98012</v>
      </c>
      <c r="L859">
        <v>28</v>
      </c>
      <c r="M859">
        <v>28</v>
      </c>
      <c r="N859">
        <v>0</v>
      </c>
    </row>
    <row r="860" spans="1:14" x14ac:dyDescent="0.25">
      <c r="A860" t="s">
        <v>2813</v>
      </c>
      <c r="B860" t="s">
        <v>2814</v>
      </c>
      <c r="C860" t="s">
        <v>725</v>
      </c>
      <c r="D860" t="s">
        <v>13</v>
      </c>
      <c r="E860" t="str">
        <f>"98338"</f>
        <v>98338</v>
      </c>
      <c r="F860" t="s">
        <v>73</v>
      </c>
      <c r="G860" t="s">
        <v>2815</v>
      </c>
      <c r="I860" t="s">
        <v>146</v>
      </c>
      <c r="J860" t="s">
        <v>13</v>
      </c>
      <c r="K860" t="str">
        <f>"98374"</f>
        <v>98374</v>
      </c>
      <c r="L860">
        <v>34</v>
      </c>
      <c r="M860">
        <v>10</v>
      </c>
      <c r="N860">
        <v>24</v>
      </c>
    </row>
    <row r="861" spans="1:14" x14ac:dyDescent="0.25">
      <c r="A861" t="s">
        <v>2904</v>
      </c>
      <c r="B861" t="s">
        <v>2905</v>
      </c>
      <c r="C861" t="s">
        <v>159</v>
      </c>
      <c r="D861" t="s">
        <v>13</v>
      </c>
      <c r="E861" t="str">
        <f>"98387"</f>
        <v>98387</v>
      </c>
      <c r="F861" t="s">
        <v>73</v>
      </c>
      <c r="G861" t="s">
        <v>2906</v>
      </c>
      <c r="I861" t="s">
        <v>142</v>
      </c>
      <c r="J861" t="s">
        <v>13</v>
      </c>
      <c r="K861" t="str">
        <f>"99004"</f>
        <v>99004</v>
      </c>
      <c r="L861">
        <v>15</v>
      </c>
      <c r="M861">
        <v>15</v>
      </c>
      <c r="N861">
        <v>0</v>
      </c>
    </row>
    <row r="862" spans="1:14" x14ac:dyDescent="0.25">
      <c r="A862" t="s">
        <v>2628</v>
      </c>
      <c r="B862" t="s">
        <v>2629</v>
      </c>
      <c r="C862" t="s">
        <v>297</v>
      </c>
      <c r="D862" t="s">
        <v>13</v>
      </c>
      <c r="E862" t="str">
        <f>"98002"</f>
        <v>98002</v>
      </c>
      <c r="F862" t="s">
        <v>73</v>
      </c>
      <c r="G862" t="s">
        <v>2630</v>
      </c>
      <c r="H862" t="s">
        <v>111</v>
      </c>
      <c r="I862" t="s">
        <v>107</v>
      </c>
      <c r="J862" t="s">
        <v>13</v>
      </c>
      <c r="K862" t="str">
        <f>"98105"</f>
        <v>98105</v>
      </c>
      <c r="L862">
        <v>116</v>
      </c>
      <c r="M862">
        <v>73</v>
      </c>
      <c r="N862">
        <v>43</v>
      </c>
    </row>
    <row r="863" spans="1:14" x14ac:dyDescent="0.25">
      <c r="A863" t="s">
        <v>3421</v>
      </c>
      <c r="B863" t="s">
        <v>3422</v>
      </c>
      <c r="C863" t="s">
        <v>72</v>
      </c>
      <c r="D863" t="s">
        <v>13</v>
      </c>
      <c r="E863" t="str">
        <f>"98444"</f>
        <v>98444</v>
      </c>
      <c r="F863" t="s">
        <v>73</v>
      </c>
      <c r="G863" t="s">
        <v>3423</v>
      </c>
      <c r="I863" t="s">
        <v>72</v>
      </c>
      <c r="J863" t="s">
        <v>13</v>
      </c>
      <c r="K863" t="str">
        <f>"98448"</f>
        <v>98448</v>
      </c>
      <c r="L863">
        <v>25</v>
      </c>
      <c r="M863">
        <v>19</v>
      </c>
      <c r="N863">
        <v>6</v>
      </c>
    </row>
    <row r="864" spans="1:14" x14ac:dyDescent="0.25">
      <c r="A864" t="s">
        <v>3144</v>
      </c>
      <c r="B864" t="s">
        <v>3145</v>
      </c>
      <c r="C864" t="s">
        <v>159</v>
      </c>
      <c r="D864" t="s">
        <v>13</v>
      </c>
      <c r="E864" t="str">
        <f>"98387"</f>
        <v>98387</v>
      </c>
      <c r="F864" t="s">
        <v>73</v>
      </c>
      <c r="G864" t="s">
        <v>3137</v>
      </c>
      <c r="I864" t="s">
        <v>87</v>
      </c>
      <c r="J864" t="s">
        <v>13</v>
      </c>
      <c r="K864" t="str">
        <f>"98501"</f>
        <v>98501</v>
      </c>
      <c r="L864">
        <v>56</v>
      </c>
      <c r="M864">
        <v>56</v>
      </c>
      <c r="N864">
        <v>0</v>
      </c>
    </row>
    <row r="865" spans="1:14" x14ac:dyDescent="0.25">
      <c r="A865" t="s">
        <v>3251</v>
      </c>
      <c r="B865" t="s">
        <v>3252</v>
      </c>
      <c r="C865" t="s">
        <v>72</v>
      </c>
      <c r="D865" t="s">
        <v>13</v>
      </c>
      <c r="E865" t="str">
        <f>"98422"</f>
        <v>98422</v>
      </c>
      <c r="F865" t="s">
        <v>73</v>
      </c>
      <c r="G865" t="s">
        <v>3252</v>
      </c>
      <c r="I865" t="s">
        <v>72</v>
      </c>
      <c r="J865" t="s">
        <v>13</v>
      </c>
      <c r="K865" t="str">
        <f>"98422"</f>
        <v>98422</v>
      </c>
      <c r="L865">
        <v>42</v>
      </c>
      <c r="M865">
        <v>42</v>
      </c>
      <c r="N865">
        <v>0</v>
      </c>
    </row>
    <row r="866" spans="1:14" x14ac:dyDescent="0.25">
      <c r="A866" t="s">
        <v>1244</v>
      </c>
      <c r="B866" t="s">
        <v>1245</v>
      </c>
      <c r="C866" t="s">
        <v>1100</v>
      </c>
      <c r="D866" t="s">
        <v>13</v>
      </c>
      <c r="E866" t="str">
        <f>"98390"</f>
        <v>98390</v>
      </c>
      <c r="F866" t="s">
        <v>73</v>
      </c>
      <c r="G866" t="s">
        <v>1246</v>
      </c>
      <c r="I866" t="s">
        <v>605</v>
      </c>
      <c r="J866" t="s">
        <v>13</v>
      </c>
      <c r="K866" t="str">
        <f>"98005"</f>
        <v>98005</v>
      </c>
      <c r="L866">
        <v>81</v>
      </c>
      <c r="M866">
        <v>81</v>
      </c>
      <c r="N866">
        <v>0</v>
      </c>
    </row>
    <row r="867" spans="1:14" x14ac:dyDescent="0.25">
      <c r="A867" t="s">
        <v>3689</v>
      </c>
      <c r="B867" t="s">
        <v>3690</v>
      </c>
      <c r="C867" t="s">
        <v>146</v>
      </c>
      <c r="D867" t="s">
        <v>13</v>
      </c>
      <c r="E867" t="str">
        <f>"98371"</f>
        <v>98371</v>
      </c>
      <c r="F867" t="s">
        <v>73</v>
      </c>
      <c r="G867" t="s">
        <v>3691</v>
      </c>
      <c r="I867" t="s">
        <v>146</v>
      </c>
      <c r="J867" t="s">
        <v>13</v>
      </c>
      <c r="K867" t="str">
        <f>"98372"</f>
        <v>98372</v>
      </c>
      <c r="L867">
        <v>11</v>
      </c>
      <c r="M867">
        <v>11</v>
      </c>
      <c r="N867">
        <v>0</v>
      </c>
    </row>
    <row r="868" spans="1:14" x14ac:dyDescent="0.25">
      <c r="A868" t="s">
        <v>1359</v>
      </c>
      <c r="B868" t="s">
        <v>1360</v>
      </c>
      <c r="C868" t="s">
        <v>72</v>
      </c>
      <c r="D868" t="s">
        <v>13</v>
      </c>
      <c r="E868" t="str">
        <f>"98404"</f>
        <v>98404</v>
      </c>
      <c r="F868" t="s">
        <v>73</v>
      </c>
      <c r="G868" t="s">
        <v>1361</v>
      </c>
      <c r="I868" t="s">
        <v>43</v>
      </c>
      <c r="J868" t="s">
        <v>13</v>
      </c>
      <c r="K868" t="str">
        <f>"98040"</f>
        <v>98040</v>
      </c>
      <c r="L868">
        <v>42</v>
      </c>
      <c r="M868">
        <v>37</v>
      </c>
      <c r="N868">
        <v>5</v>
      </c>
    </row>
    <row r="869" spans="1:14" x14ac:dyDescent="0.25">
      <c r="A869" t="s">
        <v>1851</v>
      </c>
      <c r="B869" t="s">
        <v>1852</v>
      </c>
      <c r="C869" t="s">
        <v>1782</v>
      </c>
      <c r="D869" t="s">
        <v>13</v>
      </c>
      <c r="E869" t="str">
        <f>"98467"</f>
        <v>98467</v>
      </c>
      <c r="F869" t="s">
        <v>73</v>
      </c>
      <c r="G869" t="s">
        <v>1853</v>
      </c>
      <c r="I869" t="s">
        <v>1646</v>
      </c>
      <c r="J869" t="s">
        <v>13</v>
      </c>
      <c r="K869" t="str">
        <f>"98936"</f>
        <v>98936</v>
      </c>
      <c r="L869">
        <v>50</v>
      </c>
      <c r="M869">
        <v>48</v>
      </c>
      <c r="N869">
        <v>2</v>
      </c>
    </row>
    <row r="870" spans="1:14" x14ac:dyDescent="0.25">
      <c r="A870" t="s">
        <v>936</v>
      </c>
      <c r="B870" t="s">
        <v>937</v>
      </c>
      <c r="C870" t="s">
        <v>725</v>
      </c>
      <c r="D870" t="s">
        <v>13</v>
      </c>
      <c r="E870" t="str">
        <f>"98338"</f>
        <v>98338</v>
      </c>
      <c r="F870" t="s">
        <v>73</v>
      </c>
      <c r="G870" t="s">
        <v>932</v>
      </c>
      <c r="I870" t="s">
        <v>933</v>
      </c>
      <c r="J870" t="s">
        <v>13</v>
      </c>
      <c r="K870" t="str">
        <f>"98372"</f>
        <v>98372</v>
      </c>
      <c r="L870">
        <v>15</v>
      </c>
      <c r="M870">
        <v>13</v>
      </c>
      <c r="N870">
        <v>2</v>
      </c>
    </row>
    <row r="871" spans="1:14" x14ac:dyDescent="0.25">
      <c r="A871" t="s">
        <v>1097</v>
      </c>
      <c r="B871" t="s">
        <v>1098</v>
      </c>
      <c r="C871" t="s">
        <v>146</v>
      </c>
      <c r="D871" t="s">
        <v>13</v>
      </c>
      <c r="E871" t="str">
        <f>"98372"</f>
        <v>98372</v>
      </c>
      <c r="F871" t="s">
        <v>73</v>
      </c>
      <c r="G871" t="s">
        <v>1099</v>
      </c>
      <c r="I871" t="s">
        <v>1100</v>
      </c>
      <c r="J871" t="s">
        <v>13</v>
      </c>
      <c r="K871" t="str">
        <f>"98390"</f>
        <v>98390</v>
      </c>
      <c r="L871">
        <v>10</v>
      </c>
      <c r="M871">
        <v>2</v>
      </c>
      <c r="N871">
        <v>8</v>
      </c>
    </row>
    <row r="872" spans="1:14" x14ac:dyDescent="0.25">
      <c r="A872" t="s">
        <v>3371</v>
      </c>
      <c r="B872" t="s">
        <v>3372</v>
      </c>
      <c r="C872" t="s">
        <v>72</v>
      </c>
      <c r="D872" t="s">
        <v>13</v>
      </c>
      <c r="E872" t="str">
        <f>"98443"</f>
        <v>98443</v>
      </c>
      <c r="F872" t="s">
        <v>73</v>
      </c>
      <c r="G872" t="s">
        <v>1521</v>
      </c>
      <c r="I872" t="s">
        <v>1522</v>
      </c>
      <c r="J872" t="s">
        <v>433</v>
      </c>
      <c r="K872" t="str">
        <f>"92614"</f>
        <v>92614</v>
      </c>
      <c r="L872">
        <v>86</v>
      </c>
      <c r="M872">
        <v>82</v>
      </c>
      <c r="N872">
        <v>4</v>
      </c>
    </row>
    <row r="873" spans="1:14" x14ac:dyDescent="0.25">
      <c r="A873" t="s">
        <v>1648</v>
      </c>
      <c r="B873" t="s">
        <v>1649</v>
      </c>
      <c r="C873" t="s">
        <v>148</v>
      </c>
      <c r="D873" t="s">
        <v>13</v>
      </c>
      <c r="E873" t="str">
        <f>"98332"</f>
        <v>98332</v>
      </c>
      <c r="F873" t="s">
        <v>73</v>
      </c>
      <c r="G873" t="s">
        <v>1650</v>
      </c>
      <c r="I873" t="s">
        <v>148</v>
      </c>
      <c r="J873" t="s">
        <v>13</v>
      </c>
      <c r="K873" t="str">
        <f>"98332"</f>
        <v>98332</v>
      </c>
      <c r="L873">
        <v>140</v>
      </c>
      <c r="M873">
        <v>140</v>
      </c>
      <c r="N873">
        <v>0</v>
      </c>
    </row>
    <row r="874" spans="1:14" x14ac:dyDescent="0.25">
      <c r="A874" t="s">
        <v>1407</v>
      </c>
      <c r="B874" t="s">
        <v>1408</v>
      </c>
      <c r="C874" t="s">
        <v>72</v>
      </c>
      <c r="D874" t="s">
        <v>13</v>
      </c>
      <c r="E874" t="str">
        <f>"98404"</f>
        <v>98404</v>
      </c>
      <c r="F874" t="s">
        <v>73</v>
      </c>
      <c r="G874" t="s">
        <v>1409</v>
      </c>
      <c r="I874" t="s">
        <v>681</v>
      </c>
      <c r="J874" t="s">
        <v>13</v>
      </c>
      <c r="K874" t="str">
        <f>"98063"</f>
        <v>98063</v>
      </c>
      <c r="L874">
        <v>27</v>
      </c>
      <c r="M874">
        <v>27</v>
      </c>
      <c r="N874">
        <v>0</v>
      </c>
    </row>
    <row r="875" spans="1:14" x14ac:dyDescent="0.25">
      <c r="A875" t="s">
        <v>2228</v>
      </c>
      <c r="B875" t="s">
        <v>2229</v>
      </c>
      <c r="C875" t="s">
        <v>725</v>
      </c>
      <c r="D875" t="s">
        <v>13</v>
      </c>
      <c r="E875" t="str">
        <f>"98338"</f>
        <v>98338</v>
      </c>
      <c r="F875" t="s">
        <v>73</v>
      </c>
      <c r="G875" t="s">
        <v>326</v>
      </c>
      <c r="I875" t="s">
        <v>107</v>
      </c>
      <c r="J875" t="s">
        <v>13</v>
      </c>
      <c r="K875" t="str">
        <f>"98105"</f>
        <v>98105</v>
      </c>
      <c r="L875">
        <v>40</v>
      </c>
      <c r="M875">
        <v>40</v>
      </c>
      <c r="N875">
        <v>0</v>
      </c>
    </row>
    <row r="876" spans="1:14" x14ac:dyDescent="0.25">
      <c r="A876" t="s">
        <v>3242</v>
      </c>
      <c r="B876" t="s">
        <v>3243</v>
      </c>
      <c r="C876" t="s">
        <v>297</v>
      </c>
      <c r="D876" t="s">
        <v>13</v>
      </c>
      <c r="E876" t="str">
        <f>"98002"</f>
        <v>98002</v>
      </c>
      <c r="F876" t="s">
        <v>73</v>
      </c>
      <c r="G876" t="s">
        <v>3243</v>
      </c>
      <c r="I876" t="s">
        <v>297</v>
      </c>
      <c r="J876" t="s">
        <v>13</v>
      </c>
      <c r="K876" t="str">
        <f>"98002"</f>
        <v>98002</v>
      </c>
      <c r="L876">
        <v>304</v>
      </c>
      <c r="M876">
        <v>287</v>
      </c>
      <c r="N876">
        <v>17</v>
      </c>
    </row>
    <row r="877" spans="1:14" x14ac:dyDescent="0.25">
      <c r="A877" t="s">
        <v>2450</v>
      </c>
      <c r="B877" t="s">
        <v>2451</v>
      </c>
      <c r="C877" t="s">
        <v>159</v>
      </c>
      <c r="D877" t="s">
        <v>13</v>
      </c>
      <c r="E877" t="str">
        <f>"98387"</f>
        <v>98387</v>
      </c>
      <c r="F877" t="s">
        <v>73</v>
      </c>
      <c r="G877" t="s">
        <v>2452</v>
      </c>
      <c r="I877" t="s">
        <v>727</v>
      </c>
      <c r="J877" t="s">
        <v>13</v>
      </c>
      <c r="K877" t="str">
        <f>"98360"</f>
        <v>98360</v>
      </c>
      <c r="L877">
        <v>30</v>
      </c>
      <c r="M877">
        <v>3</v>
      </c>
      <c r="N877">
        <v>27</v>
      </c>
    </row>
    <row r="878" spans="1:14" x14ac:dyDescent="0.25">
      <c r="A878" t="s">
        <v>2641</v>
      </c>
      <c r="B878" t="s">
        <v>2642</v>
      </c>
      <c r="C878" t="s">
        <v>146</v>
      </c>
      <c r="D878" t="s">
        <v>13</v>
      </c>
      <c r="E878" t="str">
        <f>"98372"</f>
        <v>98372</v>
      </c>
      <c r="F878" t="s">
        <v>73</v>
      </c>
      <c r="G878" t="s">
        <v>112</v>
      </c>
      <c r="I878" t="s">
        <v>107</v>
      </c>
      <c r="J878" t="s">
        <v>13</v>
      </c>
      <c r="K878" t="str">
        <f>"98105"</f>
        <v>98105</v>
      </c>
      <c r="L878">
        <v>91</v>
      </c>
      <c r="M878">
        <v>91</v>
      </c>
      <c r="N878">
        <v>0</v>
      </c>
    </row>
    <row r="879" spans="1:14" x14ac:dyDescent="0.25">
      <c r="A879" t="s">
        <v>1426</v>
      </c>
      <c r="B879" t="s">
        <v>1427</v>
      </c>
      <c r="C879" t="s">
        <v>159</v>
      </c>
      <c r="D879" t="s">
        <v>13</v>
      </c>
      <c r="E879" t="str">
        <f>"98387"</f>
        <v>98387</v>
      </c>
      <c r="F879" t="s">
        <v>73</v>
      </c>
      <c r="G879" t="s">
        <v>1428</v>
      </c>
      <c r="H879" t="s">
        <v>1429</v>
      </c>
      <c r="I879" t="s">
        <v>605</v>
      </c>
      <c r="J879" t="s">
        <v>13</v>
      </c>
      <c r="K879" t="str">
        <f>"98005"</f>
        <v>98005</v>
      </c>
      <c r="L879">
        <v>81</v>
      </c>
      <c r="M879">
        <v>81</v>
      </c>
      <c r="N879">
        <v>0</v>
      </c>
    </row>
    <row r="880" spans="1:14" x14ac:dyDescent="0.25">
      <c r="A880" t="s">
        <v>2340</v>
      </c>
      <c r="B880" t="s">
        <v>2341</v>
      </c>
      <c r="C880" t="s">
        <v>146</v>
      </c>
      <c r="D880" t="s">
        <v>13</v>
      </c>
      <c r="E880" t="str">
        <f>"98372"</f>
        <v>98372</v>
      </c>
      <c r="F880" t="s">
        <v>73</v>
      </c>
      <c r="G880" t="s">
        <v>2342</v>
      </c>
      <c r="H880" t="s">
        <v>2343</v>
      </c>
      <c r="I880" t="s">
        <v>43</v>
      </c>
      <c r="J880" t="s">
        <v>13</v>
      </c>
      <c r="K880" t="str">
        <f>"98040"</f>
        <v>98040</v>
      </c>
      <c r="L880">
        <v>62</v>
      </c>
      <c r="M880">
        <v>62</v>
      </c>
      <c r="N880">
        <v>0</v>
      </c>
    </row>
    <row r="881" spans="1:14" x14ac:dyDescent="0.25">
      <c r="A881" t="s">
        <v>2040</v>
      </c>
      <c r="B881" t="s">
        <v>2041</v>
      </c>
      <c r="C881" t="s">
        <v>536</v>
      </c>
      <c r="D881" t="s">
        <v>13</v>
      </c>
      <c r="E881" t="str">
        <f>"98499"</f>
        <v>98499</v>
      </c>
      <c r="F881" t="s">
        <v>73</v>
      </c>
      <c r="G881" t="s">
        <v>1576</v>
      </c>
      <c r="I881" t="s">
        <v>605</v>
      </c>
      <c r="J881" t="s">
        <v>13</v>
      </c>
      <c r="K881" t="str">
        <f>"98006"</f>
        <v>98006</v>
      </c>
      <c r="L881">
        <v>50</v>
      </c>
      <c r="M881">
        <v>50</v>
      </c>
      <c r="N881">
        <v>0</v>
      </c>
    </row>
    <row r="882" spans="1:14" x14ac:dyDescent="0.25">
      <c r="A882" t="s">
        <v>849</v>
      </c>
      <c r="B882" t="s">
        <v>850</v>
      </c>
      <c r="C882" t="s">
        <v>72</v>
      </c>
      <c r="D882" t="s">
        <v>13</v>
      </c>
      <c r="E882" t="str">
        <f>"98404"</f>
        <v>98404</v>
      </c>
      <c r="F882" t="s">
        <v>73</v>
      </c>
      <c r="G882" t="s">
        <v>850</v>
      </c>
      <c r="I882" t="s">
        <v>72</v>
      </c>
      <c r="J882" t="s">
        <v>13</v>
      </c>
      <c r="K882" t="str">
        <f>"98404"</f>
        <v>98404</v>
      </c>
      <c r="L882">
        <v>19</v>
      </c>
      <c r="M882">
        <v>19</v>
      </c>
      <c r="N882">
        <v>0</v>
      </c>
    </row>
    <row r="883" spans="1:14" x14ac:dyDescent="0.25">
      <c r="A883" t="s">
        <v>2969</v>
      </c>
      <c r="B883" t="s">
        <v>2970</v>
      </c>
      <c r="C883" t="s">
        <v>72</v>
      </c>
      <c r="D883" t="s">
        <v>13</v>
      </c>
      <c r="E883" t="str">
        <f>"98443"</f>
        <v>98443</v>
      </c>
      <c r="F883" t="s">
        <v>73</v>
      </c>
      <c r="G883" t="s">
        <v>2252</v>
      </c>
      <c r="I883" t="s">
        <v>536</v>
      </c>
      <c r="J883" t="s">
        <v>13</v>
      </c>
      <c r="K883" t="str">
        <f>"98496"</f>
        <v>98496</v>
      </c>
      <c r="L883">
        <v>43</v>
      </c>
      <c r="M883">
        <v>43</v>
      </c>
      <c r="N883">
        <v>0</v>
      </c>
    </row>
    <row r="884" spans="1:14" x14ac:dyDescent="0.25">
      <c r="A884" t="s">
        <v>446</v>
      </c>
      <c r="B884" t="s">
        <v>447</v>
      </c>
      <c r="C884" t="s">
        <v>146</v>
      </c>
      <c r="D884" t="s">
        <v>13</v>
      </c>
      <c r="E884" t="str">
        <f>"98371"</f>
        <v>98371</v>
      </c>
      <c r="F884" t="s">
        <v>73</v>
      </c>
      <c r="G884" t="s">
        <v>448</v>
      </c>
      <c r="I884" t="s">
        <v>107</v>
      </c>
      <c r="J884" t="s">
        <v>13</v>
      </c>
      <c r="K884" t="str">
        <f>"98168"</f>
        <v>98168</v>
      </c>
      <c r="L884">
        <v>10</v>
      </c>
      <c r="M884">
        <v>10</v>
      </c>
      <c r="N884">
        <v>0</v>
      </c>
    </row>
    <row r="885" spans="1:14" x14ac:dyDescent="0.25">
      <c r="A885" t="s">
        <v>2719</v>
      </c>
      <c r="B885" t="s">
        <v>2720</v>
      </c>
      <c r="C885" t="s">
        <v>146</v>
      </c>
      <c r="D885" t="s">
        <v>13</v>
      </c>
      <c r="E885" t="str">
        <f>"98374"</f>
        <v>98374</v>
      </c>
      <c r="F885" t="s">
        <v>73</v>
      </c>
      <c r="G885" t="s">
        <v>1521</v>
      </c>
      <c r="I885" t="s">
        <v>1522</v>
      </c>
      <c r="J885" t="s">
        <v>433</v>
      </c>
      <c r="K885" t="str">
        <f>"92614"</f>
        <v>92614</v>
      </c>
      <c r="L885">
        <v>75</v>
      </c>
      <c r="M885">
        <v>74</v>
      </c>
      <c r="N885">
        <v>1</v>
      </c>
    </row>
    <row r="886" spans="1:14" x14ac:dyDescent="0.25">
      <c r="A886" t="s">
        <v>1355</v>
      </c>
      <c r="B886" t="s">
        <v>1907</v>
      </c>
      <c r="C886" t="s">
        <v>536</v>
      </c>
      <c r="D886" t="s">
        <v>13</v>
      </c>
      <c r="E886" t="str">
        <f>"98499"</f>
        <v>98499</v>
      </c>
      <c r="F886" t="s">
        <v>73</v>
      </c>
      <c r="G886" t="s">
        <v>1908</v>
      </c>
      <c r="I886" t="s">
        <v>1906</v>
      </c>
      <c r="J886" t="s">
        <v>433</v>
      </c>
      <c r="K886" t="str">
        <f>"95129"</f>
        <v>95129</v>
      </c>
      <c r="L886">
        <v>167</v>
      </c>
      <c r="M886">
        <v>167</v>
      </c>
      <c r="N886">
        <v>0</v>
      </c>
    </row>
    <row r="887" spans="1:14" x14ac:dyDescent="0.25">
      <c r="A887" t="s">
        <v>407</v>
      </c>
      <c r="B887" t="s">
        <v>408</v>
      </c>
      <c r="C887" t="s">
        <v>159</v>
      </c>
      <c r="D887" t="s">
        <v>13</v>
      </c>
      <c r="E887" t="str">
        <f>"98387"</f>
        <v>98387</v>
      </c>
      <c r="F887" t="s">
        <v>73</v>
      </c>
      <c r="G887" t="s">
        <v>409</v>
      </c>
      <c r="I887" t="s">
        <v>148</v>
      </c>
      <c r="J887" t="s">
        <v>13</v>
      </c>
      <c r="K887" t="str">
        <f>"98335"</f>
        <v>98335</v>
      </c>
      <c r="L887">
        <v>15</v>
      </c>
      <c r="M887">
        <v>15</v>
      </c>
      <c r="N887">
        <v>0</v>
      </c>
    </row>
    <row r="888" spans="1:14" x14ac:dyDescent="0.25">
      <c r="A888" t="s">
        <v>1758</v>
      </c>
      <c r="B888" t="s">
        <v>1759</v>
      </c>
      <c r="C888" t="s">
        <v>536</v>
      </c>
      <c r="D888" t="s">
        <v>13</v>
      </c>
      <c r="E888" t="str">
        <f>"98439"</f>
        <v>98439</v>
      </c>
      <c r="F888" t="s">
        <v>73</v>
      </c>
      <c r="G888" t="s">
        <v>1158</v>
      </c>
      <c r="I888" t="s">
        <v>678</v>
      </c>
      <c r="J888" t="s">
        <v>13</v>
      </c>
      <c r="K888" t="str">
        <f>"98501"</f>
        <v>98501</v>
      </c>
      <c r="L888">
        <v>10</v>
      </c>
      <c r="M888">
        <v>10</v>
      </c>
      <c r="N888">
        <v>0</v>
      </c>
    </row>
    <row r="889" spans="1:14" x14ac:dyDescent="0.25">
      <c r="A889" t="s">
        <v>1888</v>
      </c>
      <c r="B889" t="s">
        <v>1889</v>
      </c>
      <c r="C889" t="s">
        <v>72</v>
      </c>
      <c r="D889" t="s">
        <v>13</v>
      </c>
      <c r="E889" t="str">
        <f>"98443"</f>
        <v>98443</v>
      </c>
      <c r="F889" t="s">
        <v>73</v>
      </c>
      <c r="G889" t="s">
        <v>1890</v>
      </c>
      <c r="I889" t="s">
        <v>1891</v>
      </c>
      <c r="J889" t="s">
        <v>13</v>
      </c>
      <c r="K889" t="str">
        <f>"98354"</f>
        <v>98354</v>
      </c>
      <c r="L889">
        <v>10</v>
      </c>
      <c r="M889">
        <v>10</v>
      </c>
      <c r="N889">
        <v>0</v>
      </c>
    </row>
    <row r="890" spans="1:14" x14ac:dyDescent="0.25">
      <c r="A890" t="s">
        <v>1156</v>
      </c>
      <c r="B890" t="s">
        <v>1157</v>
      </c>
      <c r="C890" t="s">
        <v>536</v>
      </c>
      <c r="D890" t="s">
        <v>13</v>
      </c>
      <c r="E890" t="str">
        <f>"98498"</f>
        <v>98498</v>
      </c>
      <c r="F890" t="s">
        <v>73</v>
      </c>
      <c r="G890" t="s">
        <v>1158</v>
      </c>
      <c r="I890" t="s">
        <v>678</v>
      </c>
      <c r="J890" t="s">
        <v>13</v>
      </c>
      <c r="K890" t="str">
        <f>"98501"</f>
        <v>98501</v>
      </c>
      <c r="L890">
        <v>6</v>
      </c>
      <c r="M890">
        <v>6</v>
      </c>
      <c r="N890">
        <v>0</v>
      </c>
    </row>
    <row r="891" spans="1:14" x14ac:dyDescent="0.25">
      <c r="A891" t="s">
        <v>2059</v>
      </c>
      <c r="B891" t="s">
        <v>2060</v>
      </c>
      <c r="C891" t="s">
        <v>148</v>
      </c>
      <c r="D891" t="s">
        <v>13</v>
      </c>
      <c r="E891" t="str">
        <f>"98335"</f>
        <v>98335</v>
      </c>
      <c r="F891" t="s">
        <v>73</v>
      </c>
      <c r="G891" t="s">
        <v>2061</v>
      </c>
      <c r="I891" t="s">
        <v>507</v>
      </c>
      <c r="J891" t="s">
        <v>13</v>
      </c>
      <c r="K891" t="str">
        <f>"98391"</f>
        <v>98391</v>
      </c>
      <c r="L891">
        <v>33</v>
      </c>
      <c r="M891">
        <v>32</v>
      </c>
      <c r="N891">
        <v>1</v>
      </c>
    </row>
    <row r="892" spans="1:14" x14ac:dyDescent="0.25">
      <c r="A892" t="s">
        <v>1108</v>
      </c>
      <c r="B892" t="s">
        <v>1109</v>
      </c>
      <c r="C892" t="s">
        <v>146</v>
      </c>
      <c r="D892" t="s">
        <v>13</v>
      </c>
      <c r="E892" t="str">
        <f>"98371"</f>
        <v>98371</v>
      </c>
      <c r="F892" t="s">
        <v>73</v>
      </c>
      <c r="G892" t="s">
        <v>1110</v>
      </c>
      <c r="I892" t="s">
        <v>72</v>
      </c>
      <c r="J892" t="s">
        <v>13</v>
      </c>
      <c r="K892" t="str">
        <f>"98402"</f>
        <v>98402</v>
      </c>
      <c r="L892">
        <v>48</v>
      </c>
      <c r="M892">
        <v>21</v>
      </c>
      <c r="N892">
        <v>27</v>
      </c>
    </row>
    <row r="893" spans="1:14" x14ac:dyDescent="0.25">
      <c r="A893" t="s">
        <v>3600</v>
      </c>
      <c r="B893" t="s">
        <v>3601</v>
      </c>
      <c r="C893" t="s">
        <v>297</v>
      </c>
      <c r="D893" t="s">
        <v>13</v>
      </c>
      <c r="E893" t="str">
        <f>"98002"</f>
        <v>98002</v>
      </c>
      <c r="F893" t="s">
        <v>73</v>
      </c>
      <c r="G893" t="s">
        <v>2073</v>
      </c>
      <c r="I893" t="s">
        <v>1522</v>
      </c>
      <c r="J893" t="s">
        <v>433</v>
      </c>
      <c r="K893" t="str">
        <f>"92612"</f>
        <v>92612</v>
      </c>
      <c r="L893">
        <v>205</v>
      </c>
      <c r="M893">
        <v>202</v>
      </c>
      <c r="N893">
        <v>3</v>
      </c>
    </row>
    <row r="894" spans="1:14" x14ac:dyDescent="0.25">
      <c r="A894" t="s">
        <v>2553</v>
      </c>
      <c r="B894" t="s">
        <v>2554</v>
      </c>
      <c r="C894" t="s">
        <v>297</v>
      </c>
      <c r="D894" t="s">
        <v>13</v>
      </c>
      <c r="E894" t="str">
        <f>"98092"</f>
        <v>98092</v>
      </c>
      <c r="F894" t="s">
        <v>73</v>
      </c>
      <c r="G894" t="s">
        <v>2552</v>
      </c>
      <c r="I894" t="s">
        <v>1484</v>
      </c>
      <c r="J894" t="s">
        <v>13</v>
      </c>
      <c r="K894" t="str">
        <f>"98033"</f>
        <v>98033</v>
      </c>
      <c r="L894">
        <v>86</v>
      </c>
      <c r="M894">
        <v>81</v>
      </c>
      <c r="N894">
        <v>5</v>
      </c>
    </row>
    <row r="895" spans="1:14" x14ac:dyDescent="0.25">
      <c r="A895" t="s">
        <v>2336</v>
      </c>
      <c r="B895" t="s">
        <v>2337</v>
      </c>
      <c r="C895" t="s">
        <v>72</v>
      </c>
      <c r="D895" t="s">
        <v>13</v>
      </c>
      <c r="E895" t="str">
        <f>"98404"</f>
        <v>98404</v>
      </c>
      <c r="F895" t="s">
        <v>73</v>
      </c>
      <c r="G895" t="s">
        <v>2333</v>
      </c>
      <c r="H895" t="s">
        <v>1361</v>
      </c>
      <c r="I895" t="s">
        <v>43</v>
      </c>
      <c r="J895" t="s">
        <v>13</v>
      </c>
      <c r="K895" t="str">
        <f>"98040"</f>
        <v>98040</v>
      </c>
      <c r="L895">
        <v>31</v>
      </c>
      <c r="M895">
        <v>25</v>
      </c>
      <c r="N895">
        <v>6</v>
      </c>
    </row>
    <row r="896" spans="1:14" x14ac:dyDescent="0.25">
      <c r="A896" t="s">
        <v>2967</v>
      </c>
      <c r="B896" t="s">
        <v>2968</v>
      </c>
      <c r="C896" t="s">
        <v>159</v>
      </c>
      <c r="D896" t="s">
        <v>13</v>
      </c>
      <c r="E896" t="str">
        <f>"98387"</f>
        <v>98387</v>
      </c>
      <c r="F896" t="s">
        <v>73</v>
      </c>
      <c r="G896" t="s">
        <v>2252</v>
      </c>
      <c r="I896" t="s">
        <v>536</v>
      </c>
      <c r="J896" t="s">
        <v>13</v>
      </c>
      <c r="K896" t="str">
        <f>"98496"</f>
        <v>98496</v>
      </c>
      <c r="L896">
        <v>143</v>
      </c>
      <c r="M896">
        <v>143</v>
      </c>
      <c r="N896">
        <v>0</v>
      </c>
    </row>
    <row r="897" spans="1:14" x14ac:dyDescent="0.25">
      <c r="A897" t="s">
        <v>1326</v>
      </c>
      <c r="B897" t="s">
        <v>1327</v>
      </c>
      <c r="C897" t="s">
        <v>536</v>
      </c>
      <c r="D897" t="s">
        <v>13</v>
      </c>
      <c r="E897" t="str">
        <f>"98439"</f>
        <v>98439</v>
      </c>
      <c r="F897" t="s">
        <v>73</v>
      </c>
      <c r="G897" t="s">
        <v>1328</v>
      </c>
      <c r="I897" t="s">
        <v>43</v>
      </c>
      <c r="J897" t="s">
        <v>13</v>
      </c>
      <c r="K897" t="str">
        <f>"98040"</f>
        <v>98040</v>
      </c>
      <c r="L897">
        <v>32</v>
      </c>
      <c r="M897">
        <v>32</v>
      </c>
      <c r="N897">
        <v>0</v>
      </c>
    </row>
    <row r="898" spans="1:14" x14ac:dyDescent="0.25">
      <c r="A898" t="s">
        <v>3595</v>
      </c>
      <c r="B898" t="s">
        <v>3596</v>
      </c>
      <c r="C898" t="s">
        <v>146</v>
      </c>
      <c r="D898" t="s">
        <v>13</v>
      </c>
      <c r="E898" t="str">
        <f>"98375"</f>
        <v>98375</v>
      </c>
      <c r="F898" t="s">
        <v>73</v>
      </c>
      <c r="G898" t="s">
        <v>3597</v>
      </c>
      <c r="H898" t="s">
        <v>3598</v>
      </c>
      <c r="I898" t="s">
        <v>3599</v>
      </c>
      <c r="J898" t="s">
        <v>433</v>
      </c>
      <c r="K898" t="str">
        <f>"92009"</f>
        <v>92009</v>
      </c>
      <c r="L898">
        <v>51</v>
      </c>
      <c r="M898">
        <v>51</v>
      </c>
      <c r="N898">
        <v>0</v>
      </c>
    </row>
    <row r="899" spans="1:14" x14ac:dyDescent="0.25">
      <c r="A899" t="s">
        <v>940</v>
      </c>
      <c r="B899" t="s">
        <v>941</v>
      </c>
      <c r="C899" t="s">
        <v>725</v>
      </c>
      <c r="D899" t="s">
        <v>13</v>
      </c>
      <c r="E899" t="str">
        <f>"98338"</f>
        <v>98338</v>
      </c>
      <c r="F899" t="s">
        <v>73</v>
      </c>
      <c r="G899" t="s">
        <v>932</v>
      </c>
      <c r="I899" t="s">
        <v>933</v>
      </c>
      <c r="J899" t="s">
        <v>13</v>
      </c>
      <c r="K899" t="str">
        <f>"98372"</f>
        <v>98372</v>
      </c>
      <c r="L899">
        <v>8</v>
      </c>
      <c r="M899">
        <v>5</v>
      </c>
      <c r="N899">
        <v>3</v>
      </c>
    </row>
    <row r="900" spans="1:14" x14ac:dyDescent="0.25">
      <c r="A900" t="s">
        <v>1737</v>
      </c>
      <c r="B900" t="s">
        <v>1738</v>
      </c>
      <c r="C900" t="s">
        <v>1419</v>
      </c>
      <c r="D900" t="s">
        <v>13</v>
      </c>
      <c r="E900" t="str">
        <f>"98250"</f>
        <v>98250</v>
      </c>
      <c r="F900" t="s">
        <v>1420</v>
      </c>
      <c r="G900" t="s">
        <v>1739</v>
      </c>
      <c r="I900" t="s">
        <v>1484</v>
      </c>
      <c r="J900" t="s">
        <v>13</v>
      </c>
      <c r="K900" t="str">
        <f>"98083"</f>
        <v>98083</v>
      </c>
      <c r="L900">
        <v>64</v>
      </c>
      <c r="M900">
        <v>54</v>
      </c>
      <c r="N900">
        <v>10</v>
      </c>
    </row>
    <row r="901" spans="1:14" x14ac:dyDescent="0.25">
      <c r="A901" t="s">
        <v>1417</v>
      </c>
      <c r="B901" t="s">
        <v>1418</v>
      </c>
      <c r="C901" t="s">
        <v>1419</v>
      </c>
      <c r="D901" t="s">
        <v>13</v>
      </c>
      <c r="E901" t="str">
        <f>"98250"</f>
        <v>98250</v>
      </c>
      <c r="F901" t="s">
        <v>1420</v>
      </c>
      <c r="G901" t="s">
        <v>1418</v>
      </c>
      <c r="I901" t="s">
        <v>1419</v>
      </c>
      <c r="J901" t="s">
        <v>13</v>
      </c>
      <c r="K901" t="str">
        <f>"98250"</f>
        <v>98250</v>
      </c>
      <c r="L901">
        <v>80</v>
      </c>
      <c r="M901">
        <v>75</v>
      </c>
      <c r="N901">
        <v>5</v>
      </c>
    </row>
    <row r="902" spans="1:14" x14ac:dyDescent="0.25">
      <c r="A902" t="s">
        <v>2013</v>
      </c>
      <c r="B902" t="s">
        <v>2014</v>
      </c>
      <c r="C902" t="s">
        <v>567</v>
      </c>
      <c r="D902" t="s">
        <v>13</v>
      </c>
      <c r="E902" t="str">
        <f>"98273"</f>
        <v>98273</v>
      </c>
      <c r="F902" t="s">
        <v>78</v>
      </c>
      <c r="G902" t="s">
        <v>2015</v>
      </c>
      <c r="I902" t="s">
        <v>2016</v>
      </c>
      <c r="J902" t="s">
        <v>13</v>
      </c>
      <c r="K902" t="str">
        <f>"98220"</f>
        <v>98220</v>
      </c>
      <c r="L902">
        <v>11</v>
      </c>
      <c r="M902">
        <v>11</v>
      </c>
      <c r="N902">
        <v>0</v>
      </c>
    </row>
    <row r="903" spans="1:14" x14ac:dyDescent="0.25">
      <c r="A903" t="s">
        <v>565</v>
      </c>
      <c r="B903" t="s">
        <v>566</v>
      </c>
      <c r="C903" t="s">
        <v>567</v>
      </c>
      <c r="D903" t="s">
        <v>13</v>
      </c>
      <c r="E903" t="str">
        <f>"98273"</f>
        <v>98273</v>
      </c>
      <c r="F903" t="s">
        <v>78</v>
      </c>
      <c r="G903" t="s">
        <v>568</v>
      </c>
      <c r="I903" t="s">
        <v>567</v>
      </c>
      <c r="J903" t="s">
        <v>13</v>
      </c>
      <c r="K903" t="str">
        <f>"98273"</f>
        <v>98273</v>
      </c>
      <c r="L903">
        <v>35</v>
      </c>
      <c r="M903">
        <v>31</v>
      </c>
      <c r="N903">
        <v>4</v>
      </c>
    </row>
    <row r="904" spans="1:14" x14ac:dyDescent="0.25">
      <c r="A904" t="s">
        <v>2877</v>
      </c>
      <c r="B904" t="s">
        <v>2878</v>
      </c>
      <c r="C904" t="s">
        <v>77</v>
      </c>
      <c r="D904" t="s">
        <v>13</v>
      </c>
      <c r="E904" t="str">
        <f>"98233"</f>
        <v>98233</v>
      </c>
      <c r="F904" t="s">
        <v>78</v>
      </c>
      <c r="G904" t="s">
        <v>2879</v>
      </c>
      <c r="I904" t="s">
        <v>2497</v>
      </c>
      <c r="J904" t="s">
        <v>268</v>
      </c>
      <c r="K904" t="str">
        <f>"85262"</f>
        <v>85262</v>
      </c>
      <c r="L904">
        <v>32</v>
      </c>
      <c r="M904">
        <v>32</v>
      </c>
      <c r="N904">
        <v>0</v>
      </c>
    </row>
    <row r="905" spans="1:14" x14ac:dyDescent="0.25">
      <c r="A905" t="s">
        <v>3898</v>
      </c>
      <c r="B905" t="s">
        <v>3899</v>
      </c>
      <c r="C905" t="s">
        <v>1631</v>
      </c>
      <c r="D905" t="s">
        <v>13</v>
      </c>
      <c r="E905" t="str">
        <f>"98284"</f>
        <v>98284</v>
      </c>
      <c r="F905" t="s">
        <v>78</v>
      </c>
      <c r="G905" t="s">
        <v>3900</v>
      </c>
      <c r="I905" t="s">
        <v>46</v>
      </c>
      <c r="J905" t="s">
        <v>13</v>
      </c>
      <c r="K905" t="str">
        <f>"98072"</f>
        <v>98072</v>
      </c>
      <c r="L905">
        <v>64</v>
      </c>
      <c r="M905">
        <v>49</v>
      </c>
      <c r="N905">
        <v>15</v>
      </c>
    </row>
    <row r="906" spans="1:14" x14ac:dyDescent="0.25">
      <c r="A906" t="s">
        <v>212</v>
      </c>
      <c r="B906" t="s">
        <v>2678</v>
      </c>
      <c r="C906" t="s">
        <v>1631</v>
      </c>
      <c r="D906" t="s">
        <v>13</v>
      </c>
      <c r="E906" t="str">
        <f>"98284"</f>
        <v>98284</v>
      </c>
      <c r="F906" t="s">
        <v>78</v>
      </c>
      <c r="G906" t="s">
        <v>2679</v>
      </c>
      <c r="I906" t="s">
        <v>1631</v>
      </c>
      <c r="J906" t="s">
        <v>13</v>
      </c>
      <c r="K906" t="str">
        <f>"98284"</f>
        <v>98284</v>
      </c>
      <c r="L906">
        <v>46</v>
      </c>
      <c r="M906">
        <v>43</v>
      </c>
      <c r="N906">
        <v>3</v>
      </c>
    </row>
    <row r="907" spans="1:14" x14ac:dyDescent="0.25">
      <c r="A907" t="s">
        <v>3963</v>
      </c>
      <c r="B907" t="s">
        <v>3964</v>
      </c>
      <c r="C907" t="s">
        <v>567</v>
      </c>
      <c r="D907" t="s">
        <v>13</v>
      </c>
      <c r="E907" t="str">
        <f>"98274"</f>
        <v>98274</v>
      </c>
      <c r="F907" t="s">
        <v>78</v>
      </c>
      <c r="G907" t="s">
        <v>3965</v>
      </c>
      <c r="I907" t="s">
        <v>3217</v>
      </c>
      <c r="J907" t="s">
        <v>821</v>
      </c>
      <c r="K907" t="str">
        <f>"97031"</f>
        <v>97031</v>
      </c>
      <c r="L907">
        <v>123</v>
      </c>
      <c r="M907">
        <v>123</v>
      </c>
      <c r="N907">
        <v>0</v>
      </c>
    </row>
    <row r="908" spans="1:14" x14ac:dyDescent="0.25">
      <c r="A908" t="s">
        <v>1485</v>
      </c>
      <c r="B908" t="s">
        <v>1486</v>
      </c>
      <c r="C908" t="s">
        <v>77</v>
      </c>
      <c r="D908" t="s">
        <v>13</v>
      </c>
      <c r="E908" t="str">
        <f>"98233"</f>
        <v>98233</v>
      </c>
      <c r="F908" t="s">
        <v>78</v>
      </c>
      <c r="G908" t="s">
        <v>111</v>
      </c>
      <c r="I908" t="s">
        <v>107</v>
      </c>
      <c r="J908" t="s">
        <v>13</v>
      </c>
      <c r="K908" t="str">
        <f>"98105"</f>
        <v>98105</v>
      </c>
      <c r="L908">
        <v>49</v>
      </c>
      <c r="M908">
        <v>49</v>
      </c>
      <c r="N908">
        <v>0</v>
      </c>
    </row>
    <row r="909" spans="1:14" x14ac:dyDescent="0.25">
      <c r="A909" t="s">
        <v>1551</v>
      </c>
      <c r="B909" t="s">
        <v>1552</v>
      </c>
      <c r="C909" t="s">
        <v>567</v>
      </c>
      <c r="D909" t="s">
        <v>13</v>
      </c>
      <c r="E909" t="str">
        <f>"98273"</f>
        <v>98273</v>
      </c>
      <c r="F909" t="s">
        <v>78</v>
      </c>
      <c r="G909" t="s">
        <v>1553</v>
      </c>
      <c r="I909" t="s">
        <v>12</v>
      </c>
      <c r="J909" t="s">
        <v>13</v>
      </c>
      <c r="K909" t="str">
        <f>"98087"</f>
        <v>98087</v>
      </c>
      <c r="L909">
        <v>39</v>
      </c>
      <c r="M909">
        <v>39</v>
      </c>
      <c r="N909">
        <v>0</v>
      </c>
    </row>
    <row r="910" spans="1:14" x14ac:dyDescent="0.25">
      <c r="A910" t="s">
        <v>2498</v>
      </c>
      <c r="B910" t="s">
        <v>2499</v>
      </c>
      <c r="C910" t="s">
        <v>1631</v>
      </c>
      <c r="D910" t="s">
        <v>13</v>
      </c>
      <c r="E910" t="str">
        <f>"98284"</f>
        <v>98284</v>
      </c>
      <c r="F910" t="s">
        <v>78</v>
      </c>
      <c r="G910" t="s">
        <v>2500</v>
      </c>
      <c r="I910" t="s">
        <v>2501</v>
      </c>
      <c r="J910" t="s">
        <v>13</v>
      </c>
      <c r="K910" t="str">
        <f>"98221"</f>
        <v>98221</v>
      </c>
      <c r="L910">
        <v>11</v>
      </c>
      <c r="M910">
        <v>11</v>
      </c>
      <c r="N910">
        <v>0</v>
      </c>
    </row>
    <row r="911" spans="1:14" x14ac:dyDescent="0.25">
      <c r="A911" t="s">
        <v>1285</v>
      </c>
      <c r="B911" t="s">
        <v>2332</v>
      </c>
      <c r="C911" t="s">
        <v>567</v>
      </c>
      <c r="D911" t="s">
        <v>13</v>
      </c>
      <c r="E911" t="str">
        <f>"98273"</f>
        <v>98273</v>
      </c>
      <c r="F911" t="s">
        <v>78</v>
      </c>
      <c r="G911" t="s">
        <v>2333</v>
      </c>
      <c r="H911" t="s">
        <v>1361</v>
      </c>
      <c r="I911" t="s">
        <v>43</v>
      </c>
      <c r="J911" t="s">
        <v>13</v>
      </c>
      <c r="K911" t="str">
        <f>"98040"</f>
        <v>98040</v>
      </c>
      <c r="L911">
        <v>34</v>
      </c>
      <c r="M911">
        <v>34</v>
      </c>
      <c r="N911">
        <v>0</v>
      </c>
    </row>
    <row r="912" spans="1:14" x14ac:dyDescent="0.25">
      <c r="A912" t="s">
        <v>2584</v>
      </c>
      <c r="B912" t="s">
        <v>2585</v>
      </c>
      <c r="C912" t="s">
        <v>567</v>
      </c>
      <c r="D912" t="s">
        <v>13</v>
      </c>
      <c r="E912" t="str">
        <f>"98273"</f>
        <v>98273</v>
      </c>
      <c r="F912" t="s">
        <v>78</v>
      </c>
      <c r="G912" t="s">
        <v>2586</v>
      </c>
      <c r="I912" t="s">
        <v>567</v>
      </c>
      <c r="J912" t="s">
        <v>13</v>
      </c>
      <c r="K912" t="str">
        <f>"98273"</f>
        <v>98273</v>
      </c>
      <c r="L912">
        <v>16</v>
      </c>
      <c r="M912">
        <v>16</v>
      </c>
      <c r="N912">
        <v>0</v>
      </c>
    </row>
    <row r="913" spans="1:14" x14ac:dyDescent="0.25">
      <c r="A913" t="s">
        <v>1399</v>
      </c>
      <c r="B913" t="s">
        <v>1400</v>
      </c>
      <c r="C913" t="s">
        <v>77</v>
      </c>
      <c r="D913" t="s">
        <v>13</v>
      </c>
      <c r="E913" t="str">
        <f>"98233"</f>
        <v>98233</v>
      </c>
      <c r="F913" t="s">
        <v>78</v>
      </c>
      <c r="G913" t="s">
        <v>1401</v>
      </c>
      <c r="I913" t="s">
        <v>77</v>
      </c>
      <c r="J913" t="s">
        <v>13</v>
      </c>
      <c r="K913" t="str">
        <f>"98233"</f>
        <v>98233</v>
      </c>
      <c r="L913">
        <v>22</v>
      </c>
      <c r="M913">
        <v>22</v>
      </c>
      <c r="N913">
        <v>0</v>
      </c>
    </row>
    <row r="914" spans="1:14" x14ac:dyDescent="0.25">
      <c r="A914" t="s">
        <v>3409</v>
      </c>
      <c r="B914" t="s">
        <v>3410</v>
      </c>
      <c r="C914" t="s">
        <v>1631</v>
      </c>
      <c r="D914" t="s">
        <v>13</v>
      </c>
      <c r="E914" t="str">
        <f>"98284"</f>
        <v>98284</v>
      </c>
      <c r="F914" t="s">
        <v>78</v>
      </c>
      <c r="G914" t="s">
        <v>3411</v>
      </c>
      <c r="I914" t="s">
        <v>3412</v>
      </c>
      <c r="J914" t="s">
        <v>433</v>
      </c>
      <c r="K914" t="str">
        <f>"92106"</f>
        <v>92106</v>
      </c>
      <c r="L914">
        <v>30</v>
      </c>
      <c r="M914">
        <v>30</v>
      </c>
      <c r="N914">
        <v>0</v>
      </c>
    </row>
    <row r="915" spans="1:14" x14ac:dyDescent="0.25">
      <c r="A915" t="s">
        <v>3556</v>
      </c>
      <c r="B915" t="s">
        <v>3557</v>
      </c>
      <c r="C915" t="s">
        <v>567</v>
      </c>
      <c r="D915" t="s">
        <v>13</v>
      </c>
      <c r="E915" t="str">
        <f>"98274"</f>
        <v>98274</v>
      </c>
      <c r="F915" t="s">
        <v>78</v>
      </c>
      <c r="G915" t="s">
        <v>1521</v>
      </c>
      <c r="I915" t="s">
        <v>1522</v>
      </c>
      <c r="J915" t="s">
        <v>433</v>
      </c>
      <c r="K915" t="str">
        <f>"92614"</f>
        <v>92614</v>
      </c>
      <c r="L915">
        <v>120</v>
      </c>
      <c r="M915">
        <v>118</v>
      </c>
      <c r="N915">
        <v>2</v>
      </c>
    </row>
    <row r="916" spans="1:14" x14ac:dyDescent="0.25">
      <c r="A916" t="s">
        <v>3484</v>
      </c>
      <c r="B916" t="s">
        <v>3485</v>
      </c>
      <c r="C916" t="s">
        <v>1631</v>
      </c>
      <c r="D916" t="s">
        <v>13</v>
      </c>
      <c r="E916" t="str">
        <f>"98284"</f>
        <v>98284</v>
      </c>
      <c r="F916" t="s">
        <v>78</v>
      </c>
      <c r="G916" t="s">
        <v>3486</v>
      </c>
      <c r="I916" t="s">
        <v>1620</v>
      </c>
      <c r="J916" t="s">
        <v>13</v>
      </c>
      <c r="K916" t="str">
        <f>"98275"</f>
        <v>98275</v>
      </c>
      <c r="L916">
        <v>29</v>
      </c>
      <c r="M916">
        <v>28</v>
      </c>
      <c r="N916">
        <v>1</v>
      </c>
    </row>
    <row r="917" spans="1:14" x14ac:dyDescent="0.25">
      <c r="A917" t="s">
        <v>2344</v>
      </c>
      <c r="B917" t="s">
        <v>2345</v>
      </c>
      <c r="C917" t="s">
        <v>567</v>
      </c>
      <c r="D917" t="s">
        <v>13</v>
      </c>
      <c r="E917" t="str">
        <f>"98273"</f>
        <v>98273</v>
      </c>
      <c r="F917" t="s">
        <v>78</v>
      </c>
      <c r="G917" t="s">
        <v>1361</v>
      </c>
      <c r="I917" t="s">
        <v>43</v>
      </c>
      <c r="J917" t="s">
        <v>13</v>
      </c>
      <c r="K917" t="str">
        <f>"98040"</f>
        <v>98040</v>
      </c>
      <c r="L917">
        <v>46</v>
      </c>
      <c r="M917">
        <v>46</v>
      </c>
      <c r="N917">
        <v>0</v>
      </c>
    </row>
    <row r="918" spans="1:14" x14ac:dyDescent="0.25">
      <c r="A918" t="s">
        <v>75</v>
      </c>
      <c r="B918" t="s">
        <v>76</v>
      </c>
      <c r="C918" t="s">
        <v>77</v>
      </c>
      <c r="D918" t="s">
        <v>13</v>
      </c>
      <c r="E918" t="str">
        <f>"98233"</f>
        <v>98233</v>
      </c>
      <c r="F918" t="s">
        <v>78</v>
      </c>
      <c r="G918" t="s">
        <v>79</v>
      </c>
      <c r="I918" t="s">
        <v>77</v>
      </c>
      <c r="J918" t="s">
        <v>13</v>
      </c>
      <c r="K918" t="str">
        <f>"98233"</f>
        <v>98233</v>
      </c>
      <c r="L918">
        <v>4</v>
      </c>
      <c r="M918">
        <v>4</v>
      </c>
      <c r="N918">
        <v>0</v>
      </c>
    </row>
    <row r="919" spans="1:14" x14ac:dyDescent="0.25">
      <c r="A919" t="s">
        <v>2535</v>
      </c>
      <c r="B919" t="s">
        <v>2536</v>
      </c>
      <c r="C919" t="s">
        <v>567</v>
      </c>
      <c r="D919" t="s">
        <v>13</v>
      </c>
      <c r="E919" t="str">
        <f>"98273"</f>
        <v>98273</v>
      </c>
      <c r="F919" t="s">
        <v>78</v>
      </c>
      <c r="G919" t="s">
        <v>2537</v>
      </c>
      <c r="I919" t="s">
        <v>14</v>
      </c>
      <c r="J919" t="s">
        <v>13</v>
      </c>
      <c r="K919" t="str">
        <f>"98290"</f>
        <v>98290</v>
      </c>
      <c r="L919">
        <v>22</v>
      </c>
      <c r="M919">
        <v>22</v>
      </c>
      <c r="N919">
        <v>0</v>
      </c>
    </row>
    <row r="920" spans="1:14" x14ac:dyDescent="0.25">
      <c r="A920" t="s">
        <v>1410</v>
      </c>
      <c r="B920" t="s">
        <v>1411</v>
      </c>
      <c r="C920" t="s">
        <v>567</v>
      </c>
      <c r="D920" t="s">
        <v>13</v>
      </c>
      <c r="E920" t="str">
        <f>"98273"</f>
        <v>98273</v>
      </c>
      <c r="F920" t="s">
        <v>78</v>
      </c>
      <c r="G920" t="s">
        <v>1411</v>
      </c>
      <c r="I920" t="s">
        <v>567</v>
      </c>
      <c r="J920" t="s">
        <v>13</v>
      </c>
      <c r="K920" t="str">
        <f>"98273"</f>
        <v>98273</v>
      </c>
      <c r="L920">
        <v>126</v>
      </c>
      <c r="M920">
        <v>126</v>
      </c>
      <c r="N920">
        <v>0</v>
      </c>
    </row>
    <row r="921" spans="1:14" x14ac:dyDescent="0.25">
      <c r="A921" t="s">
        <v>2389</v>
      </c>
      <c r="B921" t="s">
        <v>2390</v>
      </c>
      <c r="C921" t="s">
        <v>567</v>
      </c>
      <c r="D921" t="s">
        <v>13</v>
      </c>
      <c r="E921" t="str">
        <f>"98273"</f>
        <v>98273</v>
      </c>
      <c r="F921" t="s">
        <v>78</v>
      </c>
      <c r="G921" t="s">
        <v>2391</v>
      </c>
      <c r="I921" t="s">
        <v>2392</v>
      </c>
      <c r="J921" t="s">
        <v>13</v>
      </c>
      <c r="K921" t="str">
        <f>"98257"</f>
        <v>98257</v>
      </c>
      <c r="L921">
        <v>7</v>
      </c>
      <c r="M921">
        <v>7</v>
      </c>
      <c r="N921">
        <v>0</v>
      </c>
    </row>
    <row r="922" spans="1:14" x14ac:dyDescent="0.25">
      <c r="A922" t="s">
        <v>2525</v>
      </c>
      <c r="B922" t="s">
        <v>2526</v>
      </c>
      <c r="C922" t="s">
        <v>1631</v>
      </c>
      <c r="D922" t="s">
        <v>13</v>
      </c>
      <c r="E922" t="str">
        <f>"98284"</f>
        <v>98284</v>
      </c>
      <c r="F922" t="s">
        <v>78</v>
      </c>
      <c r="G922" t="s">
        <v>2527</v>
      </c>
      <c r="I922" t="s">
        <v>107</v>
      </c>
      <c r="J922" t="s">
        <v>13</v>
      </c>
      <c r="K922" t="str">
        <f>"98116"</f>
        <v>98116</v>
      </c>
      <c r="L922">
        <v>56</v>
      </c>
      <c r="M922">
        <v>44</v>
      </c>
      <c r="N922">
        <v>12</v>
      </c>
    </row>
    <row r="923" spans="1:14" x14ac:dyDescent="0.25">
      <c r="A923" t="s">
        <v>4064</v>
      </c>
      <c r="B923" t="s">
        <v>2965</v>
      </c>
      <c r="C923" t="s">
        <v>1631</v>
      </c>
      <c r="D923" t="s">
        <v>13</v>
      </c>
      <c r="E923" t="str">
        <f>"98284"</f>
        <v>98284</v>
      </c>
      <c r="F923" t="s">
        <v>78</v>
      </c>
      <c r="G923" t="s">
        <v>111</v>
      </c>
      <c r="I923" t="s">
        <v>107</v>
      </c>
      <c r="J923" t="s">
        <v>13</v>
      </c>
      <c r="K923" t="str">
        <f>"98105"</f>
        <v>98105</v>
      </c>
      <c r="L923">
        <v>0</v>
      </c>
      <c r="M923">
        <v>22</v>
      </c>
      <c r="N923">
        <v>0</v>
      </c>
    </row>
    <row r="924" spans="1:14" x14ac:dyDescent="0.25">
      <c r="A924" t="s">
        <v>2964</v>
      </c>
      <c r="B924" t="s">
        <v>2965</v>
      </c>
      <c r="C924" t="s">
        <v>1631</v>
      </c>
      <c r="D924" t="s">
        <v>13</v>
      </c>
      <c r="E924" t="str">
        <f>"98284"</f>
        <v>98284</v>
      </c>
      <c r="F924" t="s">
        <v>78</v>
      </c>
      <c r="G924" t="s">
        <v>2966</v>
      </c>
      <c r="I924" t="s">
        <v>437</v>
      </c>
      <c r="J924" t="s">
        <v>13</v>
      </c>
      <c r="K924" t="str">
        <f>"98020"</f>
        <v>98020</v>
      </c>
      <c r="L924">
        <v>21</v>
      </c>
      <c r="M924">
        <v>20</v>
      </c>
      <c r="N924">
        <v>1</v>
      </c>
    </row>
    <row r="925" spans="1:14" x14ac:dyDescent="0.25">
      <c r="A925" t="s">
        <v>2367</v>
      </c>
      <c r="B925" t="s">
        <v>2368</v>
      </c>
      <c r="C925" t="s">
        <v>567</v>
      </c>
      <c r="D925" t="s">
        <v>13</v>
      </c>
      <c r="E925" t="str">
        <f>"98273"</f>
        <v>98273</v>
      </c>
      <c r="F925" t="s">
        <v>78</v>
      </c>
      <c r="G925" t="s">
        <v>2369</v>
      </c>
      <c r="I925" t="s">
        <v>567</v>
      </c>
      <c r="J925" t="s">
        <v>13</v>
      </c>
      <c r="K925" t="str">
        <f>"98273"</f>
        <v>98273</v>
      </c>
      <c r="L925">
        <v>172</v>
      </c>
      <c r="M925">
        <v>172</v>
      </c>
      <c r="N925">
        <v>0</v>
      </c>
    </row>
    <row r="926" spans="1:14" x14ac:dyDescent="0.25">
      <c r="A926" t="s">
        <v>2549</v>
      </c>
      <c r="B926" t="s">
        <v>2550</v>
      </c>
      <c r="C926" t="s">
        <v>1631</v>
      </c>
      <c r="D926" t="s">
        <v>13</v>
      </c>
      <c r="E926" t="str">
        <f>"98284"</f>
        <v>98284</v>
      </c>
      <c r="F926" t="s">
        <v>78</v>
      </c>
      <c r="G926" t="s">
        <v>2551</v>
      </c>
      <c r="H926" t="s">
        <v>2552</v>
      </c>
      <c r="I926" t="s">
        <v>1484</v>
      </c>
      <c r="J926" t="s">
        <v>13</v>
      </c>
      <c r="K926" t="str">
        <f>"98033"</f>
        <v>98033</v>
      </c>
      <c r="L926">
        <v>50</v>
      </c>
      <c r="M926">
        <v>35</v>
      </c>
      <c r="N926">
        <v>15</v>
      </c>
    </row>
    <row r="927" spans="1:14" x14ac:dyDescent="0.25">
      <c r="A927" t="s">
        <v>2092</v>
      </c>
      <c r="B927" t="s">
        <v>2093</v>
      </c>
      <c r="C927" t="s">
        <v>2094</v>
      </c>
      <c r="D927" t="s">
        <v>13</v>
      </c>
      <c r="E927" t="str">
        <f>"98237"</f>
        <v>98237</v>
      </c>
      <c r="F927" t="s">
        <v>78</v>
      </c>
      <c r="G927" t="s">
        <v>2095</v>
      </c>
      <c r="I927" t="s">
        <v>567</v>
      </c>
      <c r="J927" t="s">
        <v>13</v>
      </c>
      <c r="K927" t="str">
        <f>"98273"</f>
        <v>98273</v>
      </c>
      <c r="L927">
        <v>35</v>
      </c>
      <c r="M927">
        <v>27</v>
      </c>
      <c r="N927">
        <v>8</v>
      </c>
    </row>
    <row r="928" spans="1:14" x14ac:dyDescent="0.25">
      <c r="A928" t="s">
        <v>3681</v>
      </c>
      <c r="B928" t="s">
        <v>3682</v>
      </c>
      <c r="C928" t="s">
        <v>1631</v>
      </c>
      <c r="D928" t="s">
        <v>13</v>
      </c>
      <c r="E928" t="str">
        <f>"98284"</f>
        <v>98284</v>
      </c>
      <c r="F928" t="s">
        <v>78</v>
      </c>
      <c r="G928" t="s">
        <v>1521</v>
      </c>
      <c r="I928" t="s">
        <v>1522</v>
      </c>
      <c r="J928" t="s">
        <v>433</v>
      </c>
      <c r="K928" t="str">
        <f>"92614"</f>
        <v>92614</v>
      </c>
      <c r="L928">
        <v>104</v>
      </c>
      <c r="M928">
        <v>100</v>
      </c>
      <c r="N928">
        <v>4</v>
      </c>
    </row>
    <row r="929" spans="1:14" x14ac:dyDescent="0.25">
      <c r="A929" t="s">
        <v>1629</v>
      </c>
      <c r="B929" t="s">
        <v>1630</v>
      </c>
      <c r="C929" t="s">
        <v>1631</v>
      </c>
      <c r="D929" t="s">
        <v>13</v>
      </c>
      <c r="E929" t="str">
        <f>"98284"</f>
        <v>98284</v>
      </c>
      <c r="F929" t="s">
        <v>78</v>
      </c>
      <c r="G929" t="s">
        <v>1632</v>
      </c>
      <c r="I929" t="s">
        <v>1633</v>
      </c>
      <c r="J929" t="s">
        <v>433</v>
      </c>
      <c r="K929" t="str">
        <f>"94526"</f>
        <v>94526</v>
      </c>
      <c r="L929">
        <v>74</v>
      </c>
      <c r="M929">
        <v>64</v>
      </c>
      <c r="N929">
        <v>10</v>
      </c>
    </row>
    <row r="930" spans="1:14" x14ac:dyDescent="0.25">
      <c r="A930" t="s">
        <v>2528</v>
      </c>
      <c r="B930" t="s">
        <v>2529</v>
      </c>
      <c r="C930" t="s">
        <v>1631</v>
      </c>
      <c r="D930" t="s">
        <v>13</v>
      </c>
      <c r="E930" t="str">
        <f>"98284"</f>
        <v>98284</v>
      </c>
      <c r="F930" t="s">
        <v>78</v>
      </c>
      <c r="G930" t="s">
        <v>2527</v>
      </c>
      <c r="I930" t="s">
        <v>107</v>
      </c>
      <c r="J930" t="s">
        <v>13</v>
      </c>
      <c r="K930" t="str">
        <f>"98116"</f>
        <v>98116</v>
      </c>
      <c r="L930">
        <v>62</v>
      </c>
      <c r="M930">
        <v>61</v>
      </c>
      <c r="N930">
        <v>1</v>
      </c>
    </row>
    <row r="931" spans="1:14" x14ac:dyDescent="0.25">
      <c r="A931" t="s">
        <v>1589</v>
      </c>
      <c r="B931" t="s">
        <v>1590</v>
      </c>
      <c r="C931" t="s">
        <v>567</v>
      </c>
      <c r="D931" t="s">
        <v>13</v>
      </c>
      <c r="E931" t="str">
        <f>"98274"</f>
        <v>98274</v>
      </c>
      <c r="F931" t="s">
        <v>78</v>
      </c>
      <c r="G931" t="s">
        <v>1591</v>
      </c>
      <c r="H931" t="s">
        <v>1592</v>
      </c>
      <c r="I931" t="s">
        <v>1593</v>
      </c>
      <c r="J931" t="s">
        <v>433</v>
      </c>
      <c r="K931" t="str">
        <f>"94146"</f>
        <v>94146</v>
      </c>
      <c r="L931">
        <v>97</v>
      </c>
      <c r="M931">
        <v>97</v>
      </c>
      <c r="N931">
        <v>0</v>
      </c>
    </row>
    <row r="932" spans="1:14" x14ac:dyDescent="0.25">
      <c r="A932" t="s">
        <v>1092</v>
      </c>
      <c r="B932" t="s">
        <v>1093</v>
      </c>
      <c r="C932" t="s">
        <v>1094</v>
      </c>
      <c r="D932" t="s">
        <v>13</v>
      </c>
      <c r="E932" t="str">
        <f>"98610"</f>
        <v>98610</v>
      </c>
      <c r="F932" t="s">
        <v>847</v>
      </c>
      <c r="G932" t="s">
        <v>1093</v>
      </c>
      <c r="I932" t="s">
        <v>1094</v>
      </c>
      <c r="J932" t="s">
        <v>13</v>
      </c>
      <c r="K932" t="str">
        <f>"98610"</f>
        <v>98610</v>
      </c>
      <c r="L932">
        <v>44</v>
      </c>
      <c r="M932">
        <v>5</v>
      </c>
      <c r="N932">
        <v>39</v>
      </c>
    </row>
    <row r="933" spans="1:14" x14ac:dyDescent="0.25">
      <c r="A933" t="s">
        <v>3031</v>
      </c>
      <c r="B933" t="s">
        <v>3032</v>
      </c>
      <c r="C933" t="s">
        <v>846</v>
      </c>
      <c r="D933" t="s">
        <v>13</v>
      </c>
      <c r="E933" t="str">
        <f>"98648"</f>
        <v>98648</v>
      </c>
      <c r="F933" t="s">
        <v>847</v>
      </c>
      <c r="G933" t="s">
        <v>3032</v>
      </c>
      <c r="I933" t="s">
        <v>846</v>
      </c>
      <c r="J933" t="s">
        <v>13</v>
      </c>
      <c r="K933" t="str">
        <f>"98648"</f>
        <v>98648</v>
      </c>
      <c r="L933">
        <v>80</v>
      </c>
      <c r="M933">
        <v>80</v>
      </c>
      <c r="N933">
        <v>0</v>
      </c>
    </row>
    <row r="934" spans="1:14" x14ac:dyDescent="0.25">
      <c r="A934" t="s">
        <v>844</v>
      </c>
      <c r="B934" t="s">
        <v>845</v>
      </c>
      <c r="C934" t="s">
        <v>846</v>
      </c>
      <c r="D934" t="s">
        <v>13</v>
      </c>
      <c r="E934" t="str">
        <f>"98648"</f>
        <v>98648</v>
      </c>
      <c r="F934" t="s">
        <v>847</v>
      </c>
      <c r="G934" t="s">
        <v>848</v>
      </c>
      <c r="I934" t="s">
        <v>30</v>
      </c>
      <c r="J934" t="s">
        <v>13</v>
      </c>
      <c r="K934" t="str">
        <f>"98665"</f>
        <v>98665</v>
      </c>
      <c r="L934">
        <v>13</v>
      </c>
      <c r="M934">
        <v>13</v>
      </c>
      <c r="N934">
        <v>0</v>
      </c>
    </row>
    <row r="935" spans="1:14" x14ac:dyDescent="0.25">
      <c r="A935" t="s">
        <v>2816</v>
      </c>
      <c r="B935" t="s">
        <v>2817</v>
      </c>
      <c r="C935" t="s">
        <v>846</v>
      </c>
      <c r="D935" t="s">
        <v>13</v>
      </c>
      <c r="E935" t="str">
        <f>"98648"</f>
        <v>98648</v>
      </c>
      <c r="F935" t="s">
        <v>847</v>
      </c>
      <c r="G935" t="s">
        <v>2818</v>
      </c>
      <c r="I935" t="s">
        <v>846</v>
      </c>
      <c r="J935" t="s">
        <v>13</v>
      </c>
      <c r="K935" t="str">
        <f>"98648"</f>
        <v>98648</v>
      </c>
      <c r="L935">
        <v>10</v>
      </c>
      <c r="M935">
        <v>4</v>
      </c>
      <c r="N935">
        <v>6</v>
      </c>
    </row>
    <row r="936" spans="1:14" x14ac:dyDescent="0.25">
      <c r="A936" t="s">
        <v>2175</v>
      </c>
      <c r="B936" t="s">
        <v>2176</v>
      </c>
      <c r="C936" t="s">
        <v>555</v>
      </c>
      <c r="D936" t="s">
        <v>13</v>
      </c>
      <c r="E936" t="str">
        <f>"98223"</f>
        <v>98223</v>
      </c>
      <c r="F936" t="s">
        <v>14</v>
      </c>
      <c r="G936" t="s">
        <v>2177</v>
      </c>
      <c r="I936" t="s">
        <v>46</v>
      </c>
      <c r="J936" t="s">
        <v>13</v>
      </c>
      <c r="K936" t="str">
        <f>"98072"</f>
        <v>98072</v>
      </c>
      <c r="L936">
        <v>55</v>
      </c>
      <c r="M936">
        <v>53</v>
      </c>
      <c r="N936">
        <v>2</v>
      </c>
    </row>
    <row r="937" spans="1:14" x14ac:dyDescent="0.25">
      <c r="A937" t="s">
        <v>1101</v>
      </c>
      <c r="B937" t="s">
        <v>1102</v>
      </c>
      <c r="C937" t="s">
        <v>1103</v>
      </c>
      <c r="D937" t="s">
        <v>13</v>
      </c>
      <c r="E937" t="str">
        <f>"98251"</f>
        <v>98251</v>
      </c>
      <c r="F937" t="s">
        <v>14</v>
      </c>
      <c r="G937" t="s">
        <v>1104</v>
      </c>
      <c r="I937" t="s">
        <v>454</v>
      </c>
      <c r="J937" t="s">
        <v>13</v>
      </c>
      <c r="K937" t="str">
        <f>"98208"</f>
        <v>98208</v>
      </c>
      <c r="L937">
        <v>83</v>
      </c>
      <c r="M937">
        <v>71</v>
      </c>
      <c r="N937">
        <v>12</v>
      </c>
    </row>
    <row r="938" spans="1:14" x14ac:dyDescent="0.25">
      <c r="A938" t="s">
        <v>3345</v>
      </c>
      <c r="B938" t="s">
        <v>3346</v>
      </c>
      <c r="C938" t="s">
        <v>454</v>
      </c>
      <c r="D938" t="s">
        <v>13</v>
      </c>
      <c r="E938" t="str">
        <f>"98204"</f>
        <v>98204</v>
      </c>
      <c r="F938" t="s">
        <v>14</v>
      </c>
      <c r="G938" t="s">
        <v>3347</v>
      </c>
      <c r="I938" t="s">
        <v>2501</v>
      </c>
      <c r="J938" t="s">
        <v>13</v>
      </c>
      <c r="K938" t="str">
        <f>"98221"</f>
        <v>98221</v>
      </c>
      <c r="L938">
        <v>26</v>
      </c>
      <c r="M938">
        <v>26</v>
      </c>
      <c r="N938">
        <v>0</v>
      </c>
    </row>
    <row r="939" spans="1:14" x14ac:dyDescent="0.25">
      <c r="A939" t="s">
        <v>456</v>
      </c>
      <c r="B939" t="s">
        <v>457</v>
      </c>
      <c r="C939" t="s">
        <v>12</v>
      </c>
      <c r="D939" t="s">
        <v>13</v>
      </c>
      <c r="E939" t="str">
        <f>"98037"</f>
        <v>98037</v>
      </c>
      <c r="F939" t="s">
        <v>14</v>
      </c>
      <c r="G939" t="s">
        <v>455</v>
      </c>
      <c r="I939" t="s">
        <v>454</v>
      </c>
      <c r="J939" t="s">
        <v>13</v>
      </c>
      <c r="K939" t="str">
        <f>"98204"</f>
        <v>98204</v>
      </c>
      <c r="L939">
        <v>47</v>
      </c>
      <c r="M939">
        <v>47</v>
      </c>
      <c r="N939">
        <v>0</v>
      </c>
    </row>
    <row r="940" spans="1:14" x14ac:dyDescent="0.25">
      <c r="A940" t="s">
        <v>458</v>
      </c>
      <c r="B940" t="s">
        <v>459</v>
      </c>
      <c r="C940" t="s">
        <v>12</v>
      </c>
      <c r="D940" t="s">
        <v>13</v>
      </c>
      <c r="E940" t="str">
        <f>"98037"</f>
        <v>98037</v>
      </c>
      <c r="F940" t="s">
        <v>14</v>
      </c>
      <c r="G940" t="s">
        <v>455</v>
      </c>
      <c r="I940" t="s">
        <v>454</v>
      </c>
      <c r="J940" t="s">
        <v>13</v>
      </c>
      <c r="K940" t="str">
        <f>"98204"</f>
        <v>98204</v>
      </c>
      <c r="L940">
        <v>46</v>
      </c>
      <c r="M940">
        <v>46</v>
      </c>
      <c r="N940">
        <v>0</v>
      </c>
    </row>
    <row r="941" spans="1:14" x14ac:dyDescent="0.25">
      <c r="A941" t="s">
        <v>559</v>
      </c>
      <c r="B941" t="s">
        <v>3508</v>
      </c>
      <c r="C941" t="s">
        <v>454</v>
      </c>
      <c r="D941" t="s">
        <v>13</v>
      </c>
      <c r="E941" t="str">
        <f>"98204"</f>
        <v>98204</v>
      </c>
      <c r="F941" t="s">
        <v>14</v>
      </c>
      <c r="G941" t="s">
        <v>560</v>
      </c>
      <c r="I941" t="s">
        <v>561</v>
      </c>
      <c r="J941" t="s">
        <v>13</v>
      </c>
      <c r="K941" t="str">
        <f>"98028"</f>
        <v>98028</v>
      </c>
      <c r="L941">
        <v>18</v>
      </c>
      <c r="M941">
        <v>18</v>
      </c>
      <c r="N941">
        <v>0</v>
      </c>
    </row>
    <row r="942" spans="1:14" x14ac:dyDescent="0.25">
      <c r="A942" t="s">
        <v>80</v>
      </c>
      <c r="B942" t="s">
        <v>81</v>
      </c>
      <c r="C942" t="s">
        <v>41</v>
      </c>
      <c r="D942" t="s">
        <v>13</v>
      </c>
      <c r="E942" t="str">
        <f>"98271"</f>
        <v>98271</v>
      </c>
      <c r="F942" t="s">
        <v>14</v>
      </c>
      <c r="G942" t="s">
        <v>81</v>
      </c>
      <c r="I942" t="s">
        <v>41</v>
      </c>
      <c r="J942" t="s">
        <v>13</v>
      </c>
      <c r="K942" t="str">
        <f>"98271"</f>
        <v>98271</v>
      </c>
      <c r="L942">
        <v>12</v>
      </c>
      <c r="M942">
        <v>5</v>
      </c>
      <c r="N942">
        <v>7</v>
      </c>
    </row>
    <row r="943" spans="1:14" x14ac:dyDescent="0.25">
      <c r="A943" t="s">
        <v>1554</v>
      </c>
      <c r="B943" t="s">
        <v>1555</v>
      </c>
      <c r="C943" t="s">
        <v>12</v>
      </c>
      <c r="D943" t="s">
        <v>13</v>
      </c>
      <c r="E943" t="str">
        <f>"98036"</f>
        <v>98036</v>
      </c>
      <c r="F943" t="s">
        <v>14</v>
      </c>
      <c r="G943" t="s">
        <v>1553</v>
      </c>
      <c r="I943" t="s">
        <v>12</v>
      </c>
      <c r="J943" t="s">
        <v>13</v>
      </c>
      <c r="K943" t="str">
        <f>"98087"</f>
        <v>98087</v>
      </c>
      <c r="L943">
        <v>13</v>
      </c>
      <c r="M943">
        <v>13</v>
      </c>
      <c r="N943">
        <v>0</v>
      </c>
    </row>
    <row r="944" spans="1:14" x14ac:dyDescent="0.25">
      <c r="A944" t="s">
        <v>1829</v>
      </c>
      <c r="B944" t="s">
        <v>1830</v>
      </c>
      <c r="C944" t="s">
        <v>41</v>
      </c>
      <c r="D944" t="s">
        <v>13</v>
      </c>
      <c r="E944" t="str">
        <f>"98270"</f>
        <v>98270</v>
      </c>
      <c r="F944" t="s">
        <v>14</v>
      </c>
      <c r="G944" t="s">
        <v>1831</v>
      </c>
      <c r="I944" t="s">
        <v>41</v>
      </c>
      <c r="J944" t="s">
        <v>13</v>
      </c>
      <c r="K944" t="str">
        <f>"98270"</f>
        <v>98270</v>
      </c>
      <c r="L944">
        <v>44</v>
      </c>
      <c r="M944">
        <v>26</v>
      </c>
      <c r="N944">
        <v>18</v>
      </c>
    </row>
    <row r="945" spans="1:14" x14ac:dyDescent="0.25">
      <c r="A945" t="s">
        <v>264</v>
      </c>
      <c r="B945" t="s">
        <v>265</v>
      </c>
      <c r="C945" t="s">
        <v>12</v>
      </c>
      <c r="D945" t="s">
        <v>13</v>
      </c>
      <c r="E945" t="str">
        <f>"98087"</f>
        <v>98087</v>
      </c>
      <c r="F945" t="s">
        <v>14</v>
      </c>
      <c r="G945" t="s">
        <v>266</v>
      </c>
      <c r="I945" t="s">
        <v>267</v>
      </c>
      <c r="J945" t="s">
        <v>268</v>
      </c>
      <c r="K945" t="str">
        <f>"85374"</f>
        <v>85374</v>
      </c>
      <c r="L945">
        <v>28</v>
      </c>
      <c r="M945">
        <v>28</v>
      </c>
      <c r="N945">
        <v>0</v>
      </c>
    </row>
    <row r="946" spans="1:14" x14ac:dyDescent="0.25">
      <c r="A946" t="s">
        <v>2232</v>
      </c>
      <c r="B946" t="s">
        <v>2233</v>
      </c>
      <c r="C946" t="s">
        <v>48</v>
      </c>
      <c r="D946" t="s">
        <v>13</v>
      </c>
      <c r="E946" t="str">
        <f>"98021"</f>
        <v>98021</v>
      </c>
      <c r="F946" t="s">
        <v>14</v>
      </c>
      <c r="G946" t="s">
        <v>2234</v>
      </c>
      <c r="I946" t="s">
        <v>2235</v>
      </c>
      <c r="J946" t="s">
        <v>13</v>
      </c>
      <c r="K946" t="str">
        <f>"98346"</f>
        <v>98346</v>
      </c>
      <c r="L946">
        <v>165</v>
      </c>
      <c r="M946">
        <v>161</v>
      </c>
      <c r="N946">
        <v>4</v>
      </c>
    </row>
    <row r="947" spans="1:14" x14ac:dyDescent="0.25">
      <c r="A947" t="s">
        <v>675</v>
      </c>
      <c r="B947" t="s">
        <v>676</v>
      </c>
      <c r="C947" t="s">
        <v>454</v>
      </c>
      <c r="D947" t="s">
        <v>13</v>
      </c>
      <c r="E947" t="str">
        <f>"98205"</f>
        <v>98205</v>
      </c>
      <c r="F947" t="s">
        <v>14</v>
      </c>
      <c r="G947" t="s">
        <v>677</v>
      </c>
      <c r="I947" t="s">
        <v>297</v>
      </c>
      <c r="J947" t="s">
        <v>13</v>
      </c>
      <c r="K947" t="str">
        <f>"98071"</f>
        <v>98071</v>
      </c>
      <c r="L947">
        <v>99</v>
      </c>
      <c r="M947">
        <v>99</v>
      </c>
      <c r="N947">
        <v>0</v>
      </c>
    </row>
    <row r="948" spans="1:14" x14ac:dyDescent="0.25">
      <c r="A948" t="s">
        <v>1430</v>
      </c>
      <c r="B948" t="s">
        <v>1431</v>
      </c>
      <c r="C948" t="s">
        <v>454</v>
      </c>
      <c r="D948" t="s">
        <v>13</v>
      </c>
      <c r="E948" t="str">
        <f>"98204"</f>
        <v>98204</v>
      </c>
      <c r="F948" t="s">
        <v>14</v>
      </c>
      <c r="G948" t="s">
        <v>1432</v>
      </c>
      <c r="I948" t="s">
        <v>437</v>
      </c>
      <c r="J948" t="s">
        <v>13</v>
      </c>
      <c r="K948" t="str">
        <f>"98020"</f>
        <v>98020</v>
      </c>
      <c r="L948">
        <v>224</v>
      </c>
      <c r="M948">
        <v>219</v>
      </c>
      <c r="N948">
        <v>5</v>
      </c>
    </row>
    <row r="949" spans="1:14" x14ac:dyDescent="0.25">
      <c r="A949" t="s">
        <v>3778</v>
      </c>
      <c r="B949" t="s">
        <v>3779</v>
      </c>
      <c r="C949" t="s">
        <v>12</v>
      </c>
      <c r="D949" t="s">
        <v>13</v>
      </c>
      <c r="E949" t="str">
        <f>"98037"</f>
        <v>98037</v>
      </c>
      <c r="F949" t="s">
        <v>14</v>
      </c>
      <c r="G949" t="s">
        <v>3779</v>
      </c>
      <c r="I949" t="s">
        <v>12</v>
      </c>
      <c r="J949" t="s">
        <v>13</v>
      </c>
      <c r="K949" t="str">
        <f>"98037"</f>
        <v>98037</v>
      </c>
      <c r="L949">
        <v>22</v>
      </c>
      <c r="M949">
        <v>18</v>
      </c>
      <c r="N949">
        <v>4</v>
      </c>
    </row>
    <row r="950" spans="1:14" x14ac:dyDescent="0.25">
      <c r="A950" t="s">
        <v>212</v>
      </c>
      <c r="B950" t="s">
        <v>213</v>
      </c>
      <c r="C950" t="s">
        <v>41</v>
      </c>
      <c r="D950" t="s">
        <v>13</v>
      </c>
      <c r="E950" t="str">
        <f>"98270"</f>
        <v>98270</v>
      </c>
      <c r="F950" t="s">
        <v>14</v>
      </c>
      <c r="G950" t="s">
        <v>214</v>
      </c>
      <c r="I950" t="s">
        <v>14</v>
      </c>
      <c r="J950" t="s">
        <v>13</v>
      </c>
      <c r="K950" t="str">
        <f>"98290"</f>
        <v>98290</v>
      </c>
      <c r="L950">
        <v>20</v>
      </c>
      <c r="M950">
        <v>20</v>
      </c>
      <c r="N950">
        <v>0</v>
      </c>
    </row>
    <row r="951" spans="1:14" x14ac:dyDescent="0.25">
      <c r="A951" t="s">
        <v>2086</v>
      </c>
      <c r="B951" t="s">
        <v>2087</v>
      </c>
      <c r="C951" t="s">
        <v>12</v>
      </c>
      <c r="D951" t="s">
        <v>13</v>
      </c>
      <c r="E951" t="str">
        <f>"98036"</f>
        <v>98036</v>
      </c>
      <c r="F951" t="s">
        <v>14</v>
      </c>
      <c r="G951" t="s">
        <v>175</v>
      </c>
      <c r="I951" t="s">
        <v>170</v>
      </c>
      <c r="J951" t="s">
        <v>13</v>
      </c>
      <c r="K951" t="str">
        <f>"98277"</f>
        <v>98277</v>
      </c>
      <c r="L951">
        <v>47</v>
      </c>
      <c r="M951">
        <v>47</v>
      </c>
      <c r="N951">
        <v>0</v>
      </c>
    </row>
    <row r="952" spans="1:14" x14ac:dyDescent="0.25">
      <c r="A952" t="s">
        <v>3608</v>
      </c>
      <c r="B952" t="s">
        <v>3609</v>
      </c>
      <c r="C952" t="s">
        <v>379</v>
      </c>
      <c r="D952" t="s">
        <v>13</v>
      </c>
      <c r="E952" t="str">
        <f>"98294"</f>
        <v>98294</v>
      </c>
      <c r="F952" t="s">
        <v>14</v>
      </c>
      <c r="G952" t="s">
        <v>3610</v>
      </c>
      <c r="I952" t="s">
        <v>973</v>
      </c>
      <c r="J952" t="s">
        <v>13</v>
      </c>
      <c r="K952" t="str">
        <f>"98272"</f>
        <v>98272</v>
      </c>
      <c r="L952">
        <v>70</v>
      </c>
      <c r="M952">
        <v>70</v>
      </c>
      <c r="N952">
        <v>0</v>
      </c>
    </row>
    <row r="953" spans="1:14" x14ac:dyDescent="0.25">
      <c r="A953" t="s">
        <v>2885</v>
      </c>
      <c r="B953" t="s">
        <v>2886</v>
      </c>
      <c r="C953" t="s">
        <v>454</v>
      </c>
      <c r="D953" t="s">
        <v>13</v>
      </c>
      <c r="E953" t="str">
        <f>"98204"</f>
        <v>98204</v>
      </c>
      <c r="F953" t="s">
        <v>14</v>
      </c>
      <c r="G953" t="s">
        <v>57</v>
      </c>
      <c r="I953" t="s">
        <v>2696</v>
      </c>
      <c r="J953" t="s">
        <v>13</v>
      </c>
      <c r="K953" t="str">
        <f>"98834"</f>
        <v>98834</v>
      </c>
      <c r="L953">
        <v>26</v>
      </c>
      <c r="M953">
        <v>26</v>
      </c>
      <c r="N953">
        <v>0</v>
      </c>
    </row>
    <row r="954" spans="1:14" x14ac:dyDescent="0.25">
      <c r="A954" t="s">
        <v>1617</v>
      </c>
      <c r="B954" t="s">
        <v>1618</v>
      </c>
      <c r="C954" t="s">
        <v>14</v>
      </c>
      <c r="D954" t="s">
        <v>13</v>
      </c>
      <c r="E954" t="str">
        <f>"98290"</f>
        <v>98290</v>
      </c>
      <c r="F954" t="s">
        <v>14</v>
      </c>
      <c r="G954" t="s">
        <v>1619</v>
      </c>
      <c r="I954" t="s">
        <v>1620</v>
      </c>
      <c r="J954" t="s">
        <v>13</v>
      </c>
      <c r="K954" t="str">
        <f>"98275"</f>
        <v>98275</v>
      </c>
      <c r="L954">
        <v>67</v>
      </c>
      <c r="M954">
        <v>67</v>
      </c>
      <c r="N954">
        <v>0</v>
      </c>
    </row>
    <row r="955" spans="1:14" x14ac:dyDescent="0.25">
      <c r="A955" t="s">
        <v>2864</v>
      </c>
      <c r="B955" t="s">
        <v>2865</v>
      </c>
      <c r="C955" t="s">
        <v>14</v>
      </c>
      <c r="D955" t="s">
        <v>13</v>
      </c>
      <c r="E955" t="str">
        <f>"98296"</f>
        <v>98296</v>
      </c>
      <c r="F955" t="s">
        <v>14</v>
      </c>
      <c r="G955" t="s">
        <v>2866</v>
      </c>
      <c r="I955" t="s">
        <v>605</v>
      </c>
      <c r="J955" t="s">
        <v>13</v>
      </c>
      <c r="K955" t="str">
        <f>"98006"</f>
        <v>98006</v>
      </c>
      <c r="L955">
        <v>33</v>
      </c>
      <c r="M955">
        <v>32</v>
      </c>
      <c r="N955">
        <v>1</v>
      </c>
    </row>
    <row r="956" spans="1:14" x14ac:dyDescent="0.25">
      <c r="A956" t="s">
        <v>1051</v>
      </c>
      <c r="B956" t="s">
        <v>1052</v>
      </c>
      <c r="C956" t="s">
        <v>14</v>
      </c>
      <c r="D956" t="s">
        <v>13</v>
      </c>
      <c r="E956" t="str">
        <f>"98296"</f>
        <v>98296</v>
      </c>
      <c r="F956" t="s">
        <v>14</v>
      </c>
      <c r="G956" t="s">
        <v>1053</v>
      </c>
      <c r="I956" t="s">
        <v>14</v>
      </c>
      <c r="J956" t="s">
        <v>13</v>
      </c>
      <c r="K956" t="str">
        <f>"98296"</f>
        <v>98296</v>
      </c>
      <c r="L956">
        <v>33</v>
      </c>
      <c r="M956">
        <v>33</v>
      </c>
      <c r="N956">
        <v>0</v>
      </c>
    </row>
    <row r="957" spans="1:14" x14ac:dyDescent="0.25">
      <c r="A957" t="s">
        <v>1586</v>
      </c>
      <c r="B957" t="s">
        <v>1826</v>
      </c>
      <c r="C957" t="s">
        <v>41</v>
      </c>
      <c r="D957" t="s">
        <v>13</v>
      </c>
      <c r="E957" t="str">
        <f>"98271"</f>
        <v>98271</v>
      </c>
      <c r="F957" t="s">
        <v>14</v>
      </c>
      <c r="G957" t="s">
        <v>1827</v>
      </c>
      <c r="I957" t="s">
        <v>555</v>
      </c>
      <c r="J957" t="s">
        <v>13</v>
      </c>
      <c r="K957" t="str">
        <f>"98223"</f>
        <v>98223</v>
      </c>
      <c r="L957">
        <v>6</v>
      </c>
      <c r="M957">
        <v>6</v>
      </c>
      <c r="N957">
        <v>0</v>
      </c>
    </row>
    <row r="958" spans="1:14" x14ac:dyDescent="0.25">
      <c r="A958" t="s">
        <v>39</v>
      </c>
      <c r="B958" t="s">
        <v>40</v>
      </c>
      <c r="C958" t="s">
        <v>41</v>
      </c>
      <c r="D958" t="s">
        <v>13</v>
      </c>
      <c r="E958" t="str">
        <f>"98271"</f>
        <v>98271</v>
      </c>
      <c r="F958" t="s">
        <v>14</v>
      </c>
      <c r="G958" t="s">
        <v>42</v>
      </c>
      <c r="I958" t="s">
        <v>43</v>
      </c>
      <c r="J958" t="s">
        <v>13</v>
      </c>
      <c r="K958" t="str">
        <f>"98040"</f>
        <v>98040</v>
      </c>
      <c r="L958">
        <v>163</v>
      </c>
      <c r="M958">
        <v>163</v>
      </c>
      <c r="N958">
        <v>0</v>
      </c>
    </row>
    <row r="959" spans="1:14" x14ac:dyDescent="0.25">
      <c r="A959" t="s">
        <v>3824</v>
      </c>
      <c r="B959" t="s">
        <v>3825</v>
      </c>
      <c r="C959" t="s">
        <v>454</v>
      </c>
      <c r="D959" t="s">
        <v>13</v>
      </c>
      <c r="E959" t="str">
        <f>"98203"</f>
        <v>98203</v>
      </c>
      <c r="F959" t="s">
        <v>14</v>
      </c>
      <c r="G959" t="s">
        <v>1566</v>
      </c>
      <c r="I959" t="s">
        <v>107</v>
      </c>
      <c r="J959" t="s">
        <v>13</v>
      </c>
      <c r="K959" t="str">
        <f>"98198"</f>
        <v>98198</v>
      </c>
      <c r="L959">
        <v>100</v>
      </c>
      <c r="M959">
        <v>98</v>
      </c>
      <c r="N959">
        <v>2</v>
      </c>
    </row>
    <row r="960" spans="1:14" x14ac:dyDescent="0.25">
      <c r="A960" t="s">
        <v>1034</v>
      </c>
      <c r="B960" t="s">
        <v>1035</v>
      </c>
      <c r="C960" t="s">
        <v>1036</v>
      </c>
      <c r="D960" t="s">
        <v>13</v>
      </c>
      <c r="E960" t="str">
        <f>"98241"</f>
        <v>98241</v>
      </c>
      <c r="F960" t="s">
        <v>14</v>
      </c>
      <c r="G960" t="s">
        <v>1037</v>
      </c>
      <c r="I960" t="s">
        <v>1036</v>
      </c>
      <c r="J960" t="s">
        <v>13</v>
      </c>
      <c r="K960" t="str">
        <f>"98241"</f>
        <v>98241</v>
      </c>
      <c r="L960">
        <v>20</v>
      </c>
      <c r="M960">
        <v>20</v>
      </c>
      <c r="N960">
        <v>0</v>
      </c>
    </row>
    <row r="961" spans="1:14" x14ac:dyDescent="0.25">
      <c r="A961" t="s">
        <v>1034</v>
      </c>
      <c r="B961" t="s">
        <v>1038</v>
      </c>
      <c r="C961" t="s">
        <v>1036</v>
      </c>
      <c r="D961" t="s">
        <v>13</v>
      </c>
      <c r="E961" t="str">
        <f>"98241"</f>
        <v>98241</v>
      </c>
      <c r="F961" t="s">
        <v>14</v>
      </c>
      <c r="G961" t="s">
        <v>1037</v>
      </c>
      <c r="I961" t="s">
        <v>1036</v>
      </c>
      <c r="J961" t="s">
        <v>13</v>
      </c>
      <c r="K961" t="str">
        <f>"98241"</f>
        <v>98241</v>
      </c>
      <c r="L961">
        <v>9</v>
      </c>
      <c r="M961">
        <v>9</v>
      </c>
      <c r="N961">
        <v>0</v>
      </c>
    </row>
    <row r="962" spans="1:14" x14ac:dyDescent="0.25">
      <c r="A962" t="s">
        <v>720</v>
      </c>
      <c r="B962" t="s">
        <v>721</v>
      </c>
      <c r="C962" t="s">
        <v>41</v>
      </c>
      <c r="D962" t="s">
        <v>13</v>
      </c>
      <c r="E962" t="str">
        <f>"98271"</f>
        <v>98271</v>
      </c>
      <c r="F962" t="s">
        <v>14</v>
      </c>
      <c r="G962" t="s">
        <v>722</v>
      </c>
      <c r="I962" t="s">
        <v>14</v>
      </c>
      <c r="J962" t="s">
        <v>13</v>
      </c>
      <c r="K962" t="str">
        <f>"98296"</f>
        <v>98296</v>
      </c>
      <c r="L962">
        <v>147</v>
      </c>
      <c r="M962">
        <v>147</v>
      </c>
      <c r="N962">
        <v>0</v>
      </c>
    </row>
    <row r="963" spans="1:14" x14ac:dyDescent="0.25">
      <c r="A963" t="s">
        <v>3047</v>
      </c>
      <c r="B963" t="s">
        <v>3048</v>
      </c>
      <c r="C963" t="s">
        <v>454</v>
      </c>
      <c r="D963" t="s">
        <v>13</v>
      </c>
      <c r="E963" t="str">
        <f>"98201"</f>
        <v>98201</v>
      </c>
      <c r="F963" t="s">
        <v>14</v>
      </c>
      <c r="G963" t="s">
        <v>3049</v>
      </c>
      <c r="I963" t="s">
        <v>41</v>
      </c>
      <c r="J963" t="s">
        <v>13</v>
      </c>
      <c r="K963" t="str">
        <f>"98270"</f>
        <v>98270</v>
      </c>
      <c r="L963">
        <v>36</v>
      </c>
      <c r="M963">
        <v>18</v>
      </c>
      <c r="N963">
        <v>18</v>
      </c>
    </row>
    <row r="964" spans="1:14" x14ac:dyDescent="0.25">
      <c r="A964" t="s">
        <v>600</v>
      </c>
      <c r="B964" t="s">
        <v>601</v>
      </c>
      <c r="C964" t="s">
        <v>454</v>
      </c>
      <c r="D964" t="s">
        <v>13</v>
      </c>
      <c r="E964" t="str">
        <f>"98204"</f>
        <v>98204</v>
      </c>
      <c r="F964" t="s">
        <v>14</v>
      </c>
      <c r="G964" t="s">
        <v>601</v>
      </c>
      <c r="I964" t="s">
        <v>454</v>
      </c>
      <c r="J964" t="s">
        <v>13</v>
      </c>
      <c r="K964" t="str">
        <f>"98204"</f>
        <v>98204</v>
      </c>
      <c r="L964">
        <v>169</v>
      </c>
      <c r="M964">
        <v>169</v>
      </c>
      <c r="N964">
        <v>0</v>
      </c>
    </row>
    <row r="965" spans="1:14" x14ac:dyDescent="0.25">
      <c r="A965" t="s">
        <v>1916</v>
      </c>
      <c r="B965" t="s">
        <v>1917</v>
      </c>
      <c r="C965" t="s">
        <v>555</v>
      </c>
      <c r="D965" t="s">
        <v>13</v>
      </c>
      <c r="E965" t="str">
        <f>"98223"</f>
        <v>98223</v>
      </c>
      <c r="F965" t="s">
        <v>14</v>
      </c>
      <c r="G965" t="s">
        <v>1918</v>
      </c>
      <c r="I965" t="s">
        <v>107</v>
      </c>
      <c r="J965" t="s">
        <v>13</v>
      </c>
      <c r="K965" t="str">
        <f>"98115"</f>
        <v>98115</v>
      </c>
      <c r="L965">
        <v>24</v>
      </c>
      <c r="M965">
        <v>24</v>
      </c>
      <c r="N965">
        <v>0</v>
      </c>
    </row>
    <row r="966" spans="1:14" x14ac:dyDescent="0.25">
      <c r="A966" t="s">
        <v>654</v>
      </c>
      <c r="B966" t="s">
        <v>655</v>
      </c>
      <c r="C966" t="s">
        <v>454</v>
      </c>
      <c r="D966" t="s">
        <v>13</v>
      </c>
      <c r="E966" t="str">
        <f>"98208"</f>
        <v>98208</v>
      </c>
      <c r="F966" t="s">
        <v>14</v>
      </c>
      <c r="G966" t="s">
        <v>656</v>
      </c>
      <c r="I966" t="s">
        <v>657</v>
      </c>
      <c r="J966" t="s">
        <v>13</v>
      </c>
      <c r="K966" t="str">
        <f>"98528"</f>
        <v>98528</v>
      </c>
      <c r="L966">
        <v>4</v>
      </c>
      <c r="M966">
        <v>4</v>
      </c>
      <c r="N966">
        <v>0</v>
      </c>
    </row>
    <row r="967" spans="1:14" x14ac:dyDescent="0.25">
      <c r="A967" t="s">
        <v>1028</v>
      </c>
      <c r="B967" t="s">
        <v>1029</v>
      </c>
      <c r="C967" t="s">
        <v>1030</v>
      </c>
      <c r="D967" t="s">
        <v>13</v>
      </c>
      <c r="E967" t="str">
        <f>"98258"</f>
        <v>98258</v>
      </c>
      <c r="F967" t="s">
        <v>14</v>
      </c>
      <c r="G967" t="s">
        <v>684</v>
      </c>
      <c r="I967" t="s">
        <v>598</v>
      </c>
      <c r="J967" t="s">
        <v>13</v>
      </c>
      <c r="K967" t="str">
        <f>"98370"</f>
        <v>98370</v>
      </c>
      <c r="L967">
        <v>65</v>
      </c>
      <c r="M967">
        <v>65</v>
      </c>
      <c r="N967">
        <v>0</v>
      </c>
    </row>
    <row r="968" spans="1:14" x14ac:dyDescent="0.25">
      <c r="A968" t="s">
        <v>2515</v>
      </c>
      <c r="B968" t="s">
        <v>2516</v>
      </c>
      <c r="C968" t="s">
        <v>41</v>
      </c>
      <c r="D968" t="s">
        <v>13</v>
      </c>
      <c r="E968" t="str">
        <f>"98270"</f>
        <v>98270</v>
      </c>
      <c r="F968" t="s">
        <v>14</v>
      </c>
      <c r="G968" t="s">
        <v>2517</v>
      </c>
      <c r="I968" t="s">
        <v>87</v>
      </c>
      <c r="J968" t="s">
        <v>13</v>
      </c>
      <c r="K968" t="str">
        <f>"98507"</f>
        <v>98507</v>
      </c>
      <c r="L968">
        <v>231</v>
      </c>
      <c r="M968">
        <v>230</v>
      </c>
      <c r="N968">
        <v>1</v>
      </c>
    </row>
    <row r="969" spans="1:14" x14ac:dyDescent="0.25">
      <c r="A969" t="s">
        <v>707</v>
      </c>
      <c r="B969" t="s">
        <v>708</v>
      </c>
      <c r="C969" t="s">
        <v>48</v>
      </c>
      <c r="D969" t="s">
        <v>13</v>
      </c>
      <c r="E969" t="str">
        <f>"98021"</f>
        <v>98021</v>
      </c>
      <c r="F969" t="s">
        <v>14</v>
      </c>
      <c r="G969" t="s">
        <v>708</v>
      </c>
      <c r="I969" t="s">
        <v>48</v>
      </c>
      <c r="J969" t="s">
        <v>13</v>
      </c>
      <c r="K969" t="str">
        <f>"98021"</f>
        <v>98021</v>
      </c>
      <c r="L969">
        <v>281</v>
      </c>
      <c r="M969">
        <v>278</v>
      </c>
      <c r="N969">
        <v>3</v>
      </c>
    </row>
    <row r="970" spans="1:14" x14ac:dyDescent="0.25">
      <c r="A970" t="s">
        <v>3065</v>
      </c>
      <c r="B970" t="s">
        <v>3066</v>
      </c>
      <c r="C970" t="s">
        <v>555</v>
      </c>
      <c r="D970" t="s">
        <v>13</v>
      </c>
      <c r="E970" t="str">
        <f>"98223"</f>
        <v>98223</v>
      </c>
      <c r="F970" t="s">
        <v>14</v>
      </c>
      <c r="G970" t="s">
        <v>3067</v>
      </c>
      <c r="I970" t="s">
        <v>454</v>
      </c>
      <c r="J970" t="s">
        <v>13</v>
      </c>
      <c r="K970" t="str">
        <f>"98208"</f>
        <v>98208</v>
      </c>
      <c r="L970">
        <v>3</v>
      </c>
      <c r="M970">
        <v>2</v>
      </c>
      <c r="N970">
        <v>1</v>
      </c>
    </row>
    <row r="971" spans="1:14" x14ac:dyDescent="0.25">
      <c r="A971" t="s">
        <v>1794</v>
      </c>
      <c r="B971" t="s">
        <v>1795</v>
      </c>
      <c r="C971" t="s">
        <v>555</v>
      </c>
      <c r="D971" t="s">
        <v>13</v>
      </c>
      <c r="E971" t="str">
        <f>"98223"</f>
        <v>98223</v>
      </c>
      <c r="F971" t="s">
        <v>14</v>
      </c>
      <c r="G971" t="s">
        <v>1796</v>
      </c>
      <c r="I971" t="s">
        <v>555</v>
      </c>
      <c r="J971" t="s">
        <v>13</v>
      </c>
      <c r="K971" t="str">
        <f>"98223"</f>
        <v>98223</v>
      </c>
      <c r="L971">
        <v>27</v>
      </c>
      <c r="M971">
        <v>27</v>
      </c>
      <c r="N971">
        <v>0</v>
      </c>
    </row>
    <row r="972" spans="1:14" x14ac:dyDescent="0.25">
      <c r="A972" t="s">
        <v>3901</v>
      </c>
      <c r="B972" t="s">
        <v>3902</v>
      </c>
      <c r="C972" t="s">
        <v>454</v>
      </c>
      <c r="D972" t="s">
        <v>13</v>
      </c>
      <c r="E972" t="str">
        <f>"98204"</f>
        <v>98204</v>
      </c>
      <c r="F972" t="s">
        <v>14</v>
      </c>
      <c r="G972" t="s">
        <v>3903</v>
      </c>
      <c r="I972" t="s">
        <v>3904</v>
      </c>
      <c r="J972" t="s">
        <v>3905</v>
      </c>
      <c r="K972" t="str">
        <f>"20110"</f>
        <v>20110</v>
      </c>
      <c r="L972">
        <v>17</v>
      </c>
      <c r="M972">
        <v>17</v>
      </c>
      <c r="N972">
        <v>0</v>
      </c>
    </row>
    <row r="973" spans="1:14" x14ac:dyDescent="0.25">
      <c r="A973" t="s">
        <v>2503</v>
      </c>
      <c r="B973" t="s">
        <v>2504</v>
      </c>
      <c r="C973" t="s">
        <v>555</v>
      </c>
      <c r="D973" t="s">
        <v>13</v>
      </c>
      <c r="E973" t="str">
        <f>"98223"</f>
        <v>98223</v>
      </c>
      <c r="F973" t="s">
        <v>14</v>
      </c>
      <c r="G973" t="s">
        <v>2504</v>
      </c>
      <c r="I973" t="s">
        <v>555</v>
      </c>
      <c r="J973" t="s">
        <v>13</v>
      </c>
      <c r="K973" t="str">
        <f>"98223"</f>
        <v>98223</v>
      </c>
      <c r="L973">
        <v>18</v>
      </c>
      <c r="M973">
        <v>17</v>
      </c>
      <c r="N973">
        <v>1</v>
      </c>
    </row>
    <row r="974" spans="1:14" x14ac:dyDescent="0.25">
      <c r="A974" t="s">
        <v>822</v>
      </c>
      <c r="B974" t="s">
        <v>823</v>
      </c>
      <c r="C974" t="s">
        <v>12</v>
      </c>
      <c r="D974" t="s">
        <v>13</v>
      </c>
      <c r="E974" t="str">
        <f>"98036"</f>
        <v>98036</v>
      </c>
      <c r="F974" t="s">
        <v>14</v>
      </c>
      <c r="G974" t="s">
        <v>824</v>
      </c>
      <c r="I974" t="s">
        <v>107</v>
      </c>
      <c r="J974" t="s">
        <v>13</v>
      </c>
      <c r="K974" t="str">
        <f>"98115"</f>
        <v>98115</v>
      </c>
      <c r="L974">
        <v>16</v>
      </c>
      <c r="M974">
        <v>16</v>
      </c>
      <c r="N974">
        <v>0</v>
      </c>
    </row>
    <row r="975" spans="1:14" x14ac:dyDescent="0.25">
      <c r="A975" t="s">
        <v>1275</v>
      </c>
      <c r="B975" t="s">
        <v>1276</v>
      </c>
      <c r="C975" t="s">
        <v>1277</v>
      </c>
      <c r="D975" t="s">
        <v>13</v>
      </c>
      <c r="E975" t="str">
        <f>"98043"</f>
        <v>98043</v>
      </c>
      <c r="F975" t="s">
        <v>14</v>
      </c>
      <c r="G975" t="s">
        <v>1278</v>
      </c>
      <c r="I975" t="s">
        <v>232</v>
      </c>
      <c r="J975" t="s">
        <v>13</v>
      </c>
      <c r="K975" t="str">
        <f>"98012"</f>
        <v>98012</v>
      </c>
      <c r="L975">
        <v>6</v>
      </c>
      <c r="M975">
        <v>6</v>
      </c>
      <c r="N975">
        <v>0</v>
      </c>
    </row>
    <row r="976" spans="1:14" x14ac:dyDescent="0.25">
      <c r="A976" t="s">
        <v>552</v>
      </c>
      <c r="B976" t="s">
        <v>553</v>
      </c>
      <c r="C976" t="s">
        <v>379</v>
      </c>
      <c r="D976" t="s">
        <v>13</v>
      </c>
      <c r="E976" t="str">
        <f>"98294"</f>
        <v>98294</v>
      </c>
      <c r="F976" t="s">
        <v>14</v>
      </c>
      <c r="G976" t="s">
        <v>554</v>
      </c>
      <c r="I976" t="s">
        <v>555</v>
      </c>
      <c r="J976" t="s">
        <v>13</v>
      </c>
      <c r="K976" t="str">
        <f>"98223"</f>
        <v>98223</v>
      </c>
      <c r="L976">
        <v>8</v>
      </c>
      <c r="M976">
        <v>7</v>
      </c>
      <c r="N976">
        <v>1</v>
      </c>
    </row>
    <row r="977" spans="1:14" x14ac:dyDescent="0.25">
      <c r="A977" t="s">
        <v>1039</v>
      </c>
      <c r="B977" t="s">
        <v>1040</v>
      </c>
      <c r="C977" t="s">
        <v>41</v>
      </c>
      <c r="D977" t="s">
        <v>13</v>
      </c>
      <c r="E977" t="str">
        <f>"98270"</f>
        <v>98270</v>
      </c>
      <c r="F977" t="s">
        <v>14</v>
      </c>
      <c r="G977" t="s">
        <v>1041</v>
      </c>
      <c r="I977" t="s">
        <v>454</v>
      </c>
      <c r="J977" t="s">
        <v>13</v>
      </c>
      <c r="K977" t="str">
        <f>"98201"</f>
        <v>98201</v>
      </c>
      <c r="L977">
        <v>108</v>
      </c>
      <c r="M977">
        <v>106</v>
      </c>
      <c r="N977">
        <v>2</v>
      </c>
    </row>
    <row r="978" spans="1:14" x14ac:dyDescent="0.25">
      <c r="A978" t="s">
        <v>3481</v>
      </c>
      <c r="B978" t="s">
        <v>3482</v>
      </c>
      <c r="C978" t="s">
        <v>48</v>
      </c>
      <c r="D978" t="s">
        <v>13</v>
      </c>
      <c r="E978" t="str">
        <f>"98012"</f>
        <v>98012</v>
      </c>
      <c r="F978" t="s">
        <v>14</v>
      </c>
      <c r="G978" t="s">
        <v>3483</v>
      </c>
      <c r="I978" t="s">
        <v>87</v>
      </c>
      <c r="J978" t="s">
        <v>13</v>
      </c>
      <c r="K978" t="str">
        <f>"98502"</f>
        <v>98502</v>
      </c>
      <c r="L978">
        <v>100</v>
      </c>
      <c r="M978">
        <v>100</v>
      </c>
      <c r="N978">
        <v>0</v>
      </c>
    </row>
    <row r="979" spans="1:14" x14ac:dyDescent="0.25">
      <c r="A979" t="s">
        <v>537</v>
      </c>
      <c r="B979" t="s">
        <v>538</v>
      </c>
      <c r="C979" t="s">
        <v>437</v>
      </c>
      <c r="D979" t="s">
        <v>13</v>
      </c>
      <c r="E979" t="str">
        <f>"98026"</f>
        <v>98026</v>
      </c>
      <c r="F979" t="s">
        <v>14</v>
      </c>
      <c r="G979" t="s">
        <v>539</v>
      </c>
      <c r="I979" t="s">
        <v>540</v>
      </c>
      <c r="J979" t="s">
        <v>13</v>
      </c>
      <c r="K979" t="str">
        <f>"98177"</f>
        <v>98177</v>
      </c>
      <c r="L979">
        <v>25</v>
      </c>
      <c r="M979">
        <v>17</v>
      </c>
      <c r="N979">
        <v>8</v>
      </c>
    </row>
    <row r="980" spans="1:14" x14ac:dyDescent="0.25">
      <c r="A980" t="s">
        <v>953</v>
      </c>
      <c r="B980" t="s">
        <v>954</v>
      </c>
      <c r="C980" t="s">
        <v>12</v>
      </c>
      <c r="D980" t="s">
        <v>13</v>
      </c>
      <c r="E980" t="str">
        <f>"98036"</f>
        <v>98036</v>
      </c>
      <c r="F980" t="s">
        <v>14</v>
      </c>
      <c r="G980" t="s">
        <v>955</v>
      </c>
      <c r="I980" t="s">
        <v>739</v>
      </c>
      <c r="J980" t="s">
        <v>13</v>
      </c>
      <c r="K980" t="str">
        <f>"98110"</f>
        <v>98110</v>
      </c>
      <c r="L980">
        <v>66</v>
      </c>
      <c r="M980">
        <v>66</v>
      </c>
      <c r="N980">
        <v>0</v>
      </c>
    </row>
    <row r="981" spans="1:14" x14ac:dyDescent="0.25">
      <c r="A981" t="s">
        <v>10</v>
      </c>
      <c r="B981" t="s">
        <v>11</v>
      </c>
      <c r="C981" t="s">
        <v>12</v>
      </c>
      <c r="D981" t="s">
        <v>13</v>
      </c>
      <c r="E981" t="str">
        <f>"98037"</f>
        <v>98037</v>
      </c>
      <c r="F981" t="s">
        <v>14</v>
      </c>
      <c r="G981" t="s">
        <v>15</v>
      </c>
      <c r="I981" t="s">
        <v>16</v>
      </c>
      <c r="J981" t="s">
        <v>13</v>
      </c>
      <c r="K981" t="str">
        <f>"99337"</f>
        <v>99337</v>
      </c>
      <c r="L981">
        <v>89</v>
      </c>
      <c r="M981">
        <v>89</v>
      </c>
      <c r="N981">
        <v>0</v>
      </c>
    </row>
    <row r="982" spans="1:14" x14ac:dyDescent="0.25">
      <c r="A982" t="s">
        <v>2688</v>
      </c>
      <c r="B982" t="s">
        <v>2689</v>
      </c>
      <c r="C982" t="s">
        <v>41</v>
      </c>
      <c r="D982" t="s">
        <v>13</v>
      </c>
      <c r="E982" t="str">
        <f>"98270"</f>
        <v>98270</v>
      </c>
      <c r="F982" t="s">
        <v>14</v>
      </c>
      <c r="G982" t="s">
        <v>2690</v>
      </c>
      <c r="I982" t="s">
        <v>437</v>
      </c>
      <c r="J982" t="s">
        <v>13</v>
      </c>
      <c r="K982" t="str">
        <f>"98020"</f>
        <v>98020</v>
      </c>
      <c r="L982">
        <v>62</v>
      </c>
      <c r="M982">
        <v>62</v>
      </c>
      <c r="N982">
        <v>0</v>
      </c>
    </row>
    <row r="983" spans="1:14" x14ac:dyDescent="0.25">
      <c r="A983" t="s">
        <v>1501</v>
      </c>
      <c r="B983" t="s">
        <v>1502</v>
      </c>
      <c r="C983" t="s">
        <v>454</v>
      </c>
      <c r="D983" t="s">
        <v>13</v>
      </c>
      <c r="E983" t="str">
        <f>"98208"</f>
        <v>98208</v>
      </c>
      <c r="F983" t="s">
        <v>14</v>
      </c>
      <c r="G983" t="s">
        <v>326</v>
      </c>
      <c r="I983" t="s">
        <v>107</v>
      </c>
      <c r="J983" t="s">
        <v>13</v>
      </c>
      <c r="K983" t="str">
        <f>"98105"</f>
        <v>98105</v>
      </c>
      <c r="L983">
        <v>243</v>
      </c>
      <c r="M983">
        <v>243</v>
      </c>
      <c r="N983">
        <v>0</v>
      </c>
    </row>
    <row r="984" spans="1:14" x14ac:dyDescent="0.25">
      <c r="A984" t="s">
        <v>745</v>
      </c>
      <c r="B984" t="s">
        <v>746</v>
      </c>
      <c r="C984" t="s">
        <v>454</v>
      </c>
      <c r="D984" t="s">
        <v>13</v>
      </c>
      <c r="E984" t="str">
        <f>"98204"</f>
        <v>98204</v>
      </c>
      <c r="F984" t="s">
        <v>14</v>
      </c>
      <c r="G984" t="s">
        <v>747</v>
      </c>
      <c r="I984" t="s">
        <v>555</v>
      </c>
      <c r="J984" t="s">
        <v>13</v>
      </c>
      <c r="K984" t="str">
        <f>"98223"</f>
        <v>98223</v>
      </c>
      <c r="L984">
        <v>11</v>
      </c>
      <c r="M984">
        <v>11</v>
      </c>
      <c r="N984">
        <v>0</v>
      </c>
    </row>
    <row r="985" spans="1:14" x14ac:dyDescent="0.25">
      <c r="A985" t="s">
        <v>2976</v>
      </c>
      <c r="B985" t="s">
        <v>2977</v>
      </c>
      <c r="C985" t="s">
        <v>41</v>
      </c>
      <c r="D985" t="s">
        <v>13</v>
      </c>
      <c r="E985" t="str">
        <f>"98270"</f>
        <v>98270</v>
      </c>
      <c r="F985" t="s">
        <v>14</v>
      </c>
      <c r="G985" t="s">
        <v>2978</v>
      </c>
      <c r="I985" t="s">
        <v>107</v>
      </c>
      <c r="J985" t="s">
        <v>13</v>
      </c>
      <c r="K985" t="str">
        <f>"98105"</f>
        <v>98105</v>
      </c>
      <c r="L985">
        <v>36</v>
      </c>
      <c r="M985">
        <v>36</v>
      </c>
      <c r="N985">
        <v>0</v>
      </c>
    </row>
    <row r="986" spans="1:14" x14ac:dyDescent="0.25">
      <c r="A986" t="s">
        <v>956</v>
      </c>
      <c r="B986" t="s">
        <v>957</v>
      </c>
      <c r="C986" t="s">
        <v>48</v>
      </c>
      <c r="D986" t="s">
        <v>13</v>
      </c>
      <c r="E986" t="str">
        <f>"98021"</f>
        <v>98021</v>
      </c>
      <c r="F986" t="s">
        <v>14</v>
      </c>
      <c r="G986" t="s">
        <v>958</v>
      </c>
      <c r="H986" t="s">
        <v>959</v>
      </c>
      <c r="I986" t="s">
        <v>454</v>
      </c>
      <c r="J986" t="s">
        <v>13</v>
      </c>
      <c r="K986" t="str">
        <f>"98208"</f>
        <v>98208</v>
      </c>
      <c r="L986">
        <v>66</v>
      </c>
      <c r="M986">
        <v>66</v>
      </c>
      <c r="N986">
        <v>0</v>
      </c>
    </row>
    <row r="987" spans="1:14" x14ac:dyDescent="0.25">
      <c r="A987" t="s">
        <v>2892</v>
      </c>
      <c r="B987" t="s">
        <v>2893</v>
      </c>
      <c r="C987" t="s">
        <v>454</v>
      </c>
      <c r="D987" t="s">
        <v>13</v>
      </c>
      <c r="E987" t="str">
        <f>"98204"</f>
        <v>98204</v>
      </c>
      <c r="F987" t="s">
        <v>14</v>
      </c>
      <c r="G987" t="s">
        <v>2894</v>
      </c>
      <c r="I987" t="s">
        <v>46</v>
      </c>
      <c r="J987" t="s">
        <v>13</v>
      </c>
      <c r="K987" t="str">
        <f>"98072"</f>
        <v>98072</v>
      </c>
      <c r="L987">
        <v>38</v>
      </c>
      <c r="M987">
        <v>37</v>
      </c>
      <c r="N987">
        <v>1</v>
      </c>
    </row>
    <row r="988" spans="1:14" x14ac:dyDescent="0.25">
      <c r="A988" t="s">
        <v>305</v>
      </c>
      <c r="B988" t="s">
        <v>306</v>
      </c>
      <c r="C988" t="s">
        <v>307</v>
      </c>
      <c r="D988" t="s">
        <v>13</v>
      </c>
      <c r="E988" t="str">
        <f>"98252"</f>
        <v>98252</v>
      </c>
      <c r="F988" t="s">
        <v>14</v>
      </c>
      <c r="G988" t="s">
        <v>308</v>
      </c>
      <c r="I988" t="s">
        <v>307</v>
      </c>
      <c r="J988" t="s">
        <v>13</v>
      </c>
      <c r="K988" t="str">
        <f>"98252"</f>
        <v>98252</v>
      </c>
      <c r="L988">
        <v>18</v>
      </c>
      <c r="M988">
        <v>18</v>
      </c>
      <c r="N988">
        <v>0</v>
      </c>
    </row>
    <row r="989" spans="1:14" x14ac:dyDescent="0.25">
      <c r="A989" t="s">
        <v>1297</v>
      </c>
      <c r="B989" t="s">
        <v>1298</v>
      </c>
      <c r="C989" t="s">
        <v>12</v>
      </c>
      <c r="D989" t="s">
        <v>13</v>
      </c>
      <c r="E989" t="str">
        <f>"98087"</f>
        <v>98087</v>
      </c>
      <c r="F989" t="s">
        <v>14</v>
      </c>
      <c r="G989" t="s">
        <v>1299</v>
      </c>
      <c r="I989" t="s">
        <v>359</v>
      </c>
      <c r="J989" t="s">
        <v>13</v>
      </c>
      <c r="K989" t="str">
        <f>"98064"</f>
        <v>98064</v>
      </c>
      <c r="L989">
        <v>70</v>
      </c>
      <c r="M989">
        <v>69</v>
      </c>
      <c r="N989">
        <v>1</v>
      </c>
    </row>
    <row r="990" spans="1:14" x14ac:dyDescent="0.25">
      <c r="A990" t="s">
        <v>2348</v>
      </c>
      <c r="B990" t="s">
        <v>2349</v>
      </c>
      <c r="C990" t="s">
        <v>12</v>
      </c>
      <c r="D990" t="s">
        <v>13</v>
      </c>
      <c r="E990" t="str">
        <f>"98037"</f>
        <v>98037</v>
      </c>
      <c r="F990" t="s">
        <v>14</v>
      </c>
      <c r="G990" t="s">
        <v>2347</v>
      </c>
      <c r="I990" t="s">
        <v>37</v>
      </c>
      <c r="J990" t="s">
        <v>13</v>
      </c>
      <c r="K990" t="str">
        <f>"98027"</f>
        <v>98027</v>
      </c>
      <c r="L990">
        <v>15</v>
      </c>
      <c r="M990">
        <v>15</v>
      </c>
      <c r="N990">
        <v>0</v>
      </c>
    </row>
    <row r="991" spans="1:14" x14ac:dyDescent="0.25">
      <c r="A991" t="s">
        <v>3611</v>
      </c>
      <c r="B991" t="s">
        <v>3612</v>
      </c>
      <c r="C991" t="s">
        <v>454</v>
      </c>
      <c r="D991" t="s">
        <v>13</v>
      </c>
      <c r="E991" t="str">
        <f>"98204"</f>
        <v>98204</v>
      </c>
      <c r="F991" t="s">
        <v>14</v>
      </c>
      <c r="G991" t="s">
        <v>1566</v>
      </c>
      <c r="I991" t="s">
        <v>107</v>
      </c>
      <c r="J991" t="s">
        <v>13</v>
      </c>
      <c r="K991" t="str">
        <f>"98198"</f>
        <v>98198</v>
      </c>
      <c r="L991">
        <v>165</v>
      </c>
      <c r="M991">
        <v>96</v>
      </c>
      <c r="N991">
        <v>69</v>
      </c>
    </row>
    <row r="992" spans="1:14" x14ac:dyDescent="0.25">
      <c r="A992" t="s">
        <v>434</v>
      </c>
      <c r="B992" t="s">
        <v>435</v>
      </c>
      <c r="C992" t="s">
        <v>12</v>
      </c>
      <c r="D992" t="s">
        <v>13</v>
      </c>
      <c r="E992" t="str">
        <f>"98036"</f>
        <v>98036</v>
      </c>
      <c r="F992" t="s">
        <v>14</v>
      </c>
      <c r="G992" t="s">
        <v>436</v>
      </c>
      <c r="I992" t="s">
        <v>437</v>
      </c>
      <c r="J992" t="s">
        <v>13</v>
      </c>
      <c r="K992" t="str">
        <f>"98020"</f>
        <v>98020</v>
      </c>
      <c r="L992">
        <v>12</v>
      </c>
      <c r="M992">
        <v>12</v>
      </c>
      <c r="N992">
        <v>0</v>
      </c>
    </row>
    <row r="993" spans="1:14" x14ac:dyDescent="0.25">
      <c r="A993" t="s">
        <v>1694</v>
      </c>
      <c r="B993" t="s">
        <v>1695</v>
      </c>
      <c r="C993" t="s">
        <v>12</v>
      </c>
      <c r="D993" t="s">
        <v>13</v>
      </c>
      <c r="E993" t="str">
        <f>"98087"</f>
        <v>98087</v>
      </c>
      <c r="F993" t="s">
        <v>14</v>
      </c>
      <c r="G993" t="s">
        <v>1695</v>
      </c>
      <c r="I993" t="s">
        <v>12</v>
      </c>
      <c r="J993" t="s">
        <v>13</v>
      </c>
      <c r="K993" t="str">
        <f>"98087"</f>
        <v>98087</v>
      </c>
      <c r="L993">
        <v>128</v>
      </c>
      <c r="M993">
        <v>128</v>
      </c>
      <c r="N993">
        <v>0</v>
      </c>
    </row>
    <row r="994" spans="1:14" x14ac:dyDescent="0.25">
      <c r="A994" t="s">
        <v>793</v>
      </c>
      <c r="B994" t="s">
        <v>794</v>
      </c>
      <c r="C994" t="s">
        <v>41</v>
      </c>
      <c r="D994" t="s">
        <v>13</v>
      </c>
      <c r="E994" t="str">
        <f>"98270"</f>
        <v>98270</v>
      </c>
      <c r="F994" t="s">
        <v>14</v>
      </c>
      <c r="G994" t="s">
        <v>795</v>
      </c>
      <c r="I994" t="s">
        <v>43</v>
      </c>
      <c r="J994" t="s">
        <v>13</v>
      </c>
      <c r="K994" t="str">
        <f>"98040"</f>
        <v>98040</v>
      </c>
      <c r="L994">
        <v>74</v>
      </c>
      <c r="M994">
        <v>74</v>
      </c>
      <c r="N994">
        <v>0</v>
      </c>
    </row>
    <row r="995" spans="1:14" x14ac:dyDescent="0.25">
      <c r="A995" t="s">
        <v>2587</v>
      </c>
      <c r="B995" t="s">
        <v>2588</v>
      </c>
      <c r="C995" t="s">
        <v>1103</v>
      </c>
      <c r="D995" t="s">
        <v>13</v>
      </c>
      <c r="E995" t="str">
        <f>"98251"</f>
        <v>98251</v>
      </c>
      <c r="F995" t="s">
        <v>14</v>
      </c>
      <c r="G995" t="s">
        <v>2589</v>
      </c>
      <c r="I995" t="s">
        <v>1103</v>
      </c>
      <c r="J995" t="s">
        <v>13</v>
      </c>
      <c r="K995" t="str">
        <f>"98251"</f>
        <v>98251</v>
      </c>
      <c r="L995">
        <v>17</v>
      </c>
      <c r="M995">
        <v>17</v>
      </c>
      <c r="N995">
        <v>0</v>
      </c>
    </row>
    <row r="996" spans="1:14" x14ac:dyDescent="0.25">
      <c r="A996" t="s">
        <v>3602</v>
      </c>
      <c r="B996" t="s">
        <v>3603</v>
      </c>
      <c r="C996" t="s">
        <v>454</v>
      </c>
      <c r="D996" t="s">
        <v>13</v>
      </c>
      <c r="E996" t="str">
        <f>"98204"</f>
        <v>98204</v>
      </c>
      <c r="F996" t="s">
        <v>14</v>
      </c>
      <c r="G996" t="s">
        <v>3604</v>
      </c>
      <c r="I996" t="s">
        <v>555</v>
      </c>
      <c r="J996" t="s">
        <v>13</v>
      </c>
      <c r="K996" t="str">
        <f>"98223"</f>
        <v>98223</v>
      </c>
      <c r="L996">
        <v>34</v>
      </c>
      <c r="M996">
        <v>34</v>
      </c>
      <c r="N996">
        <v>0</v>
      </c>
    </row>
    <row r="997" spans="1:14" x14ac:dyDescent="0.25">
      <c r="A997" t="s">
        <v>2253</v>
      </c>
      <c r="B997" t="s">
        <v>2254</v>
      </c>
      <c r="C997" t="s">
        <v>12</v>
      </c>
      <c r="D997" t="s">
        <v>13</v>
      </c>
      <c r="E997" t="str">
        <f>"98037"</f>
        <v>98037</v>
      </c>
      <c r="F997" t="s">
        <v>14</v>
      </c>
      <c r="G997" t="s">
        <v>2255</v>
      </c>
      <c r="I997" t="s">
        <v>107</v>
      </c>
      <c r="J997" t="s">
        <v>13</v>
      </c>
      <c r="K997" t="str">
        <f>"98146"</f>
        <v>98146</v>
      </c>
      <c r="L997">
        <v>17</v>
      </c>
      <c r="M997">
        <v>17</v>
      </c>
      <c r="N997">
        <v>0</v>
      </c>
    </row>
    <row r="998" spans="1:14" x14ac:dyDescent="0.25">
      <c r="A998" t="s">
        <v>2048</v>
      </c>
      <c r="B998" t="s">
        <v>2049</v>
      </c>
      <c r="C998" t="s">
        <v>12</v>
      </c>
      <c r="D998" t="s">
        <v>13</v>
      </c>
      <c r="E998" t="str">
        <f>"98036"</f>
        <v>98036</v>
      </c>
      <c r="F998" t="s">
        <v>14</v>
      </c>
      <c r="G998" t="s">
        <v>2050</v>
      </c>
      <c r="I998" t="s">
        <v>962</v>
      </c>
      <c r="J998" t="s">
        <v>13</v>
      </c>
      <c r="K998" t="str">
        <f>"98024"</f>
        <v>98024</v>
      </c>
      <c r="L998">
        <v>50</v>
      </c>
      <c r="M998">
        <v>48</v>
      </c>
      <c r="N998">
        <v>2</v>
      </c>
    </row>
    <row r="999" spans="1:14" x14ac:dyDescent="0.25">
      <c r="A999" t="s">
        <v>917</v>
      </c>
      <c r="B999" t="s">
        <v>918</v>
      </c>
      <c r="C999" t="s">
        <v>454</v>
      </c>
      <c r="D999" t="s">
        <v>13</v>
      </c>
      <c r="E999" t="str">
        <f>"98208"</f>
        <v>98208</v>
      </c>
      <c r="F999" t="s">
        <v>14</v>
      </c>
      <c r="G999" t="s">
        <v>919</v>
      </c>
      <c r="I999" t="s">
        <v>107</v>
      </c>
      <c r="J999" t="s">
        <v>13</v>
      </c>
      <c r="K999" t="str">
        <f>"98121"</f>
        <v>98121</v>
      </c>
      <c r="L999">
        <v>109</v>
      </c>
      <c r="M999">
        <v>109</v>
      </c>
      <c r="N999">
        <v>0</v>
      </c>
    </row>
    <row r="1000" spans="1:14" x14ac:dyDescent="0.25">
      <c r="A1000" t="s">
        <v>2096</v>
      </c>
      <c r="B1000" t="s">
        <v>2097</v>
      </c>
      <c r="C1000" t="s">
        <v>41</v>
      </c>
      <c r="D1000" t="s">
        <v>13</v>
      </c>
      <c r="E1000" t="str">
        <f>"98271"</f>
        <v>98271</v>
      </c>
      <c r="F1000" t="s">
        <v>14</v>
      </c>
      <c r="G1000" t="s">
        <v>2098</v>
      </c>
      <c r="I1000" t="s">
        <v>501</v>
      </c>
      <c r="J1000" t="s">
        <v>13</v>
      </c>
      <c r="K1000" t="str">
        <f>"98053"</f>
        <v>98053</v>
      </c>
      <c r="L1000">
        <v>73</v>
      </c>
      <c r="M1000">
        <v>73</v>
      </c>
      <c r="N1000">
        <v>0</v>
      </c>
    </row>
    <row r="1001" spans="1:14" x14ac:dyDescent="0.25">
      <c r="A1001" t="s">
        <v>3050</v>
      </c>
      <c r="B1001" t="s">
        <v>3051</v>
      </c>
      <c r="C1001" t="s">
        <v>454</v>
      </c>
      <c r="D1001" t="s">
        <v>13</v>
      </c>
      <c r="E1001" t="str">
        <f>"98208"</f>
        <v>98208</v>
      </c>
      <c r="F1001" t="s">
        <v>14</v>
      </c>
      <c r="G1001" t="s">
        <v>3052</v>
      </c>
      <c r="I1001" t="s">
        <v>454</v>
      </c>
      <c r="J1001" t="s">
        <v>13</v>
      </c>
      <c r="K1001" t="str">
        <f>"98208"</f>
        <v>98208</v>
      </c>
      <c r="L1001">
        <v>213</v>
      </c>
      <c r="M1001">
        <v>213</v>
      </c>
      <c r="N1001">
        <v>0</v>
      </c>
    </row>
    <row r="1002" spans="1:14" x14ac:dyDescent="0.25">
      <c r="A1002" t="s">
        <v>2502</v>
      </c>
      <c r="B1002" t="s">
        <v>1828</v>
      </c>
      <c r="C1002" t="s">
        <v>41</v>
      </c>
      <c r="D1002" t="s">
        <v>13</v>
      </c>
      <c r="E1002" t="str">
        <f>"98271"</f>
        <v>98271</v>
      </c>
      <c r="F1002" t="s">
        <v>14</v>
      </c>
      <c r="G1002" t="s">
        <v>1828</v>
      </c>
      <c r="I1002" t="s">
        <v>41</v>
      </c>
      <c r="J1002" t="s">
        <v>13</v>
      </c>
      <c r="K1002" t="str">
        <f>"98271"</f>
        <v>98271</v>
      </c>
      <c r="L1002">
        <v>54</v>
      </c>
      <c r="M1002">
        <v>24</v>
      </c>
      <c r="N1002">
        <v>30</v>
      </c>
    </row>
    <row r="1003" spans="1:14" x14ac:dyDescent="0.25">
      <c r="A1003" t="s">
        <v>82</v>
      </c>
      <c r="B1003" t="s">
        <v>83</v>
      </c>
      <c r="C1003" t="s">
        <v>41</v>
      </c>
      <c r="D1003" t="s">
        <v>13</v>
      </c>
      <c r="E1003" t="str">
        <f>"98271"</f>
        <v>98271</v>
      </c>
      <c r="F1003" t="s">
        <v>14</v>
      </c>
      <c r="G1003" t="s">
        <v>84</v>
      </c>
      <c r="I1003" t="s">
        <v>41</v>
      </c>
      <c r="J1003" t="s">
        <v>13</v>
      </c>
      <c r="K1003" t="str">
        <f>"98271"</f>
        <v>98271</v>
      </c>
      <c r="L1003">
        <v>92</v>
      </c>
      <c r="M1003">
        <v>92</v>
      </c>
      <c r="N1003">
        <v>0</v>
      </c>
    </row>
    <row r="1004" spans="1:14" x14ac:dyDescent="0.25">
      <c r="A1004" t="s">
        <v>971</v>
      </c>
      <c r="B1004" t="s">
        <v>972</v>
      </c>
      <c r="C1004" t="s">
        <v>973</v>
      </c>
      <c r="D1004" t="s">
        <v>13</v>
      </c>
      <c r="E1004" t="str">
        <f>"98272"</f>
        <v>98272</v>
      </c>
      <c r="F1004" t="s">
        <v>14</v>
      </c>
      <c r="G1004" t="s">
        <v>972</v>
      </c>
      <c r="I1004" t="s">
        <v>973</v>
      </c>
      <c r="J1004" t="s">
        <v>13</v>
      </c>
      <c r="K1004" t="str">
        <f>"98272"</f>
        <v>98272</v>
      </c>
      <c r="L1004">
        <v>18</v>
      </c>
      <c r="M1004">
        <v>18</v>
      </c>
      <c r="N1004">
        <v>0</v>
      </c>
    </row>
    <row r="1005" spans="1:14" x14ac:dyDescent="0.25">
      <c r="A1005" t="s">
        <v>1044</v>
      </c>
      <c r="B1005" t="s">
        <v>1045</v>
      </c>
      <c r="C1005" t="s">
        <v>1030</v>
      </c>
      <c r="D1005" t="s">
        <v>13</v>
      </c>
      <c r="E1005" t="str">
        <f>"98258"</f>
        <v>98258</v>
      </c>
      <c r="F1005" t="s">
        <v>14</v>
      </c>
      <c r="G1005" t="s">
        <v>1041</v>
      </c>
      <c r="I1005" t="s">
        <v>454</v>
      </c>
      <c r="J1005" t="s">
        <v>13</v>
      </c>
      <c r="K1005" t="str">
        <f>"98201"</f>
        <v>98201</v>
      </c>
      <c r="L1005">
        <v>40</v>
      </c>
      <c r="M1005">
        <v>40</v>
      </c>
      <c r="N1005">
        <v>0</v>
      </c>
    </row>
    <row r="1006" spans="1:14" x14ac:dyDescent="0.25">
      <c r="A1006" t="s">
        <v>4058</v>
      </c>
      <c r="B1006" t="s">
        <v>4059</v>
      </c>
      <c r="C1006" t="s">
        <v>14</v>
      </c>
      <c r="D1006" t="s">
        <v>13</v>
      </c>
      <c r="E1006" t="str">
        <f>"98290"</f>
        <v>98290</v>
      </c>
      <c r="F1006" t="s">
        <v>14</v>
      </c>
      <c r="G1006" t="s">
        <v>661</v>
      </c>
      <c r="I1006" t="s">
        <v>248</v>
      </c>
      <c r="J1006" t="s">
        <v>13</v>
      </c>
      <c r="K1006" t="str">
        <f>"98356"</f>
        <v>98356</v>
      </c>
      <c r="L1006">
        <v>9</v>
      </c>
      <c r="M1006">
        <v>9</v>
      </c>
      <c r="N1006">
        <v>0</v>
      </c>
    </row>
    <row r="1007" spans="1:14" x14ac:dyDescent="0.25">
      <c r="A1007" t="s">
        <v>3430</v>
      </c>
      <c r="B1007" t="s">
        <v>3431</v>
      </c>
      <c r="C1007" t="s">
        <v>1277</v>
      </c>
      <c r="D1007" t="s">
        <v>13</v>
      </c>
      <c r="E1007" t="str">
        <f>"98043"</f>
        <v>98043</v>
      </c>
      <c r="F1007" t="s">
        <v>14</v>
      </c>
      <c r="G1007" t="s">
        <v>3432</v>
      </c>
      <c r="I1007" t="s">
        <v>605</v>
      </c>
      <c r="J1007" t="s">
        <v>13</v>
      </c>
      <c r="K1007" t="str">
        <f>"98009"</f>
        <v>98009</v>
      </c>
      <c r="L1007">
        <v>30</v>
      </c>
      <c r="M1007">
        <v>26</v>
      </c>
      <c r="N1007">
        <v>4</v>
      </c>
    </row>
    <row r="1008" spans="1:14" x14ac:dyDescent="0.25">
      <c r="A1008" t="s">
        <v>438</v>
      </c>
      <c r="B1008" t="s">
        <v>439</v>
      </c>
      <c r="C1008" t="s">
        <v>307</v>
      </c>
      <c r="D1008" t="s">
        <v>13</v>
      </c>
      <c r="E1008" t="str">
        <f>"98252"</f>
        <v>98252</v>
      </c>
      <c r="F1008" t="s">
        <v>14</v>
      </c>
      <c r="G1008" t="s">
        <v>440</v>
      </c>
      <c r="I1008" t="s">
        <v>307</v>
      </c>
      <c r="J1008" t="s">
        <v>13</v>
      </c>
      <c r="K1008" t="str">
        <f>"98252"</f>
        <v>98252</v>
      </c>
      <c r="L1008">
        <v>22</v>
      </c>
      <c r="M1008">
        <v>17</v>
      </c>
      <c r="N1008">
        <v>5</v>
      </c>
    </row>
    <row r="1009" spans="1:14" x14ac:dyDescent="0.25">
      <c r="A1009" t="s">
        <v>1970</v>
      </c>
      <c r="B1009" t="s">
        <v>1971</v>
      </c>
      <c r="C1009" t="s">
        <v>14</v>
      </c>
      <c r="D1009" t="s">
        <v>13</v>
      </c>
      <c r="E1009" t="str">
        <f>"98290"</f>
        <v>98290</v>
      </c>
      <c r="F1009" t="s">
        <v>14</v>
      </c>
      <c r="G1009" t="s">
        <v>1972</v>
      </c>
      <c r="I1009" t="s">
        <v>14</v>
      </c>
      <c r="J1009" t="s">
        <v>13</v>
      </c>
      <c r="K1009" t="str">
        <f>"98291"</f>
        <v>98291</v>
      </c>
      <c r="L1009">
        <v>19</v>
      </c>
      <c r="M1009">
        <v>19</v>
      </c>
      <c r="N1009">
        <v>0</v>
      </c>
    </row>
    <row r="1010" spans="1:14" x14ac:dyDescent="0.25">
      <c r="A1010" t="s">
        <v>3826</v>
      </c>
      <c r="B1010" t="s">
        <v>3827</v>
      </c>
      <c r="C1010" t="s">
        <v>454</v>
      </c>
      <c r="D1010" t="s">
        <v>13</v>
      </c>
      <c r="E1010" t="str">
        <f>"98201"</f>
        <v>98201</v>
      </c>
      <c r="F1010" t="s">
        <v>14</v>
      </c>
      <c r="G1010" t="s">
        <v>3828</v>
      </c>
      <c r="I1010" t="s">
        <v>555</v>
      </c>
      <c r="J1010" t="s">
        <v>13</v>
      </c>
      <c r="K1010" t="str">
        <f>"98223"</f>
        <v>98223</v>
      </c>
      <c r="L1010">
        <v>18</v>
      </c>
      <c r="M1010">
        <v>18</v>
      </c>
      <c r="N1010">
        <v>0</v>
      </c>
    </row>
    <row r="1011" spans="1:14" x14ac:dyDescent="0.25">
      <c r="A1011" t="s">
        <v>2875</v>
      </c>
      <c r="B1011" t="s">
        <v>2876</v>
      </c>
      <c r="C1011" t="s">
        <v>14</v>
      </c>
      <c r="D1011" t="s">
        <v>13</v>
      </c>
      <c r="E1011" t="str">
        <f>"98290"</f>
        <v>98290</v>
      </c>
      <c r="F1011" t="s">
        <v>14</v>
      </c>
      <c r="G1011" t="s">
        <v>2869</v>
      </c>
      <c r="I1011" t="s">
        <v>2870</v>
      </c>
      <c r="J1011" t="s">
        <v>13</v>
      </c>
      <c r="K1011" t="str">
        <f>"98004"</f>
        <v>98004</v>
      </c>
      <c r="L1011">
        <v>43</v>
      </c>
      <c r="M1011">
        <v>39</v>
      </c>
      <c r="N1011">
        <v>4</v>
      </c>
    </row>
    <row r="1012" spans="1:14" x14ac:dyDescent="0.25">
      <c r="A1012" t="s">
        <v>1999</v>
      </c>
      <c r="B1012" t="s">
        <v>2000</v>
      </c>
      <c r="C1012" t="s">
        <v>555</v>
      </c>
      <c r="D1012" t="s">
        <v>13</v>
      </c>
      <c r="E1012" t="str">
        <f>"98223"</f>
        <v>98223</v>
      </c>
      <c r="F1012" t="s">
        <v>14</v>
      </c>
      <c r="G1012" t="s">
        <v>2001</v>
      </c>
      <c r="I1012" t="s">
        <v>41</v>
      </c>
      <c r="J1012" t="s">
        <v>13</v>
      </c>
      <c r="K1012" t="str">
        <f>"98271"</f>
        <v>98271</v>
      </c>
      <c r="L1012">
        <v>10</v>
      </c>
      <c r="M1012">
        <v>10</v>
      </c>
      <c r="N1012">
        <v>0</v>
      </c>
    </row>
    <row r="1013" spans="1:14" x14ac:dyDescent="0.25">
      <c r="A1013" t="s">
        <v>2466</v>
      </c>
      <c r="B1013" t="s">
        <v>2467</v>
      </c>
      <c r="C1013" t="s">
        <v>555</v>
      </c>
      <c r="D1013" t="s">
        <v>13</v>
      </c>
      <c r="E1013" t="str">
        <f>"98223"</f>
        <v>98223</v>
      </c>
      <c r="F1013" t="s">
        <v>14</v>
      </c>
      <c r="G1013" t="s">
        <v>2073</v>
      </c>
      <c r="I1013" t="s">
        <v>1522</v>
      </c>
      <c r="J1013" t="s">
        <v>433</v>
      </c>
      <c r="K1013" t="str">
        <f>"92612"</f>
        <v>92612</v>
      </c>
      <c r="L1013">
        <v>79</v>
      </c>
      <c r="M1013">
        <v>77</v>
      </c>
      <c r="N1013">
        <v>2</v>
      </c>
    </row>
    <row r="1014" spans="1:14" x14ac:dyDescent="0.25">
      <c r="A1014" t="s">
        <v>2547</v>
      </c>
      <c r="B1014" t="s">
        <v>2548</v>
      </c>
      <c r="C1014" t="s">
        <v>379</v>
      </c>
      <c r="D1014" t="s">
        <v>13</v>
      </c>
      <c r="E1014" t="str">
        <f>"98294"</f>
        <v>98294</v>
      </c>
      <c r="F1014" t="s">
        <v>14</v>
      </c>
      <c r="G1014" t="s">
        <v>1975</v>
      </c>
      <c r="I1014" t="s">
        <v>43</v>
      </c>
      <c r="J1014" t="s">
        <v>13</v>
      </c>
      <c r="K1014" t="str">
        <f>"98040"</f>
        <v>98040</v>
      </c>
      <c r="L1014">
        <v>16</v>
      </c>
      <c r="M1014">
        <v>16</v>
      </c>
      <c r="N1014">
        <v>0</v>
      </c>
    </row>
    <row r="1015" spans="1:14" x14ac:dyDescent="0.25">
      <c r="A1015" t="s">
        <v>1049</v>
      </c>
      <c r="B1015" t="s">
        <v>1357</v>
      </c>
      <c r="C1015" t="s">
        <v>555</v>
      </c>
      <c r="D1015" t="s">
        <v>13</v>
      </c>
      <c r="E1015" t="str">
        <f>"98223"</f>
        <v>98223</v>
      </c>
      <c r="F1015" t="s">
        <v>14</v>
      </c>
      <c r="G1015" t="s">
        <v>1358</v>
      </c>
      <c r="I1015" t="s">
        <v>107</v>
      </c>
      <c r="J1015" t="s">
        <v>13</v>
      </c>
      <c r="K1015" t="str">
        <f>"98144"</f>
        <v>98144</v>
      </c>
      <c r="L1015">
        <v>16</v>
      </c>
      <c r="M1015">
        <v>3</v>
      </c>
      <c r="N1015">
        <v>13</v>
      </c>
    </row>
    <row r="1016" spans="1:14" x14ac:dyDescent="0.25">
      <c r="A1016" t="s">
        <v>2240</v>
      </c>
      <c r="B1016" t="s">
        <v>2241</v>
      </c>
      <c r="C1016" t="s">
        <v>12</v>
      </c>
      <c r="D1016" t="s">
        <v>13</v>
      </c>
      <c r="E1016" t="str">
        <f>"98037"</f>
        <v>98037</v>
      </c>
      <c r="F1016" t="s">
        <v>14</v>
      </c>
      <c r="G1016" t="s">
        <v>2234</v>
      </c>
      <c r="I1016" t="s">
        <v>2235</v>
      </c>
      <c r="J1016" t="s">
        <v>13</v>
      </c>
      <c r="K1016" t="str">
        <f>"98346"</f>
        <v>98346</v>
      </c>
      <c r="L1016">
        <v>89</v>
      </c>
      <c r="M1016">
        <v>85</v>
      </c>
      <c r="N1016">
        <v>4</v>
      </c>
    </row>
    <row r="1017" spans="1:14" x14ac:dyDescent="0.25">
      <c r="A1017" t="s">
        <v>3765</v>
      </c>
      <c r="B1017" t="s">
        <v>3766</v>
      </c>
      <c r="C1017" t="s">
        <v>454</v>
      </c>
      <c r="D1017" t="s">
        <v>13</v>
      </c>
      <c r="E1017" t="str">
        <f>"98201"</f>
        <v>98201</v>
      </c>
      <c r="F1017" t="s">
        <v>14</v>
      </c>
      <c r="G1017" t="s">
        <v>3767</v>
      </c>
      <c r="I1017" t="s">
        <v>3283</v>
      </c>
      <c r="J1017" t="s">
        <v>13</v>
      </c>
      <c r="K1017" t="str">
        <f>"98383"</f>
        <v>98383</v>
      </c>
      <c r="L1017">
        <v>27</v>
      </c>
      <c r="M1017">
        <v>27</v>
      </c>
      <c r="N1017">
        <v>0</v>
      </c>
    </row>
    <row r="1018" spans="1:14" x14ac:dyDescent="0.25">
      <c r="A1018" t="s">
        <v>3662</v>
      </c>
      <c r="B1018" t="s">
        <v>3663</v>
      </c>
      <c r="C1018" t="s">
        <v>12</v>
      </c>
      <c r="D1018" t="s">
        <v>13</v>
      </c>
      <c r="E1018" t="str">
        <f>"98036"</f>
        <v>98036</v>
      </c>
      <c r="F1018" t="s">
        <v>14</v>
      </c>
      <c r="G1018" t="s">
        <v>3663</v>
      </c>
      <c r="I1018" t="s">
        <v>12</v>
      </c>
      <c r="J1018" t="s">
        <v>13</v>
      </c>
      <c r="K1018" t="str">
        <f>"98036"</f>
        <v>98036</v>
      </c>
      <c r="L1018">
        <v>29</v>
      </c>
      <c r="M1018">
        <v>11</v>
      </c>
      <c r="N1018">
        <v>18</v>
      </c>
    </row>
    <row r="1019" spans="1:14" x14ac:dyDescent="0.25">
      <c r="A1019" t="s">
        <v>703</v>
      </c>
      <c r="B1019" t="s">
        <v>704</v>
      </c>
      <c r="C1019" t="s">
        <v>12</v>
      </c>
      <c r="D1019" t="s">
        <v>13</v>
      </c>
      <c r="E1019" t="str">
        <f>"98087"</f>
        <v>98087</v>
      </c>
      <c r="F1019" t="s">
        <v>14</v>
      </c>
      <c r="G1019" t="s">
        <v>705</v>
      </c>
      <c r="H1019" t="s">
        <v>706</v>
      </c>
      <c r="I1019" t="s">
        <v>605</v>
      </c>
      <c r="J1019" t="s">
        <v>13</v>
      </c>
      <c r="K1019" t="str">
        <f>"98006"</f>
        <v>98006</v>
      </c>
      <c r="L1019">
        <v>131</v>
      </c>
      <c r="M1019">
        <v>131</v>
      </c>
      <c r="N1019">
        <v>0</v>
      </c>
    </row>
    <row r="1020" spans="1:14" x14ac:dyDescent="0.25">
      <c r="A1020" t="s">
        <v>767</v>
      </c>
      <c r="B1020" t="s">
        <v>768</v>
      </c>
      <c r="C1020" t="s">
        <v>555</v>
      </c>
      <c r="D1020" t="s">
        <v>13</v>
      </c>
      <c r="E1020" t="str">
        <f>"98223"</f>
        <v>98223</v>
      </c>
      <c r="F1020" t="s">
        <v>14</v>
      </c>
      <c r="G1020" t="s">
        <v>768</v>
      </c>
      <c r="I1020" t="s">
        <v>555</v>
      </c>
      <c r="J1020" t="s">
        <v>13</v>
      </c>
      <c r="K1020" t="str">
        <f>"98223"</f>
        <v>98223</v>
      </c>
      <c r="L1020">
        <v>30</v>
      </c>
      <c r="M1020">
        <v>30</v>
      </c>
      <c r="N1020">
        <v>0</v>
      </c>
    </row>
    <row r="1021" spans="1:14" x14ac:dyDescent="0.25">
      <c r="A1021" t="s">
        <v>3563</v>
      </c>
      <c r="B1021" t="s">
        <v>3564</v>
      </c>
      <c r="C1021" t="s">
        <v>12</v>
      </c>
      <c r="D1021" t="s">
        <v>13</v>
      </c>
      <c r="E1021" t="str">
        <f>"98087"</f>
        <v>98087</v>
      </c>
      <c r="F1021" t="s">
        <v>14</v>
      </c>
      <c r="G1021" t="s">
        <v>3562</v>
      </c>
      <c r="I1021" t="s">
        <v>107</v>
      </c>
      <c r="J1021" t="s">
        <v>13</v>
      </c>
      <c r="K1021" t="str">
        <f>"98115"</f>
        <v>98115</v>
      </c>
      <c r="L1021">
        <v>27</v>
      </c>
      <c r="M1021">
        <v>27</v>
      </c>
      <c r="N1021">
        <v>0</v>
      </c>
    </row>
    <row r="1022" spans="1:14" x14ac:dyDescent="0.25">
      <c r="A1022" t="s">
        <v>1609</v>
      </c>
      <c r="B1022" t="s">
        <v>1610</v>
      </c>
      <c r="C1022" t="s">
        <v>14</v>
      </c>
      <c r="D1022" t="s">
        <v>13</v>
      </c>
      <c r="E1022" t="str">
        <f>"98296"</f>
        <v>98296</v>
      </c>
      <c r="F1022" t="s">
        <v>14</v>
      </c>
      <c r="G1022" t="s">
        <v>684</v>
      </c>
      <c r="I1022" t="s">
        <v>598</v>
      </c>
      <c r="J1022" t="s">
        <v>13</v>
      </c>
      <c r="K1022" t="str">
        <f>"98370"</f>
        <v>98370</v>
      </c>
      <c r="L1022">
        <v>35</v>
      </c>
      <c r="M1022">
        <v>35</v>
      </c>
      <c r="N1022">
        <v>0</v>
      </c>
    </row>
    <row r="1023" spans="1:14" x14ac:dyDescent="0.25">
      <c r="A1023" t="s">
        <v>3739</v>
      </c>
      <c r="B1023" t="s">
        <v>3740</v>
      </c>
      <c r="C1023" t="s">
        <v>454</v>
      </c>
      <c r="D1023" t="s">
        <v>13</v>
      </c>
      <c r="E1023" t="str">
        <f>"98208"</f>
        <v>98208</v>
      </c>
      <c r="F1023" t="s">
        <v>14</v>
      </c>
      <c r="G1023" t="s">
        <v>633</v>
      </c>
      <c r="I1023" t="s">
        <v>634</v>
      </c>
      <c r="J1023" t="s">
        <v>433</v>
      </c>
      <c r="K1023" t="str">
        <f>"95442"</f>
        <v>95442</v>
      </c>
      <c r="L1023">
        <v>103</v>
      </c>
      <c r="M1023">
        <v>101</v>
      </c>
      <c r="N1023">
        <v>2</v>
      </c>
    </row>
    <row r="1024" spans="1:14" x14ac:dyDescent="0.25">
      <c r="A1024" t="s">
        <v>2131</v>
      </c>
      <c r="B1024" t="s">
        <v>2132</v>
      </c>
      <c r="C1024" t="s">
        <v>14</v>
      </c>
      <c r="D1024" t="s">
        <v>13</v>
      </c>
      <c r="E1024" t="str">
        <f>"98290"</f>
        <v>98290</v>
      </c>
      <c r="F1024" t="s">
        <v>14</v>
      </c>
      <c r="G1024" t="s">
        <v>2129</v>
      </c>
      <c r="I1024" t="s">
        <v>2130</v>
      </c>
      <c r="J1024" t="s">
        <v>13</v>
      </c>
      <c r="K1024" t="str">
        <f>"98039"</f>
        <v>98039</v>
      </c>
      <c r="L1024">
        <v>39</v>
      </c>
      <c r="M1024">
        <v>24</v>
      </c>
      <c r="N1024">
        <v>15</v>
      </c>
    </row>
    <row r="1025" spans="1:14" x14ac:dyDescent="0.25">
      <c r="A1025" t="s">
        <v>2938</v>
      </c>
      <c r="B1025" t="s">
        <v>2939</v>
      </c>
      <c r="C1025" t="s">
        <v>12</v>
      </c>
      <c r="D1025" t="s">
        <v>13</v>
      </c>
      <c r="E1025" t="str">
        <f>"98036"</f>
        <v>98036</v>
      </c>
      <c r="F1025" t="s">
        <v>14</v>
      </c>
      <c r="G1025" t="s">
        <v>2940</v>
      </c>
      <c r="I1025" t="s">
        <v>2941</v>
      </c>
      <c r="J1025" t="s">
        <v>1270</v>
      </c>
      <c r="K1025" t="str">
        <f>"83403"</f>
        <v>83403</v>
      </c>
      <c r="L1025">
        <v>18</v>
      </c>
      <c r="M1025">
        <v>18</v>
      </c>
      <c r="N1025">
        <v>0</v>
      </c>
    </row>
    <row r="1026" spans="1:14" x14ac:dyDescent="0.25">
      <c r="A1026" t="s">
        <v>3613</v>
      </c>
      <c r="B1026" t="s">
        <v>2440</v>
      </c>
      <c r="C1026" t="s">
        <v>12</v>
      </c>
      <c r="D1026" t="s">
        <v>13</v>
      </c>
      <c r="E1026" t="str">
        <f>"98037"</f>
        <v>98037</v>
      </c>
      <c r="F1026" t="s">
        <v>14</v>
      </c>
      <c r="G1026" t="s">
        <v>2440</v>
      </c>
      <c r="I1026" t="s">
        <v>12</v>
      </c>
      <c r="J1026" t="s">
        <v>13</v>
      </c>
      <c r="K1026" t="str">
        <f>"98037"</f>
        <v>98037</v>
      </c>
      <c r="L1026">
        <v>48</v>
      </c>
      <c r="M1026">
        <v>48</v>
      </c>
      <c r="N1026">
        <v>0</v>
      </c>
    </row>
    <row r="1027" spans="1:14" x14ac:dyDescent="0.25">
      <c r="A1027" t="s">
        <v>2372</v>
      </c>
      <c r="B1027" t="s">
        <v>2373</v>
      </c>
      <c r="C1027" t="s">
        <v>12</v>
      </c>
      <c r="D1027" t="s">
        <v>13</v>
      </c>
      <c r="E1027" t="str">
        <f>"98037"</f>
        <v>98037</v>
      </c>
      <c r="F1027" t="s">
        <v>14</v>
      </c>
      <c r="G1027" t="s">
        <v>2374</v>
      </c>
      <c r="I1027" t="s">
        <v>12</v>
      </c>
      <c r="J1027" t="s">
        <v>13</v>
      </c>
      <c r="K1027" t="str">
        <f>"98046"</f>
        <v>98046</v>
      </c>
      <c r="L1027">
        <v>25</v>
      </c>
      <c r="M1027">
        <v>15</v>
      </c>
      <c r="N1027">
        <v>10</v>
      </c>
    </row>
    <row r="1028" spans="1:14" x14ac:dyDescent="0.25">
      <c r="A1028" t="s">
        <v>452</v>
      </c>
      <c r="B1028" t="s">
        <v>453</v>
      </c>
      <c r="C1028" t="s">
        <v>454</v>
      </c>
      <c r="D1028" t="s">
        <v>13</v>
      </c>
      <c r="E1028" t="str">
        <f>"98208"</f>
        <v>98208</v>
      </c>
      <c r="F1028" t="s">
        <v>14</v>
      </c>
      <c r="G1028" t="s">
        <v>455</v>
      </c>
      <c r="I1028" t="s">
        <v>454</v>
      </c>
      <c r="J1028" t="s">
        <v>13</v>
      </c>
      <c r="K1028" t="str">
        <f>"98204"</f>
        <v>98204</v>
      </c>
      <c r="L1028">
        <v>53</v>
      </c>
      <c r="M1028">
        <v>49</v>
      </c>
      <c r="N1028">
        <v>4</v>
      </c>
    </row>
    <row r="1029" spans="1:14" x14ac:dyDescent="0.25">
      <c r="A1029" t="s">
        <v>756</v>
      </c>
      <c r="B1029" t="s">
        <v>757</v>
      </c>
      <c r="C1029" t="s">
        <v>379</v>
      </c>
      <c r="D1029" t="s">
        <v>13</v>
      </c>
      <c r="E1029" t="str">
        <f>"98294"</f>
        <v>98294</v>
      </c>
      <c r="F1029" t="s">
        <v>14</v>
      </c>
      <c r="G1029" t="s">
        <v>758</v>
      </c>
      <c r="I1029" t="s">
        <v>14</v>
      </c>
      <c r="J1029" t="s">
        <v>13</v>
      </c>
      <c r="K1029" t="str">
        <f>"98296"</f>
        <v>98296</v>
      </c>
      <c r="L1029">
        <v>25</v>
      </c>
      <c r="M1029">
        <v>24</v>
      </c>
      <c r="N1029">
        <v>1</v>
      </c>
    </row>
    <row r="1030" spans="1:14" x14ac:dyDescent="0.25">
      <c r="A1030" t="s">
        <v>1460</v>
      </c>
      <c r="B1030" t="s">
        <v>1461</v>
      </c>
      <c r="C1030" t="s">
        <v>1036</v>
      </c>
      <c r="D1030" t="s">
        <v>13</v>
      </c>
      <c r="E1030" t="str">
        <f>"98241"</f>
        <v>98241</v>
      </c>
      <c r="F1030" t="s">
        <v>14</v>
      </c>
      <c r="G1030" t="s">
        <v>1462</v>
      </c>
      <c r="I1030" t="s">
        <v>555</v>
      </c>
      <c r="J1030" t="s">
        <v>13</v>
      </c>
      <c r="K1030" t="str">
        <f>"98223"</f>
        <v>98223</v>
      </c>
      <c r="L1030">
        <v>20</v>
      </c>
      <c r="M1030">
        <v>20</v>
      </c>
      <c r="N1030">
        <v>0</v>
      </c>
    </row>
    <row r="1031" spans="1:14" x14ac:dyDescent="0.25">
      <c r="A1031" t="s">
        <v>1404</v>
      </c>
      <c r="B1031" t="s">
        <v>1405</v>
      </c>
      <c r="C1031" t="s">
        <v>1103</v>
      </c>
      <c r="D1031" t="s">
        <v>13</v>
      </c>
      <c r="E1031" t="str">
        <f>"98251"</f>
        <v>98251</v>
      </c>
      <c r="F1031" t="s">
        <v>14</v>
      </c>
      <c r="G1031" t="s">
        <v>1406</v>
      </c>
      <c r="I1031" t="s">
        <v>1103</v>
      </c>
      <c r="J1031" t="s">
        <v>13</v>
      </c>
      <c r="K1031" t="str">
        <f>"98251"</f>
        <v>98251</v>
      </c>
      <c r="L1031">
        <v>5</v>
      </c>
      <c r="M1031">
        <v>2</v>
      </c>
      <c r="N1031">
        <v>3</v>
      </c>
    </row>
    <row r="1032" spans="1:14" x14ac:dyDescent="0.25">
      <c r="A1032" t="s">
        <v>2505</v>
      </c>
      <c r="B1032" t="s">
        <v>2506</v>
      </c>
      <c r="C1032" t="s">
        <v>41</v>
      </c>
      <c r="D1032" t="s">
        <v>13</v>
      </c>
      <c r="E1032" t="str">
        <f>"98270"</f>
        <v>98270</v>
      </c>
      <c r="F1032" t="s">
        <v>14</v>
      </c>
      <c r="G1032" t="s">
        <v>2506</v>
      </c>
      <c r="I1032" t="s">
        <v>41</v>
      </c>
      <c r="J1032" t="s">
        <v>13</v>
      </c>
      <c r="K1032" t="str">
        <f>"98270"</f>
        <v>98270</v>
      </c>
      <c r="L1032">
        <v>58</v>
      </c>
      <c r="M1032">
        <v>58</v>
      </c>
      <c r="N1032">
        <v>0</v>
      </c>
    </row>
    <row r="1033" spans="1:14" x14ac:dyDescent="0.25">
      <c r="A1033" t="s">
        <v>1699</v>
      </c>
      <c r="B1033" t="s">
        <v>1700</v>
      </c>
      <c r="C1033" t="s">
        <v>48</v>
      </c>
      <c r="D1033" t="s">
        <v>13</v>
      </c>
      <c r="E1033" t="str">
        <f>"98012"</f>
        <v>98012</v>
      </c>
      <c r="F1033" t="s">
        <v>14</v>
      </c>
      <c r="G1033" t="s">
        <v>1701</v>
      </c>
      <c r="I1033" t="s">
        <v>48</v>
      </c>
      <c r="J1033" t="s">
        <v>13</v>
      </c>
      <c r="K1033" t="str">
        <f>"98012"</f>
        <v>98012</v>
      </c>
      <c r="L1033">
        <v>46</v>
      </c>
      <c r="M1033">
        <v>46</v>
      </c>
      <c r="N1033">
        <v>0</v>
      </c>
    </row>
    <row r="1034" spans="1:14" x14ac:dyDescent="0.25">
      <c r="A1034" t="s">
        <v>1941</v>
      </c>
      <c r="B1034" t="s">
        <v>1942</v>
      </c>
      <c r="C1034" t="s">
        <v>48</v>
      </c>
      <c r="D1034" t="s">
        <v>13</v>
      </c>
      <c r="E1034" t="str">
        <f>"98011"</f>
        <v>98011</v>
      </c>
      <c r="F1034" t="s">
        <v>14</v>
      </c>
      <c r="G1034" t="s">
        <v>1943</v>
      </c>
      <c r="I1034" t="s">
        <v>1484</v>
      </c>
      <c r="J1034" t="s">
        <v>13</v>
      </c>
      <c r="K1034" t="str">
        <f>"98083"</f>
        <v>98083</v>
      </c>
      <c r="L1034">
        <v>66</v>
      </c>
      <c r="M1034">
        <v>66</v>
      </c>
      <c r="N1034">
        <v>0</v>
      </c>
    </row>
    <row r="1035" spans="1:14" x14ac:dyDescent="0.25">
      <c r="A1035" t="s">
        <v>1355</v>
      </c>
      <c r="B1035" t="s">
        <v>1356</v>
      </c>
      <c r="C1035" t="s">
        <v>454</v>
      </c>
      <c r="D1035" t="s">
        <v>13</v>
      </c>
      <c r="E1035" t="str">
        <f>"98204"</f>
        <v>98204</v>
      </c>
      <c r="F1035" t="s">
        <v>14</v>
      </c>
      <c r="G1035" t="s">
        <v>910</v>
      </c>
      <c r="I1035" t="s">
        <v>107</v>
      </c>
      <c r="J1035" t="s">
        <v>13</v>
      </c>
      <c r="K1035" t="str">
        <f>"98144"</f>
        <v>98144</v>
      </c>
      <c r="L1035">
        <v>89</v>
      </c>
      <c r="M1035">
        <v>89</v>
      </c>
      <c r="N1035">
        <v>0</v>
      </c>
    </row>
    <row r="1036" spans="1:14" x14ac:dyDescent="0.25">
      <c r="A1036" t="s">
        <v>3619</v>
      </c>
      <c r="B1036" t="s">
        <v>3620</v>
      </c>
      <c r="C1036" t="s">
        <v>437</v>
      </c>
      <c r="D1036" t="s">
        <v>13</v>
      </c>
      <c r="E1036" t="str">
        <f>"98020"</f>
        <v>98020</v>
      </c>
      <c r="F1036" t="s">
        <v>14</v>
      </c>
      <c r="G1036" t="s">
        <v>1943</v>
      </c>
      <c r="I1036" t="s">
        <v>1484</v>
      </c>
      <c r="J1036" t="s">
        <v>13</v>
      </c>
      <c r="K1036" t="str">
        <f>"98083"</f>
        <v>98083</v>
      </c>
      <c r="L1036">
        <v>33</v>
      </c>
      <c r="M1036">
        <v>33</v>
      </c>
      <c r="N1036">
        <v>0</v>
      </c>
    </row>
    <row r="1037" spans="1:14" x14ac:dyDescent="0.25">
      <c r="A1037" t="s">
        <v>426</v>
      </c>
      <c r="B1037" t="s">
        <v>427</v>
      </c>
      <c r="C1037" t="s">
        <v>428</v>
      </c>
      <c r="D1037" t="s">
        <v>13</v>
      </c>
      <c r="E1037" t="str">
        <f>"98292"</f>
        <v>98292</v>
      </c>
      <c r="F1037" t="s">
        <v>14</v>
      </c>
      <c r="G1037" t="s">
        <v>427</v>
      </c>
      <c r="I1037" t="s">
        <v>428</v>
      </c>
      <c r="J1037" t="s">
        <v>13</v>
      </c>
      <c r="K1037" t="str">
        <f>"98292"</f>
        <v>98292</v>
      </c>
      <c r="L1037">
        <v>48</v>
      </c>
      <c r="M1037">
        <v>48</v>
      </c>
      <c r="N1037">
        <v>0</v>
      </c>
    </row>
    <row r="1038" spans="1:14" x14ac:dyDescent="0.25">
      <c r="A1038" t="s">
        <v>377</v>
      </c>
      <c r="B1038" t="s">
        <v>378</v>
      </c>
      <c r="C1038" t="s">
        <v>379</v>
      </c>
      <c r="D1038" t="s">
        <v>13</v>
      </c>
      <c r="E1038" t="str">
        <f>"98294"</f>
        <v>98294</v>
      </c>
      <c r="F1038" t="s">
        <v>14</v>
      </c>
      <c r="G1038" t="s">
        <v>380</v>
      </c>
      <c r="I1038" t="s">
        <v>14</v>
      </c>
      <c r="J1038" t="s">
        <v>13</v>
      </c>
      <c r="K1038" t="str">
        <f>"98291"</f>
        <v>98291</v>
      </c>
      <c r="L1038">
        <v>8</v>
      </c>
      <c r="M1038">
        <v>8</v>
      </c>
      <c r="N1038">
        <v>0</v>
      </c>
    </row>
    <row r="1039" spans="1:14" x14ac:dyDescent="0.25">
      <c r="A1039" t="s">
        <v>1726</v>
      </c>
      <c r="B1039" t="s">
        <v>1727</v>
      </c>
      <c r="C1039" t="s">
        <v>12</v>
      </c>
      <c r="D1039" t="s">
        <v>13</v>
      </c>
      <c r="E1039" t="str">
        <f>"98087"</f>
        <v>98087</v>
      </c>
      <c r="F1039" t="s">
        <v>14</v>
      </c>
      <c r="G1039" t="s">
        <v>1728</v>
      </c>
      <c r="I1039" t="s">
        <v>1484</v>
      </c>
      <c r="J1039" t="s">
        <v>13</v>
      </c>
      <c r="K1039" t="str">
        <f>"98033"</f>
        <v>98033</v>
      </c>
      <c r="L1039">
        <v>70</v>
      </c>
      <c r="M1039">
        <v>42</v>
      </c>
      <c r="N1039">
        <v>28</v>
      </c>
    </row>
    <row r="1040" spans="1:14" x14ac:dyDescent="0.25">
      <c r="A1040" t="s">
        <v>2555</v>
      </c>
      <c r="B1040" t="s">
        <v>2556</v>
      </c>
      <c r="C1040" t="s">
        <v>454</v>
      </c>
      <c r="D1040" t="s">
        <v>13</v>
      </c>
      <c r="E1040" t="str">
        <f>"98203"</f>
        <v>98203</v>
      </c>
      <c r="F1040" t="s">
        <v>14</v>
      </c>
      <c r="G1040" t="s">
        <v>2557</v>
      </c>
      <c r="I1040" t="s">
        <v>1484</v>
      </c>
      <c r="J1040" t="s">
        <v>13</v>
      </c>
      <c r="K1040" t="str">
        <f>"98033"</f>
        <v>98033</v>
      </c>
      <c r="L1040">
        <v>130</v>
      </c>
      <c r="M1040">
        <v>130</v>
      </c>
      <c r="N1040">
        <v>0</v>
      </c>
    </row>
    <row r="1041" spans="1:14" x14ac:dyDescent="0.25">
      <c r="A1041" t="s">
        <v>3616</v>
      </c>
      <c r="B1041" t="s">
        <v>3617</v>
      </c>
      <c r="C1041" t="s">
        <v>1030</v>
      </c>
      <c r="D1041" t="s">
        <v>13</v>
      </c>
      <c r="E1041" t="str">
        <f>"98258"</f>
        <v>98258</v>
      </c>
      <c r="F1041" t="s">
        <v>14</v>
      </c>
      <c r="G1041" t="s">
        <v>3618</v>
      </c>
      <c r="H1041" t="s">
        <v>2619</v>
      </c>
      <c r="I1041" t="s">
        <v>2620</v>
      </c>
      <c r="J1041" t="s">
        <v>433</v>
      </c>
      <c r="K1041" t="str">
        <f>"94080"</f>
        <v>94080</v>
      </c>
      <c r="L1041">
        <v>82</v>
      </c>
      <c r="M1041">
        <v>82</v>
      </c>
      <c r="N1041">
        <v>0</v>
      </c>
    </row>
    <row r="1042" spans="1:14" x14ac:dyDescent="0.25">
      <c r="A1042" t="s">
        <v>3588</v>
      </c>
      <c r="B1042" t="s">
        <v>3589</v>
      </c>
      <c r="C1042" t="s">
        <v>1277</v>
      </c>
      <c r="D1042" t="s">
        <v>13</v>
      </c>
      <c r="E1042" t="str">
        <f>"98043"</f>
        <v>98043</v>
      </c>
      <c r="F1042" t="s">
        <v>14</v>
      </c>
      <c r="G1042" t="s">
        <v>3590</v>
      </c>
      <c r="I1042" t="s">
        <v>3591</v>
      </c>
      <c r="J1042" t="s">
        <v>13</v>
      </c>
      <c r="K1042" t="str">
        <f>"98282"</f>
        <v>98282</v>
      </c>
      <c r="L1042">
        <v>66</v>
      </c>
      <c r="M1042">
        <v>66</v>
      </c>
      <c r="N1042">
        <v>0</v>
      </c>
    </row>
    <row r="1043" spans="1:14" x14ac:dyDescent="0.25">
      <c r="A1043" t="s">
        <v>1198</v>
      </c>
      <c r="B1043" t="s">
        <v>1199</v>
      </c>
      <c r="C1043" t="s">
        <v>1192</v>
      </c>
      <c r="D1043" t="s">
        <v>13</v>
      </c>
      <c r="E1043" t="str">
        <f>"99001"</f>
        <v>99001</v>
      </c>
      <c r="F1043" t="s">
        <v>116</v>
      </c>
      <c r="G1043" t="s">
        <v>1193</v>
      </c>
      <c r="I1043" t="s">
        <v>660</v>
      </c>
      <c r="J1043" t="s">
        <v>13</v>
      </c>
      <c r="K1043" t="str">
        <f>"99022"</f>
        <v>99022</v>
      </c>
      <c r="L1043">
        <v>35</v>
      </c>
      <c r="M1043">
        <v>3</v>
      </c>
      <c r="N1043">
        <v>32</v>
      </c>
    </row>
    <row r="1044" spans="1:14" x14ac:dyDescent="0.25">
      <c r="A1044" t="s">
        <v>1190</v>
      </c>
      <c r="B1044" t="s">
        <v>1191</v>
      </c>
      <c r="C1044" t="s">
        <v>1192</v>
      </c>
      <c r="D1044" t="s">
        <v>13</v>
      </c>
      <c r="E1044" t="str">
        <f>"99001"</f>
        <v>99001</v>
      </c>
      <c r="F1044" t="s">
        <v>116</v>
      </c>
      <c r="G1044" t="s">
        <v>1193</v>
      </c>
      <c r="I1044" t="s">
        <v>660</v>
      </c>
      <c r="J1044" t="s">
        <v>13</v>
      </c>
      <c r="K1044" t="str">
        <f>"99022"</f>
        <v>99022</v>
      </c>
      <c r="L1044">
        <v>5</v>
      </c>
      <c r="M1044">
        <v>5</v>
      </c>
      <c r="N1044">
        <v>0</v>
      </c>
    </row>
    <row r="1045" spans="1:14" x14ac:dyDescent="0.25">
      <c r="A1045" t="s">
        <v>1487</v>
      </c>
      <c r="B1045" t="s">
        <v>1488</v>
      </c>
      <c r="C1045" t="s">
        <v>1489</v>
      </c>
      <c r="D1045" t="s">
        <v>13</v>
      </c>
      <c r="E1045" t="str">
        <f>"99009"</f>
        <v>99009</v>
      </c>
      <c r="F1045" t="s">
        <v>116</v>
      </c>
      <c r="G1045" t="s">
        <v>1490</v>
      </c>
      <c r="I1045" t="s">
        <v>1491</v>
      </c>
      <c r="J1045" t="s">
        <v>630</v>
      </c>
      <c r="K1045" t="str">
        <f>"96743"</f>
        <v>96743</v>
      </c>
      <c r="L1045">
        <v>70</v>
      </c>
      <c r="M1045">
        <v>8</v>
      </c>
      <c r="N1045">
        <v>62</v>
      </c>
    </row>
    <row r="1046" spans="1:14" x14ac:dyDescent="0.25">
      <c r="A1046" t="s">
        <v>3979</v>
      </c>
      <c r="B1046" t="s">
        <v>3980</v>
      </c>
      <c r="C1046" t="s">
        <v>342</v>
      </c>
      <c r="D1046" t="s">
        <v>13</v>
      </c>
      <c r="E1046" t="str">
        <f>"99016"</f>
        <v>99016</v>
      </c>
      <c r="F1046" t="s">
        <v>116</v>
      </c>
      <c r="G1046" t="s">
        <v>3981</v>
      </c>
      <c r="I1046" t="s">
        <v>3982</v>
      </c>
      <c r="J1046" t="s">
        <v>1270</v>
      </c>
      <c r="K1046" t="str">
        <f>"83877"</f>
        <v>83877</v>
      </c>
      <c r="L1046">
        <v>21</v>
      </c>
      <c r="M1046">
        <v>3</v>
      </c>
      <c r="N1046">
        <v>18</v>
      </c>
    </row>
    <row r="1047" spans="1:14" x14ac:dyDescent="0.25">
      <c r="A1047" t="s">
        <v>3683</v>
      </c>
      <c r="B1047" t="s">
        <v>3684</v>
      </c>
      <c r="C1047" t="s">
        <v>342</v>
      </c>
      <c r="D1047" t="s">
        <v>13</v>
      </c>
      <c r="E1047" t="str">
        <f>"99212"</f>
        <v>99212</v>
      </c>
      <c r="F1047" t="s">
        <v>116</v>
      </c>
      <c r="G1047" t="s">
        <v>3685</v>
      </c>
      <c r="I1047" t="s">
        <v>555</v>
      </c>
      <c r="J1047" t="s">
        <v>13</v>
      </c>
      <c r="K1047" t="str">
        <f>"98223"</f>
        <v>98223</v>
      </c>
      <c r="L1047">
        <v>64</v>
      </c>
      <c r="M1047">
        <v>46</v>
      </c>
      <c r="N1047">
        <v>18</v>
      </c>
    </row>
    <row r="1048" spans="1:14" x14ac:dyDescent="0.25">
      <c r="A1048" t="s">
        <v>2314</v>
      </c>
      <c r="B1048" t="s">
        <v>2315</v>
      </c>
      <c r="C1048" t="s">
        <v>342</v>
      </c>
      <c r="D1048" t="s">
        <v>13</v>
      </c>
      <c r="E1048" t="str">
        <f>"99016"</f>
        <v>99016</v>
      </c>
      <c r="F1048" t="s">
        <v>116</v>
      </c>
      <c r="G1048" t="s">
        <v>2315</v>
      </c>
      <c r="I1048" t="s">
        <v>342</v>
      </c>
      <c r="J1048" t="s">
        <v>13</v>
      </c>
      <c r="K1048" t="str">
        <f>"99016"</f>
        <v>99016</v>
      </c>
      <c r="L1048">
        <v>96</v>
      </c>
      <c r="M1048">
        <v>95</v>
      </c>
      <c r="N1048">
        <v>1</v>
      </c>
    </row>
    <row r="1049" spans="1:14" x14ac:dyDescent="0.25">
      <c r="A1049" t="s">
        <v>3571</v>
      </c>
      <c r="B1049" t="s">
        <v>3572</v>
      </c>
      <c r="C1049" t="s">
        <v>754</v>
      </c>
      <c r="D1049" t="s">
        <v>13</v>
      </c>
      <c r="E1049" t="str">
        <f>"99027"</f>
        <v>99027</v>
      </c>
      <c r="F1049" t="s">
        <v>116</v>
      </c>
      <c r="G1049" t="s">
        <v>2541</v>
      </c>
      <c r="I1049" t="s">
        <v>3573</v>
      </c>
      <c r="J1049" t="s">
        <v>1270</v>
      </c>
      <c r="K1049" t="str">
        <f>"83840"</f>
        <v>83840</v>
      </c>
      <c r="L1049">
        <v>22</v>
      </c>
      <c r="M1049">
        <v>22</v>
      </c>
      <c r="N1049">
        <v>0</v>
      </c>
    </row>
    <row r="1050" spans="1:14" x14ac:dyDescent="0.25">
      <c r="A1050" t="s">
        <v>140</v>
      </c>
      <c r="B1050" t="s">
        <v>141</v>
      </c>
      <c r="C1050" t="s">
        <v>142</v>
      </c>
      <c r="D1050" t="s">
        <v>13</v>
      </c>
      <c r="E1050" t="str">
        <f>"99004"</f>
        <v>99004</v>
      </c>
      <c r="F1050" t="s">
        <v>116</v>
      </c>
      <c r="G1050" t="s">
        <v>143</v>
      </c>
      <c r="I1050" t="s">
        <v>142</v>
      </c>
      <c r="J1050" t="s">
        <v>13</v>
      </c>
      <c r="K1050" t="str">
        <f>"99004"</f>
        <v>99004</v>
      </c>
      <c r="L1050">
        <v>77</v>
      </c>
      <c r="M1050">
        <v>77</v>
      </c>
      <c r="N1050">
        <v>0</v>
      </c>
    </row>
    <row r="1051" spans="1:14" x14ac:dyDescent="0.25">
      <c r="A1051" t="s">
        <v>3621</v>
      </c>
      <c r="B1051" t="s">
        <v>3622</v>
      </c>
      <c r="C1051" t="s">
        <v>142</v>
      </c>
      <c r="D1051" t="s">
        <v>13</v>
      </c>
      <c r="E1051" t="str">
        <f>"99004"</f>
        <v>99004</v>
      </c>
      <c r="F1051" t="s">
        <v>116</v>
      </c>
      <c r="G1051" t="s">
        <v>3622</v>
      </c>
      <c r="I1051" t="s">
        <v>142</v>
      </c>
      <c r="J1051" t="s">
        <v>13</v>
      </c>
      <c r="K1051" t="str">
        <f>"99004"</f>
        <v>99004</v>
      </c>
      <c r="L1051">
        <v>19</v>
      </c>
      <c r="M1051">
        <v>19</v>
      </c>
      <c r="N1051">
        <v>0</v>
      </c>
    </row>
    <row r="1052" spans="1:14" x14ac:dyDescent="0.25">
      <c r="A1052" t="s">
        <v>2862</v>
      </c>
      <c r="B1052" t="s">
        <v>2863</v>
      </c>
      <c r="C1052" t="s">
        <v>342</v>
      </c>
      <c r="D1052" t="s">
        <v>13</v>
      </c>
      <c r="E1052" t="str">
        <f>"99037"</f>
        <v>99037</v>
      </c>
      <c r="F1052" t="s">
        <v>116</v>
      </c>
      <c r="G1052" t="s">
        <v>1369</v>
      </c>
      <c r="I1052" t="s">
        <v>342</v>
      </c>
      <c r="J1052" t="s">
        <v>13</v>
      </c>
      <c r="K1052" t="str">
        <f>"99037"</f>
        <v>99037</v>
      </c>
      <c r="L1052">
        <v>50</v>
      </c>
      <c r="M1052">
        <v>49</v>
      </c>
      <c r="N1052">
        <v>1</v>
      </c>
    </row>
    <row r="1053" spans="1:14" x14ac:dyDescent="0.25">
      <c r="A1053" t="s">
        <v>403</v>
      </c>
      <c r="B1053" t="s">
        <v>404</v>
      </c>
      <c r="C1053" t="s">
        <v>405</v>
      </c>
      <c r="D1053" t="s">
        <v>13</v>
      </c>
      <c r="E1053" t="str">
        <f>"99006"</f>
        <v>99006</v>
      </c>
      <c r="F1053" t="s">
        <v>116</v>
      </c>
      <c r="G1053" t="s">
        <v>406</v>
      </c>
      <c r="I1053" t="s">
        <v>405</v>
      </c>
      <c r="J1053" t="s">
        <v>13</v>
      </c>
      <c r="K1053" t="str">
        <f>"99006"</f>
        <v>99006</v>
      </c>
      <c r="L1053">
        <v>16</v>
      </c>
      <c r="M1053">
        <v>16</v>
      </c>
      <c r="N1053">
        <v>0</v>
      </c>
    </row>
    <row r="1054" spans="1:14" x14ac:dyDescent="0.25">
      <c r="A1054" t="s">
        <v>4077</v>
      </c>
      <c r="B1054" t="s">
        <v>4078</v>
      </c>
      <c r="C1054" t="s">
        <v>754</v>
      </c>
      <c r="D1054" t="s">
        <v>13</v>
      </c>
      <c r="E1054" t="str">
        <f>"99027"</f>
        <v>99027</v>
      </c>
      <c r="F1054" t="s">
        <v>116</v>
      </c>
      <c r="G1054" t="s">
        <v>1886</v>
      </c>
      <c r="I1054" t="s">
        <v>1887</v>
      </c>
      <c r="J1054" t="s">
        <v>433</v>
      </c>
      <c r="K1054" t="str">
        <f>"94024"</f>
        <v>94024</v>
      </c>
      <c r="L1054">
        <v>0</v>
      </c>
      <c r="M1054">
        <v>66</v>
      </c>
      <c r="N1054">
        <v>0</v>
      </c>
    </row>
    <row r="1055" spans="1:14" x14ac:dyDescent="0.25">
      <c r="A1055" t="s">
        <v>752</v>
      </c>
      <c r="B1055" t="s">
        <v>753</v>
      </c>
      <c r="C1055" t="s">
        <v>754</v>
      </c>
      <c r="D1055" t="s">
        <v>13</v>
      </c>
      <c r="E1055" t="str">
        <f>"99027"</f>
        <v>99027</v>
      </c>
      <c r="F1055" t="s">
        <v>116</v>
      </c>
      <c r="G1055" t="s">
        <v>755</v>
      </c>
      <c r="I1055" t="s">
        <v>342</v>
      </c>
      <c r="J1055" t="s">
        <v>13</v>
      </c>
      <c r="K1055" t="str">
        <f>"99037"</f>
        <v>99037</v>
      </c>
      <c r="L1055">
        <v>68</v>
      </c>
      <c r="M1055">
        <v>55</v>
      </c>
      <c r="N1055">
        <v>13</v>
      </c>
    </row>
    <row r="1056" spans="1:14" x14ac:dyDescent="0.25">
      <c r="A1056" t="s">
        <v>179</v>
      </c>
      <c r="B1056" t="s">
        <v>180</v>
      </c>
      <c r="C1056" t="s">
        <v>181</v>
      </c>
      <c r="D1056" t="s">
        <v>13</v>
      </c>
      <c r="E1056" t="str">
        <f>"99206"</f>
        <v>99206</v>
      </c>
      <c r="F1056" t="s">
        <v>116</v>
      </c>
      <c r="G1056" t="s">
        <v>178</v>
      </c>
      <c r="I1056" t="s">
        <v>116</v>
      </c>
      <c r="J1056" t="s">
        <v>13</v>
      </c>
      <c r="K1056" t="str">
        <f>"99214"</f>
        <v>99214</v>
      </c>
      <c r="L1056">
        <v>5</v>
      </c>
      <c r="M1056">
        <v>5</v>
      </c>
      <c r="N1056">
        <v>0</v>
      </c>
    </row>
    <row r="1057" spans="1:14" x14ac:dyDescent="0.25">
      <c r="A1057" t="s">
        <v>1067</v>
      </c>
      <c r="B1057" t="s">
        <v>1068</v>
      </c>
      <c r="C1057" t="s">
        <v>142</v>
      </c>
      <c r="D1057" t="s">
        <v>13</v>
      </c>
      <c r="E1057" t="str">
        <f>"99004"</f>
        <v>99004</v>
      </c>
      <c r="F1057" t="s">
        <v>116</v>
      </c>
      <c r="G1057" t="s">
        <v>1068</v>
      </c>
      <c r="I1057" t="s">
        <v>142</v>
      </c>
      <c r="J1057" t="s">
        <v>13</v>
      </c>
      <c r="K1057" t="str">
        <f>"99004"</f>
        <v>99004</v>
      </c>
      <c r="L1057">
        <v>8</v>
      </c>
      <c r="M1057">
        <v>8</v>
      </c>
      <c r="N1057">
        <v>0</v>
      </c>
    </row>
    <row r="1058" spans="1:14" x14ac:dyDescent="0.25">
      <c r="A1058" t="s">
        <v>1139</v>
      </c>
      <c r="B1058" t="s">
        <v>1140</v>
      </c>
      <c r="C1058" t="s">
        <v>116</v>
      </c>
      <c r="D1058" t="s">
        <v>13</v>
      </c>
      <c r="E1058" t="str">
        <f>"99224"</f>
        <v>99224</v>
      </c>
      <c r="F1058" t="s">
        <v>116</v>
      </c>
      <c r="G1058" t="s">
        <v>1141</v>
      </c>
      <c r="I1058" t="s">
        <v>1142</v>
      </c>
      <c r="J1058" t="s">
        <v>1143</v>
      </c>
      <c r="K1058" t="str">
        <f>"48334"</f>
        <v>48334</v>
      </c>
      <c r="L1058">
        <v>283</v>
      </c>
      <c r="M1058">
        <v>281</v>
      </c>
      <c r="N1058">
        <v>2</v>
      </c>
    </row>
    <row r="1059" spans="1:14" x14ac:dyDescent="0.25">
      <c r="A1059" t="s">
        <v>3541</v>
      </c>
      <c r="B1059" t="s">
        <v>3542</v>
      </c>
      <c r="C1059" t="s">
        <v>342</v>
      </c>
      <c r="D1059" t="s">
        <v>13</v>
      </c>
      <c r="E1059" t="str">
        <f>"99212"</f>
        <v>99212</v>
      </c>
      <c r="F1059" t="s">
        <v>116</v>
      </c>
      <c r="G1059" t="s">
        <v>2354</v>
      </c>
      <c r="I1059" t="s">
        <v>116</v>
      </c>
      <c r="J1059" t="s">
        <v>13</v>
      </c>
      <c r="K1059" t="str">
        <f>"99202"</f>
        <v>99202</v>
      </c>
      <c r="L1059">
        <v>38</v>
      </c>
      <c r="M1059">
        <v>36</v>
      </c>
      <c r="N1059">
        <v>2</v>
      </c>
    </row>
    <row r="1060" spans="1:14" x14ac:dyDescent="0.25">
      <c r="A1060" t="s">
        <v>3927</v>
      </c>
      <c r="B1060" t="s">
        <v>3928</v>
      </c>
      <c r="C1060" t="s">
        <v>2158</v>
      </c>
      <c r="D1060" t="s">
        <v>13</v>
      </c>
      <c r="E1060" t="str">
        <f>"99003"</f>
        <v>99003</v>
      </c>
      <c r="F1060" t="s">
        <v>116</v>
      </c>
      <c r="G1060" t="s">
        <v>3929</v>
      </c>
      <c r="I1060" t="s">
        <v>405</v>
      </c>
      <c r="J1060" t="s">
        <v>13</v>
      </c>
      <c r="K1060" t="str">
        <f>"99006"</f>
        <v>99006</v>
      </c>
      <c r="L1060">
        <v>17</v>
      </c>
      <c r="M1060">
        <v>8</v>
      </c>
      <c r="N1060">
        <v>9</v>
      </c>
    </row>
    <row r="1061" spans="1:14" x14ac:dyDescent="0.25">
      <c r="A1061" t="s">
        <v>3513</v>
      </c>
      <c r="B1061" t="s">
        <v>3514</v>
      </c>
      <c r="C1061" t="s">
        <v>2158</v>
      </c>
      <c r="D1061" t="s">
        <v>13</v>
      </c>
      <c r="E1061" t="str">
        <f>"99003"</f>
        <v>99003</v>
      </c>
      <c r="F1061" t="s">
        <v>116</v>
      </c>
      <c r="G1061" t="s">
        <v>3282</v>
      </c>
      <c r="I1061" t="s">
        <v>3283</v>
      </c>
      <c r="J1061" t="s">
        <v>13</v>
      </c>
      <c r="K1061" t="str">
        <f>"98383"</f>
        <v>98383</v>
      </c>
      <c r="L1061">
        <v>133</v>
      </c>
      <c r="M1061">
        <v>125</v>
      </c>
      <c r="N1061">
        <v>8</v>
      </c>
    </row>
    <row r="1062" spans="1:14" x14ac:dyDescent="0.25">
      <c r="A1062" t="s">
        <v>3783</v>
      </c>
      <c r="B1062" t="s">
        <v>3784</v>
      </c>
      <c r="C1062" t="s">
        <v>342</v>
      </c>
      <c r="D1062" t="s">
        <v>13</v>
      </c>
      <c r="E1062" t="str">
        <f>"99212"</f>
        <v>99212</v>
      </c>
      <c r="F1062" t="s">
        <v>116</v>
      </c>
      <c r="G1062" t="s">
        <v>3785</v>
      </c>
      <c r="I1062" t="s">
        <v>1269</v>
      </c>
      <c r="J1062" t="s">
        <v>1270</v>
      </c>
      <c r="K1062" t="str">
        <f>"83814"</f>
        <v>83814</v>
      </c>
      <c r="L1062">
        <v>61</v>
      </c>
      <c r="M1062">
        <v>58</v>
      </c>
      <c r="N1062">
        <v>3</v>
      </c>
    </row>
    <row r="1063" spans="1:14" x14ac:dyDescent="0.25">
      <c r="A1063" t="s">
        <v>4042</v>
      </c>
      <c r="B1063" t="s">
        <v>4043</v>
      </c>
      <c r="C1063" t="s">
        <v>116</v>
      </c>
      <c r="D1063" t="s">
        <v>13</v>
      </c>
      <c r="E1063" t="str">
        <f>"99208"</f>
        <v>99208</v>
      </c>
      <c r="F1063" t="s">
        <v>116</v>
      </c>
      <c r="G1063" t="s">
        <v>4043</v>
      </c>
      <c r="I1063" t="s">
        <v>116</v>
      </c>
      <c r="J1063" t="s">
        <v>13</v>
      </c>
      <c r="K1063" t="str">
        <f>"99208"</f>
        <v>99208</v>
      </c>
      <c r="L1063">
        <v>219</v>
      </c>
      <c r="M1063">
        <v>217</v>
      </c>
      <c r="N1063">
        <v>2</v>
      </c>
    </row>
    <row r="1064" spans="1:14" x14ac:dyDescent="0.25">
      <c r="A1064" t="s">
        <v>3449</v>
      </c>
      <c r="B1064" t="s">
        <v>3450</v>
      </c>
      <c r="C1064" t="s">
        <v>342</v>
      </c>
      <c r="D1064" t="s">
        <v>13</v>
      </c>
      <c r="E1064" t="str">
        <f>"99212"</f>
        <v>99212</v>
      </c>
      <c r="F1064" t="s">
        <v>116</v>
      </c>
      <c r="G1064" t="s">
        <v>3451</v>
      </c>
      <c r="I1064" t="s">
        <v>3452</v>
      </c>
      <c r="J1064" t="s">
        <v>3228</v>
      </c>
      <c r="K1064" t="str">
        <f>"80301"</f>
        <v>80301</v>
      </c>
      <c r="L1064">
        <v>6</v>
      </c>
      <c r="M1064">
        <v>6</v>
      </c>
      <c r="N1064">
        <v>0</v>
      </c>
    </row>
    <row r="1065" spans="1:14" x14ac:dyDescent="0.25">
      <c r="A1065" t="s">
        <v>3567</v>
      </c>
      <c r="B1065" t="s">
        <v>3554</v>
      </c>
      <c r="C1065" t="s">
        <v>342</v>
      </c>
      <c r="D1065" t="s">
        <v>13</v>
      </c>
      <c r="E1065" t="str">
        <f>"99216"</f>
        <v>99216</v>
      </c>
      <c r="F1065" t="s">
        <v>116</v>
      </c>
      <c r="G1065" t="s">
        <v>3555</v>
      </c>
      <c r="I1065" t="s">
        <v>342</v>
      </c>
      <c r="J1065" t="s">
        <v>13</v>
      </c>
      <c r="K1065" t="str">
        <f>"99213"</f>
        <v>99213</v>
      </c>
      <c r="L1065">
        <v>21</v>
      </c>
      <c r="M1065">
        <v>18</v>
      </c>
      <c r="N1065">
        <v>3</v>
      </c>
    </row>
    <row r="1066" spans="1:14" x14ac:dyDescent="0.25">
      <c r="A1066" t="s">
        <v>809</v>
      </c>
      <c r="B1066" t="s">
        <v>810</v>
      </c>
      <c r="C1066" t="s">
        <v>405</v>
      </c>
      <c r="D1066" t="s">
        <v>13</v>
      </c>
      <c r="E1066" t="str">
        <f>"99006"</f>
        <v>99006</v>
      </c>
      <c r="F1066" t="s">
        <v>116</v>
      </c>
      <c r="G1066" t="s">
        <v>808</v>
      </c>
      <c r="I1066" t="s">
        <v>116</v>
      </c>
      <c r="J1066" t="s">
        <v>13</v>
      </c>
      <c r="K1066" t="str">
        <f>"99203"</f>
        <v>99203</v>
      </c>
      <c r="L1066">
        <v>17</v>
      </c>
      <c r="M1066">
        <v>16</v>
      </c>
      <c r="N1066">
        <v>1</v>
      </c>
    </row>
    <row r="1067" spans="1:14" x14ac:dyDescent="0.25">
      <c r="A1067" t="s">
        <v>3812</v>
      </c>
      <c r="B1067" t="s">
        <v>3813</v>
      </c>
      <c r="C1067" t="s">
        <v>116</v>
      </c>
      <c r="D1067" t="s">
        <v>13</v>
      </c>
      <c r="E1067" t="str">
        <f>"99217"</f>
        <v>99217</v>
      </c>
      <c r="F1067" t="s">
        <v>116</v>
      </c>
      <c r="G1067" t="s">
        <v>3814</v>
      </c>
      <c r="I1067" t="s">
        <v>3815</v>
      </c>
      <c r="J1067" t="s">
        <v>821</v>
      </c>
      <c r="K1067" t="str">
        <f>"97701"</f>
        <v>97701</v>
      </c>
      <c r="L1067">
        <v>74</v>
      </c>
      <c r="M1067">
        <v>22</v>
      </c>
      <c r="N1067">
        <v>52</v>
      </c>
    </row>
    <row r="1068" spans="1:14" x14ac:dyDescent="0.25">
      <c r="A1068" t="s">
        <v>806</v>
      </c>
      <c r="B1068" t="s">
        <v>807</v>
      </c>
      <c r="C1068" t="s">
        <v>342</v>
      </c>
      <c r="D1068" t="s">
        <v>13</v>
      </c>
      <c r="E1068" t="str">
        <f>"99212"</f>
        <v>99212</v>
      </c>
      <c r="F1068" t="s">
        <v>116</v>
      </c>
      <c r="G1068" t="s">
        <v>808</v>
      </c>
      <c r="I1068" t="s">
        <v>116</v>
      </c>
      <c r="J1068" t="s">
        <v>13</v>
      </c>
      <c r="K1068" t="str">
        <f>"99203"</f>
        <v>99203</v>
      </c>
      <c r="L1068">
        <v>7</v>
      </c>
      <c r="M1068">
        <v>6</v>
      </c>
      <c r="N1068">
        <v>1</v>
      </c>
    </row>
    <row r="1069" spans="1:14" x14ac:dyDescent="0.25">
      <c r="A1069" t="s">
        <v>2428</v>
      </c>
      <c r="B1069" t="s">
        <v>2429</v>
      </c>
      <c r="C1069" t="s">
        <v>1489</v>
      </c>
      <c r="D1069" t="s">
        <v>13</v>
      </c>
      <c r="E1069" t="str">
        <f>"99009"</f>
        <v>99009</v>
      </c>
      <c r="F1069" t="s">
        <v>116</v>
      </c>
      <c r="G1069" t="s">
        <v>2430</v>
      </c>
      <c r="I1069" t="s">
        <v>2431</v>
      </c>
      <c r="J1069" t="s">
        <v>433</v>
      </c>
      <c r="K1069" t="str">
        <f>"94596"</f>
        <v>94596</v>
      </c>
      <c r="L1069">
        <v>55</v>
      </c>
      <c r="M1069">
        <v>24</v>
      </c>
      <c r="N1069">
        <v>31</v>
      </c>
    </row>
    <row r="1070" spans="1:14" x14ac:dyDescent="0.25">
      <c r="A1070" t="s">
        <v>3333</v>
      </c>
      <c r="B1070" t="s">
        <v>3334</v>
      </c>
      <c r="C1070" t="s">
        <v>116</v>
      </c>
      <c r="D1070" t="s">
        <v>13</v>
      </c>
      <c r="E1070" t="str">
        <f>"99217"</f>
        <v>99217</v>
      </c>
      <c r="F1070" t="s">
        <v>116</v>
      </c>
      <c r="G1070" t="s">
        <v>3335</v>
      </c>
      <c r="I1070" t="s">
        <v>342</v>
      </c>
      <c r="J1070" t="s">
        <v>13</v>
      </c>
      <c r="K1070" t="str">
        <f>"99212"</f>
        <v>99212</v>
      </c>
      <c r="L1070">
        <v>6</v>
      </c>
      <c r="M1070">
        <v>6</v>
      </c>
      <c r="N1070">
        <v>0</v>
      </c>
    </row>
    <row r="1071" spans="1:14" x14ac:dyDescent="0.25">
      <c r="A1071" t="s">
        <v>1285</v>
      </c>
      <c r="B1071" t="s">
        <v>3229</v>
      </c>
      <c r="C1071" t="s">
        <v>1113</v>
      </c>
      <c r="D1071" t="s">
        <v>13</v>
      </c>
      <c r="E1071" t="str">
        <f>"99021"</f>
        <v>99021</v>
      </c>
      <c r="F1071" t="s">
        <v>116</v>
      </c>
      <c r="G1071" t="s">
        <v>3230</v>
      </c>
      <c r="I1071" t="s">
        <v>612</v>
      </c>
      <c r="J1071" t="s">
        <v>433</v>
      </c>
      <c r="K1071" t="str">
        <f>"95037"</f>
        <v>95037</v>
      </c>
      <c r="L1071">
        <v>49</v>
      </c>
      <c r="M1071">
        <v>49</v>
      </c>
      <c r="N1071">
        <v>0</v>
      </c>
    </row>
    <row r="1072" spans="1:14" x14ac:dyDescent="0.25">
      <c r="A1072" t="s">
        <v>3664</v>
      </c>
      <c r="B1072" t="s">
        <v>3665</v>
      </c>
      <c r="C1072" t="s">
        <v>116</v>
      </c>
      <c r="D1072" t="s">
        <v>13</v>
      </c>
      <c r="E1072" t="str">
        <f>"99224"</f>
        <v>99224</v>
      </c>
      <c r="F1072" t="s">
        <v>116</v>
      </c>
      <c r="G1072" t="s">
        <v>3666</v>
      </c>
      <c r="I1072" t="s">
        <v>116</v>
      </c>
      <c r="J1072" t="s">
        <v>13</v>
      </c>
      <c r="K1072" t="str">
        <f>"99219"</f>
        <v>99219</v>
      </c>
      <c r="L1072">
        <v>25</v>
      </c>
      <c r="M1072">
        <v>17</v>
      </c>
      <c r="N1072">
        <v>8</v>
      </c>
    </row>
    <row r="1073" spans="1:14" x14ac:dyDescent="0.25">
      <c r="A1073" t="s">
        <v>3913</v>
      </c>
      <c r="B1073" t="s">
        <v>3914</v>
      </c>
      <c r="C1073" t="s">
        <v>116</v>
      </c>
      <c r="D1073" t="s">
        <v>13</v>
      </c>
      <c r="E1073" t="str">
        <f>"99224"</f>
        <v>99224</v>
      </c>
      <c r="F1073" t="s">
        <v>116</v>
      </c>
      <c r="G1073" t="s">
        <v>3915</v>
      </c>
      <c r="I1073" t="s">
        <v>1113</v>
      </c>
      <c r="J1073" t="s">
        <v>13</v>
      </c>
      <c r="K1073" t="str">
        <f>"99021"</f>
        <v>99021</v>
      </c>
      <c r="L1073">
        <v>15</v>
      </c>
      <c r="M1073">
        <v>7</v>
      </c>
      <c r="N1073">
        <v>8</v>
      </c>
    </row>
    <row r="1074" spans="1:14" x14ac:dyDescent="0.25">
      <c r="A1074" t="s">
        <v>4079</v>
      </c>
      <c r="B1074" t="s">
        <v>659</v>
      </c>
      <c r="C1074" t="s">
        <v>660</v>
      </c>
      <c r="D1074" t="s">
        <v>13</v>
      </c>
      <c r="E1074" t="str">
        <f>"99022"</f>
        <v>99022</v>
      </c>
      <c r="F1074" t="s">
        <v>116</v>
      </c>
      <c r="G1074" t="s">
        <v>1853</v>
      </c>
      <c r="I1074" t="s">
        <v>1646</v>
      </c>
      <c r="J1074" t="s">
        <v>13</v>
      </c>
      <c r="K1074" t="str">
        <f>"98936"</f>
        <v>98936</v>
      </c>
      <c r="L1074">
        <v>52</v>
      </c>
      <c r="M1074">
        <v>52</v>
      </c>
      <c r="N1074">
        <v>0</v>
      </c>
    </row>
    <row r="1075" spans="1:14" x14ac:dyDescent="0.25">
      <c r="A1075" t="s">
        <v>658</v>
      </c>
      <c r="B1075" t="s">
        <v>659</v>
      </c>
      <c r="C1075" t="s">
        <v>660</v>
      </c>
      <c r="D1075" t="s">
        <v>13</v>
      </c>
      <c r="E1075" t="str">
        <f>"99022"</f>
        <v>99022</v>
      </c>
      <c r="F1075" t="s">
        <v>116</v>
      </c>
      <c r="G1075" t="s">
        <v>661</v>
      </c>
      <c r="I1075" t="s">
        <v>662</v>
      </c>
      <c r="J1075" t="s">
        <v>13</v>
      </c>
      <c r="K1075" t="str">
        <f>"99029"</f>
        <v>99029</v>
      </c>
      <c r="L1075">
        <v>8</v>
      </c>
      <c r="M1075">
        <v>6</v>
      </c>
      <c r="N1075">
        <v>2</v>
      </c>
    </row>
    <row r="1076" spans="1:14" x14ac:dyDescent="0.25">
      <c r="A1076" t="s">
        <v>2384</v>
      </c>
      <c r="B1076" t="s">
        <v>2385</v>
      </c>
      <c r="C1076" t="s">
        <v>660</v>
      </c>
      <c r="D1076" t="s">
        <v>13</v>
      </c>
      <c r="E1076" t="str">
        <f>"99022"</f>
        <v>99022</v>
      </c>
      <c r="F1076" t="s">
        <v>116</v>
      </c>
      <c r="G1076" t="s">
        <v>2354</v>
      </c>
      <c r="I1076" t="s">
        <v>116</v>
      </c>
      <c r="J1076" t="s">
        <v>13</v>
      </c>
      <c r="K1076" t="str">
        <f>"99202"</f>
        <v>99202</v>
      </c>
      <c r="L1076">
        <v>3</v>
      </c>
      <c r="M1076">
        <v>3</v>
      </c>
      <c r="N1076">
        <v>0</v>
      </c>
    </row>
    <row r="1077" spans="1:14" x14ac:dyDescent="0.25">
      <c r="A1077" t="s">
        <v>2962</v>
      </c>
      <c r="B1077" t="s">
        <v>2963</v>
      </c>
      <c r="C1077" t="s">
        <v>116</v>
      </c>
      <c r="D1077" t="s">
        <v>13</v>
      </c>
      <c r="E1077" t="str">
        <f>"99224"</f>
        <v>99224</v>
      </c>
      <c r="F1077" t="s">
        <v>116</v>
      </c>
      <c r="G1077" t="s">
        <v>2963</v>
      </c>
      <c r="I1077" t="s">
        <v>116</v>
      </c>
      <c r="J1077" t="s">
        <v>13</v>
      </c>
      <c r="K1077" t="str">
        <f>"99224"</f>
        <v>99224</v>
      </c>
      <c r="L1077">
        <v>26</v>
      </c>
      <c r="M1077">
        <v>19</v>
      </c>
      <c r="N1077">
        <v>7</v>
      </c>
    </row>
    <row r="1078" spans="1:14" x14ac:dyDescent="0.25">
      <c r="A1078" t="s">
        <v>1729</v>
      </c>
      <c r="B1078" t="s">
        <v>1730</v>
      </c>
      <c r="C1078" t="s">
        <v>342</v>
      </c>
      <c r="D1078" t="s">
        <v>13</v>
      </c>
      <c r="E1078" t="str">
        <f>"99016"</f>
        <v>99016</v>
      </c>
      <c r="F1078" t="s">
        <v>116</v>
      </c>
      <c r="G1078" t="s">
        <v>1731</v>
      </c>
      <c r="I1078" t="s">
        <v>142</v>
      </c>
      <c r="J1078" t="s">
        <v>13</v>
      </c>
      <c r="K1078" t="str">
        <f>"99004"</f>
        <v>99004</v>
      </c>
      <c r="L1078">
        <v>23</v>
      </c>
      <c r="M1078">
        <v>18</v>
      </c>
      <c r="N1078">
        <v>5</v>
      </c>
    </row>
    <row r="1079" spans="1:14" x14ac:dyDescent="0.25">
      <c r="A1079" t="s">
        <v>4003</v>
      </c>
      <c r="B1079" t="s">
        <v>4004</v>
      </c>
      <c r="C1079" t="s">
        <v>142</v>
      </c>
      <c r="D1079" t="s">
        <v>13</v>
      </c>
      <c r="E1079" t="str">
        <f>"99004"</f>
        <v>99004</v>
      </c>
      <c r="F1079" t="s">
        <v>116</v>
      </c>
      <c r="G1079" t="s">
        <v>4004</v>
      </c>
      <c r="I1079" t="s">
        <v>142</v>
      </c>
      <c r="J1079" t="s">
        <v>13</v>
      </c>
      <c r="K1079" t="str">
        <f>"99004"</f>
        <v>99004</v>
      </c>
      <c r="L1079">
        <v>72</v>
      </c>
      <c r="M1079">
        <v>55</v>
      </c>
      <c r="N1079">
        <v>17</v>
      </c>
    </row>
    <row r="1080" spans="1:14" x14ac:dyDescent="0.25">
      <c r="A1080" t="s">
        <v>4068</v>
      </c>
      <c r="B1080" t="s">
        <v>4069</v>
      </c>
      <c r="C1080" t="s">
        <v>116</v>
      </c>
      <c r="D1080" t="s">
        <v>13</v>
      </c>
      <c r="E1080" t="str">
        <f>"99224"</f>
        <v>99224</v>
      </c>
      <c r="F1080" t="s">
        <v>116</v>
      </c>
      <c r="G1080" t="s">
        <v>1853</v>
      </c>
      <c r="I1080" t="s">
        <v>1646</v>
      </c>
      <c r="J1080" t="s">
        <v>13</v>
      </c>
      <c r="K1080" t="str">
        <f>"98936"</f>
        <v>98936</v>
      </c>
      <c r="L1080">
        <v>63</v>
      </c>
      <c r="M1080">
        <v>48</v>
      </c>
      <c r="N1080">
        <v>15</v>
      </c>
    </row>
    <row r="1081" spans="1:14" x14ac:dyDescent="0.25">
      <c r="A1081" t="s">
        <v>1351</v>
      </c>
      <c r="B1081" t="s">
        <v>1352</v>
      </c>
      <c r="C1081" t="s">
        <v>116</v>
      </c>
      <c r="D1081" t="s">
        <v>13</v>
      </c>
      <c r="E1081" t="str">
        <f>"99224"</f>
        <v>99224</v>
      </c>
      <c r="F1081" t="s">
        <v>116</v>
      </c>
      <c r="G1081" t="s">
        <v>1353</v>
      </c>
      <c r="I1081" t="s">
        <v>1354</v>
      </c>
      <c r="J1081" t="s">
        <v>13</v>
      </c>
      <c r="K1081" t="str">
        <f>"99026"</f>
        <v>99026</v>
      </c>
      <c r="L1081">
        <v>36</v>
      </c>
      <c r="M1081">
        <v>29</v>
      </c>
      <c r="N1081">
        <v>7</v>
      </c>
    </row>
    <row r="1082" spans="1:14" x14ac:dyDescent="0.25">
      <c r="A1082" t="s">
        <v>1438</v>
      </c>
      <c r="B1082" t="s">
        <v>1439</v>
      </c>
      <c r="C1082" t="s">
        <v>342</v>
      </c>
      <c r="D1082" t="s">
        <v>13</v>
      </c>
      <c r="E1082" t="str">
        <f>"99212"</f>
        <v>99212</v>
      </c>
      <c r="F1082" t="s">
        <v>116</v>
      </c>
      <c r="G1082" t="s">
        <v>1440</v>
      </c>
      <c r="H1082" t="s">
        <v>1441</v>
      </c>
      <c r="I1082" t="s">
        <v>342</v>
      </c>
      <c r="J1082" t="s">
        <v>13</v>
      </c>
      <c r="K1082" t="str">
        <f>"99212"</f>
        <v>99212</v>
      </c>
      <c r="L1082">
        <v>6</v>
      </c>
      <c r="M1082">
        <v>6</v>
      </c>
      <c r="N1082">
        <v>0</v>
      </c>
    </row>
    <row r="1083" spans="1:14" x14ac:dyDescent="0.25">
      <c r="A1083" t="s">
        <v>828</v>
      </c>
      <c r="B1083" t="s">
        <v>829</v>
      </c>
      <c r="C1083" t="s">
        <v>116</v>
      </c>
      <c r="D1083" t="s">
        <v>13</v>
      </c>
      <c r="E1083" t="str">
        <f>"99217"</f>
        <v>99217</v>
      </c>
      <c r="F1083" t="s">
        <v>116</v>
      </c>
      <c r="G1083" t="s">
        <v>830</v>
      </c>
      <c r="I1083" t="s">
        <v>116</v>
      </c>
      <c r="J1083" t="s">
        <v>13</v>
      </c>
      <c r="K1083" t="str">
        <f>"99217"</f>
        <v>99217</v>
      </c>
      <c r="L1083">
        <v>6</v>
      </c>
      <c r="M1083">
        <v>6</v>
      </c>
      <c r="N1083">
        <v>0</v>
      </c>
    </row>
    <row r="1084" spans="1:14" x14ac:dyDescent="0.25">
      <c r="A1084" t="s">
        <v>3677</v>
      </c>
      <c r="B1084" t="s">
        <v>3678</v>
      </c>
      <c r="C1084" t="s">
        <v>116</v>
      </c>
      <c r="D1084" t="s">
        <v>13</v>
      </c>
      <c r="E1084" t="str">
        <f>"99224"</f>
        <v>99224</v>
      </c>
      <c r="F1084" t="s">
        <v>116</v>
      </c>
      <c r="G1084" t="s">
        <v>3676</v>
      </c>
      <c r="I1084" t="s">
        <v>132</v>
      </c>
      <c r="J1084" t="s">
        <v>13</v>
      </c>
      <c r="K1084" t="str">
        <f>"98382"</f>
        <v>98382</v>
      </c>
      <c r="L1084">
        <v>44</v>
      </c>
      <c r="M1084">
        <v>44</v>
      </c>
      <c r="N1084">
        <v>0</v>
      </c>
    </row>
    <row r="1085" spans="1:14" x14ac:dyDescent="0.25">
      <c r="A1085" t="s">
        <v>340</v>
      </c>
      <c r="B1085" t="s">
        <v>341</v>
      </c>
      <c r="C1085" t="s">
        <v>342</v>
      </c>
      <c r="D1085" t="s">
        <v>13</v>
      </c>
      <c r="E1085" t="str">
        <f>"99216"</f>
        <v>99216</v>
      </c>
      <c r="F1085" t="s">
        <v>116</v>
      </c>
      <c r="G1085" t="s">
        <v>343</v>
      </c>
      <c r="I1085" t="s">
        <v>116</v>
      </c>
      <c r="J1085" t="s">
        <v>13</v>
      </c>
      <c r="K1085" t="str">
        <f>"99208"</f>
        <v>99208</v>
      </c>
      <c r="L1085">
        <v>14</v>
      </c>
      <c r="M1085">
        <v>14</v>
      </c>
      <c r="N1085">
        <v>0</v>
      </c>
    </row>
    <row r="1086" spans="1:14" x14ac:dyDescent="0.25">
      <c r="A1086" t="s">
        <v>1959</v>
      </c>
      <c r="B1086" t="s">
        <v>1960</v>
      </c>
      <c r="C1086" t="s">
        <v>1489</v>
      </c>
      <c r="D1086" t="s">
        <v>13</v>
      </c>
      <c r="E1086" t="str">
        <f>"99009"</f>
        <v>99009</v>
      </c>
      <c r="F1086" t="s">
        <v>116</v>
      </c>
      <c r="G1086" t="s">
        <v>1960</v>
      </c>
      <c r="I1086" t="s">
        <v>1489</v>
      </c>
      <c r="J1086" t="s">
        <v>13</v>
      </c>
      <c r="K1086" t="str">
        <f>"99009"</f>
        <v>99009</v>
      </c>
      <c r="L1086">
        <v>2</v>
      </c>
      <c r="M1086">
        <v>1</v>
      </c>
      <c r="N1086">
        <v>1</v>
      </c>
    </row>
    <row r="1087" spans="1:14" x14ac:dyDescent="0.25">
      <c r="A1087" t="s">
        <v>2924</v>
      </c>
      <c r="B1087" t="s">
        <v>2925</v>
      </c>
      <c r="C1087" t="s">
        <v>2926</v>
      </c>
      <c r="D1087" t="s">
        <v>13</v>
      </c>
      <c r="E1087" t="str">
        <f>"99012"</f>
        <v>99012</v>
      </c>
      <c r="F1087" t="s">
        <v>116</v>
      </c>
      <c r="G1087" t="s">
        <v>2927</v>
      </c>
      <c r="I1087" t="s">
        <v>2926</v>
      </c>
      <c r="J1087" t="s">
        <v>13</v>
      </c>
      <c r="K1087" t="str">
        <f>"99012"</f>
        <v>99012</v>
      </c>
      <c r="L1087">
        <v>11</v>
      </c>
      <c r="M1087">
        <v>8</v>
      </c>
      <c r="N1087">
        <v>3</v>
      </c>
    </row>
    <row r="1088" spans="1:14" x14ac:dyDescent="0.25">
      <c r="A1088" t="s">
        <v>3149</v>
      </c>
      <c r="B1088" t="s">
        <v>3150</v>
      </c>
      <c r="C1088" t="s">
        <v>116</v>
      </c>
      <c r="D1088" t="s">
        <v>13</v>
      </c>
      <c r="E1088" t="str">
        <f>"99217"</f>
        <v>99217</v>
      </c>
      <c r="F1088" t="s">
        <v>116</v>
      </c>
      <c r="G1088" t="s">
        <v>3148</v>
      </c>
      <c r="I1088" t="s">
        <v>116</v>
      </c>
      <c r="J1088" t="s">
        <v>13</v>
      </c>
      <c r="K1088" t="str">
        <f>"99208"</f>
        <v>99208</v>
      </c>
      <c r="L1088">
        <v>4</v>
      </c>
      <c r="M1088">
        <v>4</v>
      </c>
      <c r="N1088">
        <v>0</v>
      </c>
    </row>
    <row r="1089" spans="1:14" x14ac:dyDescent="0.25">
      <c r="A1089" t="s">
        <v>3949</v>
      </c>
      <c r="B1089" t="s">
        <v>3950</v>
      </c>
      <c r="C1089" t="s">
        <v>342</v>
      </c>
      <c r="D1089" t="s">
        <v>13</v>
      </c>
      <c r="E1089" t="str">
        <f>"99212"</f>
        <v>99212</v>
      </c>
      <c r="F1089" t="s">
        <v>116</v>
      </c>
      <c r="G1089" t="s">
        <v>3951</v>
      </c>
      <c r="I1089" t="s">
        <v>116</v>
      </c>
      <c r="J1089" t="s">
        <v>13</v>
      </c>
      <c r="K1089" t="str">
        <f>"99218"</f>
        <v>99218</v>
      </c>
      <c r="L1089">
        <v>34</v>
      </c>
      <c r="M1089">
        <v>34</v>
      </c>
      <c r="N1089">
        <v>0</v>
      </c>
    </row>
    <row r="1090" spans="1:14" x14ac:dyDescent="0.25">
      <c r="A1090" t="s">
        <v>3268</v>
      </c>
      <c r="B1090" t="s">
        <v>3269</v>
      </c>
      <c r="C1090" t="s">
        <v>1113</v>
      </c>
      <c r="D1090" t="s">
        <v>13</v>
      </c>
      <c r="E1090" t="str">
        <f>"99021"</f>
        <v>99021</v>
      </c>
      <c r="F1090" t="s">
        <v>116</v>
      </c>
      <c r="G1090" t="s">
        <v>3269</v>
      </c>
      <c r="I1090" t="s">
        <v>1113</v>
      </c>
      <c r="J1090" t="s">
        <v>13</v>
      </c>
      <c r="K1090" t="str">
        <f>"99021"</f>
        <v>99021</v>
      </c>
      <c r="L1090">
        <v>21</v>
      </c>
      <c r="M1090">
        <v>16</v>
      </c>
      <c r="N1090">
        <v>5</v>
      </c>
    </row>
    <row r="1091" spans="1:14" x14ac:dyDescent="0.25">
      <c r="A1091" t="s">
        <v>2797</v>
      </c>
      <c r="B1091" t="s">
        <v>2798</v>
      </c>
      <c r="C1091" t="s">
        <v>1192</v>
      </c>
      <c r="D1091" t="s">
        <v>13</v>
      </c>
      <c r="E1091" t="str">
        <f>"99001"</f>
        <v>99001</v>
      </c>
      <c r="F1091" t="s">
        <v>116</v>
      </c>
      <c r="G1091" t="s">
        <v>2799</v>
      </c>
      <c r="I1091" t="s">
        <v>46</v>
      </c>
      <c r="J1091" t="s">
        <v>13</v>
      </c>
      <c r="K1091" t="str">
        <f>"98072"</f>
        <v>98072</v>
      </c>
      <c r="L1091">
        <v>89</v>
      </c>
      <c r="M1091">
        <v>85</v>
      </c>
      <c r="N1091">
        <v>4</v>
      </c>
    </row>
    <row r="1092" spans="1:14" x14ac:dyDescent="0.25">
      <c r="A1092" t="s">
        <v>3967</v>
      </c>
      <c r="B1092" t="s">
        <v>3968</v>
      </c>
      <c r="C1092" t="s">
        <v>116</v>
      </c>
      <c r="D1092" t="s">
        <v>13</v>
      </c>
      <c r="E1092" t="str">
        <f>"99224"</f>
        <v>99224</v>
      </c>
      <c r="F1092" t="s">
        <v>116</v>
      </c>
      <c r="G1092" t="s">
        <v>3969</v>
      </c>
      <c r="I1092" t="s">
        <v>3970</v>
      </c>
      <c r="J1092" t="s">
        <v>821</v>
      </c>
      <c r="K1092" t="str">
        <f>"97062"</f>
        <v>97062</v>
      </c>
      <c r="L1092">
        <v>40</v>
      </c>
      <c r="M1092">
        <v>1</v>
      </c>
      <c r="N1092">
        <v>39</v>
      </c>
    </row>
    <row r="1093" spans="1:14" x14ac:dyDescent="0.25">
      <c r="A1093" t="s">
        <v>3711</v>
      </c>
      <c r="B1093" t="s">
        <v>3712</v>
      </c>
      <c r="C1093" t="s">
        <v>342</v>
      </c>
      <c r="D1093" t="s">
        <v>13</v>
      </c>
      <c r="E1093" t="str">
        <f>"99216"</f>
        <v>99216</v>
      </c>
      <c r="F1093" t="s">
        <v>116</v>
      </c>
      <c r="G1093" t="s">
        <v>3713</v>
      </c>
      <c r="I1093" t="s">
        <v>116</v>
      </c>
      <c r="J1093" t="s">
        <v>13</v>
      </c>
      <c r="K1093" t="str">
        <f>"99224"</f>
        <v>99224</v>
      </c>
      <c r="L1093">
        <v>33</v>
      </c>
      <c r="M1093">
        <v>8</v>
      </c>
      <c r="N1093">
        <v>25</v>
      </c>
    </row>
    <row r="1094" spans="1:14" x14ac:dyDescent="0.25">
      <c r="A1094" t="s">
        <v>3553</v>
      </c>
      <c r="B1094" t="s">
        <v>3554</v>
      </c>
      <c r="C1094" t="s">
        <v>342</v>
      </c>
      <c r="D1094" t="s">
        <v>13</v>
      </c>
      <c r="E1094" t="str">
        <f>"99216"</f>
        <v>99216</v>
      </c>
      <c r="F1094" t="s">
        <v>116</v>
      </c>
      <c r="G1094" t="s">
        <v>3555</v>
      </c>
      <c r="I1094" t="s">
        <v>342</v>
      </c>
      <c r="J1094" t="s">
        <v>13</v>
      </c>
      <c r="K1094" t="str">
        <f>"99213"</f>
        <v>99213</v>
      </c>
      <c r="L1094">
        <v>32</v>
      </c>
      <c r="M1094">
        <v>32</v>
      </c>
      <c r="N1094">
        <v>0</v>
      </c>
    </row>
    <row r="1095" spans="1:14" x14ac:dyDescent="0.25">
      <c r="A1095" t="s">
        <v>2895</v>
      </c>
      <c r="B1095" t="s">
        <v>2896</v>
      </c>
      <c r="C1095" t="s">
        <v>1113</v>
      </c>
      <c r="D1095" t="s">
        <v>13</v>
      </c>
      <c r="E1095" t="str">
        <f>"99021"</f>
        <v>99021</v>
      </c>
      <c r="F1095" t="s">
        <v>116</v>
      </c>
      <c r="G1095" t="s">
        <v>2897</v>
      </c>
      <c r="I1095" t="s">
        <v>2898</v>
      </c>
      <c r="J1095" t="s">
        <v>2785</v>
      </c>
      <c r="K1095" t="str">
        <f>"89447"</f>
        <v>89447</v>
      </c>
      <c r="L1095">
        <v>49</v>
      </c>
      <c r="M1095">
        <v>49</v>
      </c>
      <c r="N1095">
        <v>0</v>
      </c>
    </row>
    <row r="1096" spans="1:14" x14ac:dyDescent="0.25">
      <c r="A1096" t="s">
        <v>1472</v>
      </c>
      <c r="B1096" t="s">
        <v>1473</v>
      </c>
      <c r="C1096" t="s">
        <v>1113</v>
      </c>
      <c r="D1096" t="s">
        <v>13</v>
      </c>
      <c r="E1096" t="str">
        <f>"99021"</f>
        <v>99021</v>
      </c>
      <c r="F1096" t="s">
        <v>116</v>
      </c>
      <c r="G1096" t="s">
        <v>1474</v>
      </c>
      <c r="I1096" t="s">
        <v>1475</v>
      </c>
      <c r="J1096" t="s">
        <v>433</v>
      </c>
      <c r="K1096" t="str">
        <f>"92648"</f>
        <v>92648</v>
      </c>
      <c r="L1096">
        <v>216</v>
      </c>
      <c r="M1096">
        <v>183</v>
      </c>
      <c r="N1096">
        <v>33</v>
      </c>
    </row>
    <row r="1097" spans="1:14" x14ac:dyDescent="0.25">
      <c r="A1097" t="s">
        <v>1111</v>
      </c>
      <c r="B1097" t="s">
        <v>1112</v>
      </c>
      <c r="C1097" t="s">
        <v>1113</v>
      </c>
      <c r="D1097" t="s">
        <v>13</v>
      </c>
      <c r="E1097" t="str">
        <f>"99021"</f>
        <v>99021</v>
      </c>
      <c r="F1097" t="s">
        <v>116</v>
      </c>
      <c r="G1097" t="s">
        <v>1114</v>
      </c>
      <c r="I1097" t="s">
        <v>116</v>
      </c>
      <c r="J1097" t="s">
        <v>13</v>
      </c>
      <c r="K1097" t="str">
        <f>"99203"</f>
        <v>99203</v>
      </c>
      <c r="L1097">
        <v>34</v>
      </c>
      <c r="M1097">
        <v>1</v>
      </c>
      <c r="N1097">
        <v>33</v>
      </c>
    </row>
    <row r="1098" spans="1:14" x14ac:dyDescent="0.25">
      <c r="A1098" t="s">
        <v>1874</v>
      </c>
      <c r="B1098" t="s">
        <v>1875</v>
      </c>
      <c r="C1098" t="s">
        <v>342</v>
      </c>
      <c r="D1098" t="s">
        <v>13</v>
      </c>
      <c r="E1098" t="str">
        <f>"99037"</f>
        <v>99037</v>
      </c>
      <c r="F1098" t="s">
        <v>116</v>
      </c>
      <c r="G1098" t="s">
        <v>1755</v>
      </c>
      <c r="I1098" t="s">
        <v>342</v>
      </c>
      <c r="J1098" t="s">
        <v>13</v>
      </c>
      <c r="K1098" t="str">
        <f>"99037"</f>
        <v>99037</v>
      </c>
      <c r="L1098">
        <v>32</v>
      </c>
      <c r="M1098">
        <v>32</v>
      </c>
      <c r="N1098">
        <v>0</v>
      </c>
    </row>
    <row r="1099" spans="1:14" x14ac:dyDescent="0.25">
      <c r="A1099" t="s">
        <v>2352</v>
      </c>
      <c r="B1099" t="s">
        <v>2353</v>
      </c>
      <c r="C1099" t="s">
        <v>116</v>
      </c>
      <c r="D1099" t="s">
        <v>13</v>
      </c>
      <c r="E1099" t="str">
        <f>"99217"</f>
        <v>99217</v>
      </c>
      <c r="F1099" t="s">
        <v>116</v>
      </c>
      <c r="G1099" t="s">
        <v>2354</v>
      </c>
      <c r="I1099" t="s">
        <v>116</v>
      </c>
      <c r="J1099" t="s">
        <v>13</v>
      </c>
      <c r="K1099" t="str">
        <f>"99202"</f>
        <v>99202</v>
      </c>
      <c r="L1099">
        <v>38</v>
      </c>
      <c r="M1099">
        <v>38</v>
      </c>
      <c r="N1099">
        <v>0</v>
      </c>
    </row>
    <row r="1100" spans="1:14" x14ac:dyDescent="0.25">
      <c r="A1100" t="s">
        <v>1753</v>
      </c>
      <c r="B1100" t="s">
        <v>1754</v>
      </c>
      <c r="C1100" t="s">
        <v>342</v>
      </c>
      <c r="D1100" t="s">
        <v>13</v>
      </c>
      <c r="E1100" t="str">
        <f>"99016"</f>
        <v>99016</v>
      </c>
      <c r="F1100" t="s">
        <v>116</v>
      </c>
      <c r="G1100" t="s">
        <v>1755</v>
      </c>
      <c r="I1100" t="s">
        <v>342</v>
      </c>
      <c r="J1100" t="s">
        <v>13</v>
      </c>
      <c r="K1100" t="str">
        <f>"99037"</f>
        <v>99037</v>
      </c>
      <c r="L1100">
        <v>78</v>
      </c>
      <c r="M1100">
        <v>67</v>
      </c>
      <c r="N1100">
        <v>11</v>
      </c>
    </row>
    <row r="1101" spans="1:14" x14ac:dyDescent="0.25">
      <c r="A1101" t="s">
        <v>2568</v>
      </c>
      <c r="B1101" t="s">
        <v>2569</v>
      </c>
      <c r="C1101" t="s">
        <v>116</v>
      </c>
      <c r="D1101" t="s">
        <v>13</v>
      </c>
      <c r="E1101" t="str">
        <f>"99217"</f>
        <v>99217</v>
      </c>
      <c r="F1101" t="s">
        <v>116</v>
      </c>
      <c r="G1101" t="s">
        <v>2347</v>
      </c>
      <c r="I1101" t="s">
        <v>37</v>
      </c>
      <c r="J1101" t="s">
        <v>13</v>
      </c>
      <c r="K1101" t="str">
        <f>"98027"</f>
        <v>98027</v>
      </c>
      <c r="L1101">
        <v>45</v>
      </c>
      <c r="M1101">
        <v>45</v>
      </c>
      <c r="N1101">
        <v>0</v>
      </c>
    </row>
    <row r="1102" spans="1:14" x14ac:dyDescent="0.25">
      <c r="A1102" t="s">
        <v>1955</v>
      </c>
      <c r="B1102" t="s">
        <v>1956</v>
      </c>
      <c r="C1102" t="s">
        <v>116</v>
      </c>
      <c r="D1102" t="s">
        <v>13</v>
      </c>
      <c r="E1102" t="str">
        <f>"99224"</f>
        <v>99224</v>
      </c>
      <c r="F1102" t="s">
        <v>116</v>
      </c>
      <c r="G1102" t="s">
        <v>1954</v>
      </c>
      <c r="I1102" t="s">
        <v>1498</v>
      </c>
      <c r="J1102" t="s">
        <v>13</v>
      </c>
      <c r="K1102" t="str">
        <f>"98045"</f>
        <v>98045</v>
      </c>
      <c r="L1102">
        <v>119</v>
      </c>
      <c r="M1102">
        <v>116</v>
      </c>
      <c r="N1102">
        <v>3</v>
      </c>
    </row>
    <row r="1103" spans="1:14" x14ac:dyDescent="0.25">
      <c r="A1103" t="s">
        <v>577</v>
      </c>
      <c r="B1103" t="s">
        <v>578</v>
      </c>
      <c r="C1103" t="s">
        <v>342</v>
      </c>
      <c r="D1103" t="s">
        <v>13</v>
      </c>
      <c r="E1103" t="str">
        <f>"99037"</f>
        <v>99037</v>
      </c>
      <c r="F1103" t="s">
        <v>116</v>
      </c>
      <c r="G1103" t="s">
        <v>579</v>
      </c>
      <c r="I1103" t="s">
        <v>342</v>
      </c>
      <c r="J1103" t="s">
        <v>13</v>
      </c>
      <c r="K1103" t="str">
        <f>"99206"</f>
        <v>99206</v>
      </c>
      <c r="L1103">
        <v>27</v>
      </c>
      <c r="M1103">
        <v>26</v>
      </c>
      <c r="N1103">
        <v>1</v>
      </c>
    </row>
    <row r="1104" spans="1:14" x14ac:dyDescent="0.25">
      <c r="A1104" t="s">
        <v>3938</v>
      </c>
      <c r="B1104" t="s">
        <v>3554</v>
      </c>
      <c r="C1104" t="s">
        <v>342</v>
      </c>
      <c r="D1104" t="s">
        <v>13</v>
      </c>
      <c r="E1104" t="str">
        <f>"99216"</f>
        <v>99216</v>
      </c>
      <c r="F1104" t="s">
        <v>116</v>
      </c>
      <c r="G1104" t="s">
        <v>3555</v>
      </c>
      <c r="I1104" t="s">
        <v>342</v>
      </c>
      <c r="J1104" t="s">
        <v>13</v>
      </c>
      <c r="K1104" t="str">
        <f>"99213"</f>
        <v>99213</v>
      </c>
      <c r="L1104">
        <v>16</v>
      </c>
      <c r="M1104">
        <v>15</v>
      </c>
      <c r="N1104">
        <v>1</v>
      </c>
    </row>
    <row r="1105" spans="1:14" x14ac:dyDescent="0.25">
      <c r="A1105" t="s">
        <v>3688</v>
      </c>
      <c r="B1105" t="s">
        <v>3622</v>
      </c>
      <c r="C1105" t="s">
        <v>142</v>
      </c>
      <c r="D1105" t="s">
        <v>13</v>
      </c>
      <c r="E1105" t="str">
        <f>"99004"</f>
        <v>99004</v>
      </c>
      <c r="F1105" t="s">
        <v>116</v>
      </c>
      <c r="G1105" t="s">
        <v>3622</v>
      </c>
      <c r="I1105" t="s">
        <v>142</v>
      </c>
      <c r="J1105" t="s">
        <v>13</v>
      </c>
      <c r="K1105" t="str">
        <f>"99004"</f>
        <v>99004</v>
      </c>
      <c r="L1105">
        <v>18</v>
      </c>
      <c r="M1105">
        <v>18</v>
      </c>
      <c r="N1105">
        <v>0</v>
      </c>
    </row>
    <row r="1106" spans="1:14" x14ac:dyDescent="0.25">
      <c r="A1106" t="s">
        <v>3806</v>
      </c>
      <c r="B1106" t="s">
        <v>3807</v>
      </c>
      <c r="C1106" t="s">
        <v>116</v>
      </c>
      <c r="D1106" t="s">
        <v>13</v>
      </c>
      <c r="E1106" t="str">
        <f>"99224"</f>
        <v>99224</v>
      </c>
      <c r="F1106" t="s">
        <v>116</v>
      </c>
      <c r="G1106" t="s">
        <v>3808</v>
      </c>
      <c r="I1106" t="s">
        <v>116</v>
      </c>
      <c r="J1106" t="s">
        <v>13</v>
      </c>
      <c r="K1106" t="str">
        <f>"99224"</f>
        <v>99224</v>
      </c>
      <c r="L1106">
        <v>7</v>
      </c>
      <c r="M1106">
        <v>4</v>
      </c>
      <c r="N1106">
        <v>3</v>
      </c>
    </row>
    <row r="1107" spans="1:14" x14ac:dyDescent="0.25">
      <c r="A1107" t="s">
        <v>3273</v>
      </c>
      <c r="B1107" t="s">
        <v>3274</v>
      </c>
      <c r="C1107" t="s">
        <v>342</v>
      </c>
      <c r="D1107" t="s">
        <v>13</v>
      </c>
      <c r="E1107" t="str">
        <f>"99212"</f>
        <v>99212</v>
      </c>
      <c r="F1107" t="s">
        <v>116</v>
      </c>
      <c r="G1107" t="s">
        <v>3275</v>
      </c>
      <c r="I1107" t="s">
        <v>116</v>
      </c>
      <c r="J1107" t="s">
        <v>13</v>
      </c>
      <c r="K1107" t="str">
        <f>"99202"</f>
        <v>99202</v>
      </c>
      <c r="L1107">
        <v>6</v>
      </c>
      <c r="M1107">
        <v>6</v>
      </c>
      <c r="N1107">
        <v>0</v>
      </c>
    </row>
    <row r="1108" spans="1:14" x14ac:dyDescent="0.25">
      <c r="A1108" t="s">
        <v>1064</v>
      </c>
      <c r="B1108" t="s">
        <v>1065</v>
      </c>
      <c r="C1108" t="s">
        <v>342</v>
      </c>
      <c r="D1108" t="s">
        <v>13</v>
      </c>
      <c r="E1108" t="str">
        <f>"99212"</f>
        <v>99212</v>
      </c>
      <c r="F1108" t="s">
        <v>116</v>
      </c>
      <c r="G1108" t="s">
        <v>1066</v>
      </c>
      <c r="I1108" t="s">
        <v>342</v>
      </c>
      <c r="J1108" t="s">
        <v>13</v>
      </c>
      <c r="K1108" t="str">
        <f>"99213"</f>
        <v>99213</v>
      </c>
      <c r="L1108">
        <v>10</v>
      </c>
      <c r="M1108">
        <v>10</v>
      </c>
      <c r="N1108">
        <v>0</v>
      </c>
    </row>
    <row r="1109" spans="1:14" x14ac:dyDescent="0.25">
      <c r="A1109" t="s">
        <v>2156</v>
      </c>
      <c r="B1109" t="s">
        <v>2157</v>
      </c>
      <c r="C1109" t="s">
        <v>2158</v>
      </c>
      <c r="D1109" t="s">
        <v>13</v>
      </c>
      <c r="E1109" t="str">
        <f>"99003"</f>
        <v>99003</v>
      </c>
      <c r="F1109" t="s">
        <v>116</v>
      </c>
      <c r="G1109" t="s">
        <v>2159</v>
      </c>
      <c r="I1109" t="s">
        <v>116</v>
      </c>
      <c r="J1109" t="s">
        <v>13</v>
      </c>
      <c r="K1109" t="str">
        <f>"99205"</f>
        <v>99205</v>
      </c>
      <c r="L1109">
        <v>32</v>
      </c>
      <c r="M1109">
        <v>28</v>
      </c>
      <c r="N1109">
        <v>4</v>
      </c>
    </row>
    <row r="1110" spans="1:14" x14ac:dyDescent="0.25">
      <c r="A1110" t="s">
        <v>3961</v>
      </c>
      <c r="B1110" t="s">
        <v>3962</v>
      </c>
      <c r="C1110" t="s">
        <v>116</v>
      </c>
      <c r="D1110" t="s">
        <v>13</v>
      </c>
      <c r="E1110" t="str">
        <f>"99201"</f>
        <v>99201</v>
      </c>
      <c r="F1110" t="s">
        <v>116</v>
      </c>
      <c r="G1110" t="s">
        <v>3962</v>
      </c>
      <c r="I1110" t="s">
        <v>116</v>
      </c>
      <c r="J1110" t="s">
        <v>13</v>
      </c>
      <c r="K1110" t="str">
        <f>"99201"</f>
        <v>99201</v>
      </c>
      <c r="L1110">
        <v>40</v>
      </c>
      <c r="M1110">
        <v>35</v>
      </c>
      <c r="N1110">
        <v>5</v>
      </c>
    </row>
    <row r="1111" spans="1:14" x14ac:dyDescent="0.25">
      <c r="A1111" t="s">
        <v>3696</v>
      </c>
      <c r="B1111" t="s">
        <v>3622</v>
      </c>
      <c r="C1111" t="s">
        <v>142</v>
      </c>
      <c r="D1111" t="s">
        <v>13</v>
      </c>
      <c r="E1111" t="str">
        <f>"99004"</f>
        <v>99004</v>
      </c>
      <c r="F1111" t="s">
        <v>116</v>
      </c>
      <c r="G1111" t="s">
        <v>3622</v>
      </c>
      <c r="I1111" t="s">
        <v>142</v>
      </c>
      <c r="J1111" t="s">
        <v>13</v>
      </c>
      <c r="K1111" t="str">
        <f>"99004"</f>
        <v>99004</v>
      </c>
      <c r="L1111">
        <v>28</v>
      </c>
      <c r="M1111">
        <v>26</v>
      </c>
      <c r="N1111">
        <v>2</v>
      </c>
    </row>
    <row r="1112" spans="1:14" x14ac:dyDescent="0.25">
      <c r="A1112" t="s">
        <v>1175</v>
      </c>
      <c r="B1112" t="s">
        <v>826</v>
      </c>
      <c r="C1112" t="s">
        <v>142</v>
      </c>
      <c r="D1112" t="s">
        <v>13</v>
      </c>
      <c r="E1112" t="str">
        <f>"99004"</f>
        <v>99004</v>
      </c>
      <c r="F1112" t="s">
        <v>116</v>
      </c>
      <c r="G1112" t="s">
        <v>827</v>
      </c>
      <c r="I1112" t="s">
        <v>142</v>
      </c>
      <c r="J1112" t="s">
        <v>13</v>
      </c>
      <c r="K1112" t="str">
        <f>"99004"</f>
        <v>99004</v>
      </c>
      <c r="L1112">
        <v>19</v>
      </c>
      <c r="M1112">
        <v>4</v>
      </c>
      <c r="N1112">
        <v>15</v>
      </c>
    </row>
    <row r="1113" spans="1:14" x14ac:dyDescent="0.25">
      <c r="A1113" t="s">
        <v>825</v>
      </c>
      <c r="B1113" t="s">
        <v>826</v>
      </c>
      <c r="C1113" t="s">
        <v>142</v>
      </c>
      <c r="D1113" t="s">
        <v>13</v>
      </c>
      <c r="E1113" t="str">
        <f>"99004"</f>
        <v>99004</v>
      </c>
      <c r="F1113" t="s">
        <v>116</v>
      </c>
      <c r="G1113" t="s">
        <v>827</v>
      </c>
      <c r="I1113" t="s">
        <v>142</v>
      </c>
      <c r="J1113" t="s">
        <v>13</v>
      </c>
      <c r="K1113" t="str">
        <f>"99004"</f>
        <v>99004</v>
      </c>
      <c r="L1113">
        <v>16</v>
      </c>
      <c r="M1113">
        <v>7</v>
      </c>
      <c r="N1113">
        <v>9</v>
      </c>
    </row>
    <row r="1114" spans="1:14" x14ac:dyDescent="0.25">
      <c r="A1114" t="s">
        <v>2545</v>
      </c>
      <c r="B1114" t="s">
        <v>2546</v>
      </c>
      <c r="C1114" t="s">
        <v>342</v>
      </c>
      <c r="D1114" t="s">
        <v>13</v>
      </c>
      <c r="E1114" t="str">
        <f>"99206"</f>
        <v>99206</v>
      </c>
      <c r="F1114" t="s">
        <v>116</v>
      </c>
      <c r="G1114" t="s">
        <v>2206</v>
      </c>
      <c r="I1114" t="s">
        <v>1343</v>
      </c>
      <c r="J1114" t="s">
        <v>433</v>
      </c>
      <c r="K1114" t="str">
        <f>"92626"</f>
        <v>92626</v>
      </c>
      <c r="L1114">
        <v>138</v>
      </c>
      <c r="M1114">
        <v>103</v>
      </c>
      <c r="N1114">
        <v>35</v>
      </c>
    </row>
    <row r="1115" spans="1:14" x14ac:dyDescent="0.25">
      <c r="A1115" t="s">
        <v>3667</v>
      </c>
      <c r="B1115" t="s">
        <v>3668</v>
      </c>
      <c r="C1115" t="s">
        <v>116</v>
      </c>
      <c r="D1115" t="s">
        <v>13</v>
      </c>
      <c r="E1115" t="str">
        <f>"99027"</f>
        <v>99027</v>
      </c>
      <c r="F1115" t="s">
        <v>116</v>
      </c>
      <c r="G1115" t="s">
        <v>2206</v>
      </c>
      <c r="I1115" t="s">
        <v>1343</v>
      </c>
      <c r="J1115" t="s">
        <v>433</v>
      </c>
      <c r="K1115" t="str">
        <f>"92626"</f>
        <v>92626</v>
      </c>
      <c r="L1115">
        <v>60</v>
      </c>
      <c r="M1115">
        <v>59</v>
      </c>
      <c r="N1115">
        <v>1</v>
      </c>
    </row>
    <row r="1116" spans="1:14" x14ac:dyDescent="0.25">
      <c r="A1116" t="s">
        <v>176</v>
      </c>
      <c r="B1116" t="s">
        <v>177</v>
      </c>
      <c r="C1116" t="s">
        <v>116</v>
      </c>
      <c r="D1116" t="s">
        <v>13</v>
      </c>
      <c r="E1116" t="str">
        <f>"99208"</f>
        <v>99208</v>
      </c>
      <c r="F1116" t="s">
        <v>116</v>
      </c>
      <c r="G1116" t="s">
        <v>178</v>
      </c>
      <c r="I1116" t="s">
        <v>116</v>
      </c>
      <c r="J1116" t="s">
        <v>13</v>
      </c>
      <c r="K1116" t="str">
        <f>"99214"</f>
        <v>99214</v>
      </c>
      <c r="L1116">
        <v>44</v>
      </c>
      <c r="M1116">
        <v>43</v>
      </c>
      <c r="N1116">
        <v>1</v>
      </c>
    </row>
    <row r="1117" spans="1:14" x14ac:dyDescent="0.25">
      <c r="A1117" t="s">
        <v>3351</v>
      </c>
      <c r="B1117" t="s">
        <v>3352</v>
      </c>
      <c r="C1117" t="s">
        <v>342</v>
      </c>
      <c r="D1117" t="s">
        <v>13</v>
      </c>
      <c r="E1117" t="str">
        <f>"99016"</f>
        <v>99016</v>
      </c>
      <c r="F1117" t="s">
        <v>116</v>
      </c>
      <c r="G1117" t="s">
        <v>3353</v>
      </c>
      <c r="I1117" t="s">
        <v>342</v>
      </c>
      <c r="J1117" t="s">
        <v>13</v>
      </c>
      <c r="K1117" t="str">
        <f>"99016"</f>
        <v>99016</v>
      </c>
      <c r="L1117">
        <v>22</v>
      </c>
      <c r="M1117">
        <v>22</v>
      </c>
      <c r="N1117">
        <v>0</v>
      </c>
    </row>
    <row r="1118" spans="1:14" x14ac:dyDescent="0.25">
      <c r="A1118" t="s">
        <v>3354</v>
      </c>
      <c r="B1118" t="s">
        <v>3355</v>
      </c>
      <c r="C1118" t="s">
        <v>1192</v>
      </c>
      <c r="D1118" t="s">
        <v>13</v>
      </c>
      <c r="E1118" t="str">
        <f>"99201"</f>
        <v>99201</v>
      </c>
      <c r="F1118" t="s">
        <v>116</v>
      </c>
      <c r="G1118" t="s">
        <v>3356</v>
      </c>
      <c r="I1118" t="s">
        <v>116</v>
      </c>
      <c r="J1118" t="s">
        <v>13</v>
      </c>
      <c r="K1118" t="str">
        <f>"99228"</f>
        <v>99228</v>
      </c>
      <c r="L1118">
        <v>29</v>
      </c>
      <c r="M1118">
        <v>25</v>
      </c>
      <c r="N1118">
        <v>4</v>
      </c>
    </row>
    <row r="1119" spans="1:14" x14ac:dyDescent="0.25">
      <c r="A1119" t="s">
        <v>2468</v>
      </c>
      <c r="B1119" t="s">
        <v>2469</v>
      </c>
      <c r="C1119" t="s">
        <v>342</v>
      </c>
      <c r="D1119" t="s">
        <v>13</v>
      </c>
      <c r="E1119" t="str">
        <f>"99027"</f>
        <v>99027</v>
      </c>
      <c r="F1119" t="s">
        <v>116</v>
      </c>
      <c r="G1119" t="s">
        <v>2173</v>
      </c>
      <c r="H1119" t="s">
        <v>2174</v>
      </c>
      <c r="I1119" t="s">
        <v>30</v>
      </c>
      <c r="J1119" t="s">
        <v>13</v>
      </c>
      <c r="K1119" t="str">
        <f>"98683"</f>
        <v>98683</v>
      </c>
      <c r="L1119">
        <v>109</v>
      </c>
      <c r="M1119">
        <v>108</v>
      </c>
      <c r="N1119">
        <v>1</v>
      </c>
    </row>
    <row r="1120" spans="1:14" x14ac:dyDescent="0.25">
      <c r="A1120" t="s">
        <v>1271</v>
      </c>
      <c r="B1120" t="s">
        <v>1272</v>
      </c>
      <c r="C1120" t="s">
        <v>1273</v>
      </c>
      <c r="D1120" t="s">
        <v>13</v>
      </c>
      <c r="E1120" t="str">
        <f>"99019"</f>
        <v>99019</v>
      </c>
      <c r="F1120" t="s">
        <v>116</v>
      </c>
      <c r="G1120" t="s">
        <v>1274</v>
      </c>
      <c r="I1120" t="s">
        <v>1273</v>
      </c>
      <c r="J1120" t="s">
        <v>13</v>
      </c>
      <c r="K1120" t="str">
        <f>"99019"</f>
        <v>99019</v>
      </c>
      <c r="L1120">
        <v>60</v>
      </c>
      <c r="M1120">
        <v>60</v>
      </c>
      <c r="N1120">
        <v>0</v>
      </c>
    </row>
    <row r="1121" spans="1:14" x14ac:dyDescent="0.25">
      <c r="A1121" t="s">
        <v>1848</v>
      </c>
      <c r="B1121" t="s">
        <v>1849</v>
      </c>
      <c r="C1121" t="s">
        <v>116</v>
      </c>
      <c r="D1121" t="s">
        <v>13</v>
      </c>
      <c r="E1121" t="str">
        <f>"99201"</f>
        <v>99201</v>
      </c>
      <c r="F1121" t="s">
        <v>116</v>
      </c>
      <c r="G1121" t="s">
        <v>1850</v>
      </c>
      <c r="I1121" t="s">
        <v>116</v>
      </c>
      <c r="J1121" t="s">
        <v>13</v>
      </c>
      <c r="K1121" t="str">
        <f>"99224"</f>
        <v>99224</v>
      </c>
      <c r="L1121">
        <v>220</v>
      </c>
      <c r="M1121">
        <v>205</v>
      </c>
      <c r="N1121">
        <v>15</v>
      </c>
    </row>
    <row r="1122" spans="1:14" x14ac:dyDescent="0.25">
      <c r="A1122" t="s">
        <v>113</v>
      </c>
      <c r="B1122" t="s">
        <v>114</v>
      </c>
      <c r="C1122" t="s">
        <v>115</v>
      </c>
      <c r="D1122" t="s">
        <v>13</v>
      </c>
      <c r="E1122" t="str">
        <f>"99031"</f>
        <v>99031</v>
      </c>
      <c r="F1122" t="s">
        <v>116</v>
      </c>
      <c r="G1122" t="s">
        <v>117</v>
      </c>
      <c r="I1122" t="s">
        <v>115</v>
      </c>
      <c r="J1122" t="s">
        <v>13</v>
      </c>
      <c r="K1122" t="str">
        <f>"99031"</f>
        <v>99031</v>
      </c>
      <c r="L1122">
        <v>6</v>
      </c>
      <c r="M1122">
        <v>6</v>
      </c>
      <c r="N1122">
        <v>0</v>
      </c>
    </row>
    <row r="1123" spans="1:14" x14ac:dyDescent="0.25">
      <c r="A1123" t="s">
        <v>3146</v>
      </c>
      <c r="B1123" t="s">
        <v>3147</v>
      </c>
      <c r="C1123" t="s">
        <v>116</v>
      </c>
      <c r="D1123" t="s">
        <v>13</v>
      </c>
      <c r="E1123" t="str">
        <f>"99208"</f>
        <v>99208</v>
      </c>
      <c r="F1123" t="s">
        <v>116</v>
      </c>
      <c r="G1123" t="s">
        <v>3148</v>
      </c>
      <c r="I1123" t="s">
        <v>116</v>
      </c>
      <c r="J1123" t="s">
        <v>13</v>
      </c>
      <c r="K1123" t="str">
        <f>"99208"</f>
        <v>99208</v>
      </c>
      <c r="L1123">
        <v>4</v>
      </c>
      <c r="M1123">
        <v>4</v>
      </c>
      <c r="N1123">
        <v>0</v>
      </c>
    </row>
    <row r="1124" spans="1:14" x14ac:dyDescent="0.25">
      <c r="A1124" t="s">
        <v>3867</v>
      </c>
      <c r="B1124" t="s">
        <v>3868</v>
      </c>
      <c r="C1124" t="s">
        <v>342</v>
      </c>
      <c r="D1124" t="s">
        <v>13</v>
      </c>
      <c r="E1124" t="str">
        <f>"99212"</f>
        <v>99212</v>
      </c>
      <c r="F1124" t="s">
        <v>116</v>
      </c>
      <c r="G1124" t="s">
        <v>3869</v>
      </c>
      <c r="I1124" t="s">
        <v>3870</v>
      </c>
      <c r="J1124" t="s">
        <v>3871</v>
      </c>
      <c r="K1124" t="str">
        <f>"38834"</f>
        <v>38834</v>
      </c>
      <c r="L1124">
        <v>6</v>
      </c>
      <c r="M1124">
        <v>6</v>
      </c>
      <c r="N1124">
        <v>0</v>
      </c>
    </row>
    <row r="1125" spans="1:14" x14ac:dyDescent="0.25">
      <c r="A1125" t="s">
        <v>2042</v>
      </c>
      <c r="B1125" t="s">
        <v>2043</v>
      </c>
      <c r="C1125" t="s">
        <v>342</v>
      </c>
      <c r="D1125" t="s">
        <v>13</v>
      </c>
      <c r="E1125" t="str">
        <f>"99206"</f>
        <v>99206</v>
      </c>
      <c r="F1125" t="s">
        <v>116</v>
      </c>
      <c r="G1125" t="s">
        <v>2044</v>
      </c>
      <c r="I1125" t="s">
        <v>116</v>
      </c>
      <c r="J1125" t="s">
        <v>13</v>
      </c>
      <c r="K1125" t="str">
        <f>"99210"</f>
        <v>99210</v>
      </c>
      <c r="L1125">
        <v>58</v>
      </c>
      <c r="M1125">
        <v>57</v>
      </c>
      <c r="N1125">
        <v>1</v>
      </c>
    </row>
    <row r="1126" spans="1:14" x14ac:dyDescent="0.25">
      <c r="A1126" t="s">
        <v>2507</v>
      </c>
      <c r="B1126" t="s">
        <v>2508</v>
      </c>
      <c r="C1126" t="s">
        <v>116</v>
      </c>
      <c r="D1126" t="s">
        <v>13</v>
      </c>
      <c r="E1126" t="str">
        <f>"99208"</f>
        <v>99208</v>
      </c>
      <c r="F1126" t="s">
        <v>116</v>
      </c>
      <c r="G1126" t="s">
        <v>2509</v>
      </c>
      <c r="I1126" t="s">
        <v>116</v>
      </c>
      <c r="J1126" t="s">
        <v>13</v>
      </c>
      <c r="K1126" t="str">
        <f>"99228"</f>
        <v>99228</v>
      </c>
      <c r="L1126">
        <v>13</v>
      </c>
      <c r="M1126">
        <v>13</v>
      </c>
      <c r="N1126">
        <v>0</v>
      </c>
    </row>
    <row r="1127" spans="1:14" x14ac:dyDescent="0.25">
      <c r="A1127" t="s">
        <v>1194</v>
      </c>
      <c r="B1127" t="s">
        <v>1195</v>
      </c>
      <c r="C1127" t="s">
        <v>660</v>
      </c>
      <c r="D1127" t="s">
        <v>13</v>
      </c>
      <c r="E1127" t="str">
        <f>"99022"</f>
        <v>99022</v>
      </c>
      <c r="F1127" t="s">
        <v>116</v>
      </c>
      <c r="G1127" t="s">
        <v>1193</v>
      </c>
      <c r="I1127" t="s">
        <v>660</v>
      </c>
      <c r="J1127" t="s">
        <v>13</v>
      </c>
      <c r="K1127" t="str">
        <f>"99022"</f>
        <v>99022</v>
      </c>
      <c r="L1127">
        <v>11</v>
      </c>
      <c r="M1127">
        <v>11</v>
      </c>
      <c r="N1127">
        <v>0</v>
      </c>
    </row>
    <row r="1128" spans="1:14" x14ac:dyDescent="0.25">
      <c r="A1128" t="s">
        <v>2518</v>
      </c>
      <c r="B1128" t="s">
        <v>2519</v>
      </c>
      <c r="C1128" t="s">
        <v>116</v>
      </c>
      <c r="D1128" t="s">
        <v>13</v>
      </c>
      <c r="E1128" t="str">
        <f>"99224"</f>
        <v>99224</v>
      </c>
      <c r="F1128" t="s">
        <v>116</v>
      </c>
      <c r="G1128" t="s">
        <v>2520</v>
      </c>
      <c r="H1128" t="s">
        <v>2521</v>
      </c>
      <c r="I1128" t="s">
        <v>30</v>
      </c>
      <c r="J1128" t="s">
        <v>13</v>
      </c>
      <c r="K1128" t="str">
        <f>"98683"</f>
        <v>98683</v>
      </c>
      <c r="L1128">
        <v>91</v>
      </c>
      <c r="M1128">
        <v>90</v>
      </c>
      <c r="N1128">
        <v>1</v>
      </c>
    </row>
    <row r="1129" spans="1:14" x14ac:dyDescent="0.25">
      <c r="A1129" t="s">
        <v>580</v>
      </c>
      <c r="B1129" t="s">
        <v>581</v>
      </c>
      <c r="C1129" t="s">
        <v>582</v>
      </c>
      <c r="D1129" t="s">
        <v>13</v>
      </c>
      <c r="E1129" t="str">
        <f>"99025"</f>
        <v>99025</v>
      </c>
      <c r="F1129" t="s">
        <v>116</v>
      </c>
      <c r="G1129" t="s">
        <v>579</v>
      </c>
      <c r="I1129" t="s">
        <v>342</v>
      </c>
      <c r="J1129" t="s">
        <v>13</v>
      </c>
      <c r="K1129" t="str">
        <f>"99206"</f>
        <v>99206</v>
      </c>
      <c r="L1129">
        <v>46</v>
      </c>
      <c r="M1129">
        <v>41</v>
      </c>
      <c r="N1129">
        <v>5</v>
      </c>
    </row>
    <row r="1130" spans="1:14" x14ac:dyDescent="0.25">
      <c r="A1130" t="s">
        <v>3234</v>
      </c>
      <c r="B1130" t="s">
        <v>3235</v>
      </c>
      <c r="C1130" t="s">
        <v>2158</v>
      </c>
      <c r="D1130" t="s">
        <v>13</v>
      </c>
      <c r="E1130" t="str">
        <f>"99003"</f>
        <v>99003</v>
      </c>
      <c r="F1130" t="s">
        <v>116</v>
      </c>
      <c r="G1130" t="s">
        <v>3236</v>
      </c>
      <c r="I1130" t="s">
        <v>2158</v>
      </c>
      <c r="J1130" t="s">
        <v>13</v>
      </c>
      <c r="K1130" t="str">
        <f>"99003"</f>
        <v>99003</v>
      </c>
      <c r="L1130">
        <v>28</v>
      </c>
      <c r="M1130">
        <v>20</v>
      </c>
      <c r="N1130">
        <v>8</v>
      </c>
    </row>
    <row r="1131" spans="1:14" x14ac:dyDescent="0.25">
      <c r="A1131" t="s">
        <v>2626</v>
      </c>
      <c r="B1131" t="s">
        <v>2627</v>
      </c>
      <c r="C1131" t="s">
        <v>342</v>
      </c>
      <c r="D1131" t="s">
        <v>13</v>
      </c>
      <c r="E1131" t="str">
        <f>"99027"</f>
        <v>99027</v>
      </c>
      <c r="F1131" t="s">
        <v>116</v>
      </c>
      <c r="G1131" t="s">
        <v>2206</v>
      </c>
      <c r="I1131" t="s">
        <v>1343</v>
      </c>
      <c r="J1131" t="s">
        <v>433</v>
      </c>
      <c r="K1131" t="str">
        <f>"92626"</f>
        <v>92626</v>
      </c>
      <c r="L1131">
        <v>108</v>
      </c>
      <c r="M1131">
        <v>87</v>
      </c>
      <c r="N1131">
        <v>21</v>
      </c>
    </row>
    <row r="1132" spans="1:14" x14ac:dyDescent="0.25">
      <c r="A1132" t="s">
        <v>1868</v>
      </c>
      <c r="B1132" t="s">
        <v>1869</v>
      </c>
      <c r="C1132" t="s">
        <v>342</v>
      </c>
      <c r="D1132" t="s">
        <v>13</v>
      </c>
      <c r="E1132" t="str">
        <f>"99206"</f>
        <v>99206</v>
      </c>
      <c r="F1132" t="s">
        <v>116</v>
      </c>
      <c r="G1132" t="s">
        <v>1869</v>
      </c>
      <c r="I1132" t="s">
        <v>342</v>
      </c>
      <c r="J1132" t="s">
        <v>13</v>
      </c>
      <c r="K1132" t="str">
        <f>"99206"</f>
        <v>99206</v>
      </c>
      <c r="L1132">
        <v>107</v>
      </c>
      <c r="M1132">
        <v>107</v>
      </c>
      <c r="N1132">
        <v>0</v>
      </c>
    </row>
    <row r="1133" spans="1:14" x14ac:dyDescent="0.25">
      <c r="A1133" t="s">
        <v>3818</v>
      </c>
      <c r="B1133" t="s">
        <v>3819</v>
      </c>
      <c r="C1133" t="s">
        <v>342</v>
      </c>
      <c r="D1133" t="s">
        <v>13</v>
      </c>
      <c r="E1133" t="str">
        <f>"99212"</f>
        <v>99212</v>
      </c>
      <c r="F1133" t="s">
        <v>116</v>
      </c>
      <c r="G1133" t="s">
        <v>3820</v>
      </c>
      <c r="I1133" t="s">
        <v>3815</v>
      </c>
      <c r="J1133" t="s">
        <v>821</v>
      </c>
      <c r="K1133" t="str">
        <f>"97709"</f>
        <v>97709</v>
      </c>
      <c r="L1133">
        <v>55</v>
      </c>
      <c r="M1133">
        <v>54</v>
      </c>
      <c r="N1133">
        <v>1</v>
      </c>
    </row>
    <row r="1134" spans="1:14" x14ac:dyDescent="0.25">
      <c r="A1134" t="s">
        <v>3872</v>
      </c>
      <c r="B1134" t="s">
        <v>3873</v>
      </c>
      <c r="C1134" t="s">
        <v>1192</v>
      </c>
      <c r="D1134" t="s">
        <v>13</v>
      </c>
      <c r="E1134" t="str">
        <f>"99001"</f>
        <v>99001</v>
      </c>
      <c r="F1134" t="s">
        <v>116</v>
      </c>
      <c r="G1134" t="s">
        <v>3873</v>
      </c>
      <c r="I1134" t="s">
        <v>1192</v>
      </c>
      <c r="J1134" t="s">
        <v>13</v>
      </c>
      <c r="K1134" t="str">
        <f>"99001"</f>
        <v>99001</v>
      </c>
      <c r="L1134">
        <v>8</v>
      </c>
      <c r="M1134">
        <v>8</v>
      </c>
      <c r="N1134">
        <v>0</v>
      </c>
    </row>
    <row r="1135" spans="1:14" x14ac:dyDescent="0.25">
      <c r="A1135" t="s">
        <v>485</v>
      </c>
      <c r="B1135" t="s">
        <v>486</v>
      </c>
      <c r="C1135" t="s">
        <v>342</v>
      </c>
      <c r="D1135" t="s">
        <v>13</v>
      </c>
      <c r="E1135" t="str">
        <f>"99212"</f>
        <v>99212</v>
      </c>
      <c r="F1135" t="s">
        <v>116</v>
      </c>
      <c r="G1135" t="s">
        <v>487</v>
      </c>
      <c r="I1135" t="s">
        <v>342</v>
      </c>
      <c r="J1135" t="s">
        <v>13</v>
      </c>
      <c r="K1135" t="str">
        <f>"99212"</f>
        <v>99212</v>
      </c>
      <c r="L1135">
        <v>45</v>
      </c>
      <c r="M1135">
        <v>45</v>
      </c>
      <c r="N1135">
        <v>0</v>
      </c>
    </row>
    <row r="1136" spans="1:14" x14ac:dyDescent="0.25">
      <c r="A1136" t="s">
        <v>2296</v>
      </c>
      <c r="B1136" t="s">
        <v>2297</v>
      </c>
      <c r="C1136" t="s">
        <v>1192</v>
      </c>
      <c r="D1136" t="s">
        <v>13</v>
      </c>
      <c r="E1136" t="str">
        <f>"99001"</f>
        <v>99001</v>
      </c>
      <c r="F1136" t="s">
        <v>116</v>
      </c>
      <c r="G1136" t="s">
        <v>2298</v>
      </c>
      <c r="I1136" t="s">
        <v>116</v>
      </c>
      <c r="J1136" t="s">
        <v>13</v>
      </c>
      <c r="K1136" t="str">
        <f>"99208"</f>
        <v>99208</v>
      </c>
      <c r="L1136">
        <v>29</v>
      </c>
      <c r="M1136">
        <v>29</v>
      </c>
      <c r="N1136">
        <v>0</v>
      </c>
    </row>
    <row r="1137" spans="1:14" x14ac:dyDescent="0.25">
      <c r="A1137" t="s">
        <v>3829</v>
      </c>
      <c r="B1137" t="s">
        <v>3830</v>
      </c>
      <c r="C1137" t="s">
        <v>116</v>
      </c>
      <c r="D1137" t="s">
        <v>13</v>
      </c>
      <c r="E1137" t="str">
        <f>"99224"</f>
        <v>99224</v>
      </c>
      <c r="F1137" t="s">
        <v>116</v>
      </c>
      <c r="G1137" t="s">
        <v>3830</v>
      </c>
      <c r="I1137" t="s">
        <v>116</v>
      </c>
      <c r="J1137" t="s">
        <v>13</v>
      </c>
      <c r="K1137" t="str">
        <f>"99224"</f>
        <v>99224</v>
      </c>
      <c r="L1137">
        <v>138</v>
      </c>
      <c r="M1137">
        <v>122</v>
      </c>
      <c r="N1137">
        <v>16</v>
      </c>
    </row>
    <row r="1138" spans="1:14" x14ac:dyDescent="0.25">
      <c r="A1138" t="s">
        <v>1196</v>
      </c>
      <c r="B1138" t="s">
        <v>1197</v>
      </c>
      <c r="C1138" t="s">
        <v>660</v>
      </c>
      <c r="D1138" t="s">
        <v>13</v>
      </c>
      <c r="E1138" t="str">
        <f>"99022"</f>
        <v>99022</v>
      </c>
      <c r="F1138" t="s">
        <v>116</v>
      </c>
      <c r="G1138" t="s">
        <v>1193</v>
      </c>
      <c r="I1138" t="s">
        <v>660</v>
      </c>
      <c r="J1138" t="s">
        <v>13</v>
      </c>
      <c r="K1138" t="str">
        <f>"99022"</f>
        <v>99022</v>
      </c>
      <c r="L1138">
        <v>12</v>
      </c>
      <c r="M1138">
        <v>12</v>
      </c>
      <c r="N1138">
        <v>0</v>
      </c>
    </row>
    <row r="1139" spans="1:14" x14ac:dyDescent="0.25">
      <c r="A1139" t="s">
        <v>3179</v>
      </c>
      <c r="B1139" t="s">
        <v>3180</v>
      </c>
      <c r="C1139" t="s">
        <v>271</v>
      </c>
      <c r="D1139" t="s">
        <v>13</v>
      </c>
      <c r="E1139" t="str">
        <f>"99109"</f>
        <v>99109</v>
      </c>
      <c r="F1139" t="s">
        <v>206</v>
      </c>
      <c r="G1139" t="s">
        <v>3181</v>
      </c>
      <c r="I1139" t="s">
        <v>271</v>
      </c>
      <c r="J1139" t="s">
        <v>13</v>
      </c>
      <c r="K1139" t="str">
        <f>"99109"</f>
        <v>99109</v>
      </c>
      <c r="L1139">
        <v>13</v>
      </c>
      <c r="M1139">
        <v>12</v>
      </c>
      <c r="N1139">
        <v>1</v>
      </c>
    </row>
    <row r="1140" spans="1:14" x14ac:dyDescent="0.25">
      <c r="A1140" t="s">
        <v>875</v>
      </c>
      <c r="B1140" t="s">
        <v>876</v>
      </c>
      <c r="C1140" t="s">
        <v>564</v>
      </c>
      <c r="D1140" t="s">
        <v>13</v>
      </c>
      <c r="E1140" t="str">
        <f>"99114"</f>
        <v>99114</v>
      </c>
      <c r="F1140" t="s">
        <v>206</v>
      </c>
      <c r="G1140" t="s">
        <v>877</v>
      </c>
      <c r="I1140" t="s">
        <v>564</v>
      </c>
      <c r="J1140" t="s">
        <v>13</v>
      </c>
      <c r="K1140" t="str">
        <f>"99114"</f>
        <v>99114</v>
      </c>
      <c r="L1140">
        <v>61</v>
      </c>
      <c r="M1140">
        <v>23</v>
      </c>
      <c r="N1140">
        <v>38</v>
      </c>
    </row>
    <row r="1141" spans="1:14" x14ac:dyDescent="0.25">
      <c r="A1141" t="s">
        <v>3088</v>
      </c>
      <c r="B1141" t="s">
        <v>3089</v>
      </c>
      <c r="C1141" t="s">
        <v>271</v>
      </c>
      <c r="D1141" t="s">
        <v>13</v>
      </c>
      <c r="E1141" t="str">
        <f>"99109"</f>
        <v>99109</v>
      </c>
      <c r="F1141" t="s">
        <v>206</v>
      </c>
      <c r="G1141" t="s">
        <v>3090</v>
      </c>
      <c r="I1141" t="s">
        <v>271</v>
      </c>
      <c r="J1141" t="s">
        <v>13</v>
      </c>
      <c r="K1141" t="str">
        <f>"99109"</f>
        <v>99109</v>
      </c>
      <c r="L1141">
        <v>19</v>
      </c>
      <c r="M1141">
        <v>5</v>
      </c>
      <c r="N1141">
        <v>14</v>
      </c>
    </row>
    <row r="1142" spans="1:14" x14ac:dyDescent="0.25">
      <c r="A1142" t="s">
        <v>1870</v>
      </c>
      <c r="B1142" t="s">
        <v>1871</v>
      </c>
      <c r="C1142" t="s">
        <v>564</v>
      </c>
      <c r="D1142" t="s">
        <v>13</v>
      </c>
      <c r="E1142" t="str">
        <f>"99114"</f>
        <v>99114</v>
      </c>
      <c r="F1142" t="s">
        <v>206</v>
      </c>
      <c r="G1142" t="s">
        <v>1872</v>
      </c>
      <c r="I1142" t="s">
        <v>1873</v>
      </c>
      <c r="J1142" t="s">
        <v>821</v>
      </c>
      <c r="K1142" t="str">
        <f>"97305"</f>
        <v>97305</v>
      </c>
      <c r="L1142">
        <v>46</v>
      </c>
      <c r="M1142">
        <v>46</v>
      </c>
      <c r="N1142">
        <v>0</v>
      </c>
    </row>
    <row r="1143" spans="1:14" x14ac:dyDescent="0.25">
      <c r="A1143" t="s">
        <v>269</v>
      </c>
      <c r="B1143" t="s">
        <v>270</v>
      </c>
      <c r="C1143" t="s">
        <v>271</v>
      </c>
      <c r="D1143" t="s">
        <v>13</v>
      </c>
      <c r="E1143" t="str">
        <f>"99109"</f>
        <v>99109</v>
      </c>
      <c r="F1143" t="s">
        <v>206</v>
      </c>
      <c r="G1143" t="s">
        <v>272</v>
      </c>
      <c r="I1143" t="s">
        <v>271</v>
      </c>
      <c r="J1143" t="s">
        <v>13</v>
      </c>
      <c r="K1143" t="str">
        <f>"99109"</f>
        <v>99109</v>
      </c>
      <c r="L1143">
        <v>35</v>
      </c>
      <c r="M1143">
        <v>35</v>
      </c>
      <c r="N1143">
        <v>0</v>
      </c>
    </row>
    <row r="1144" spans="1:14" x14ac:dyDescent="0.25">
      <c r="A1144" t="s">
        <v>2109</v>
      </c>
      <c r="B1144" t="s">
        <v>2110</v>
      </c>
      <c r="C1144" t="s">
        <v>564</v>
      </c>
      <c r="D1144" t="s">
        <v>13</v>
      </c>
      <c r="E1144" t="str">
        <f>"99114"</f>
        <v>99114</v>
      </c>
      <c r="F1144" t="s">
        <v>206</v>
      </c>
      <c r="G1144" t="s">
        <v>2111</v>
      </c>
      <c r="I1144" t="s">
        <v>564</v>
      </c>
      <c r="J1144" t="s">
        <v>13</v>
      </c>
      <c r="K1144" t="str">
        <f>"99114"</f>
        <v>99114</v>
      </c>
      <c r="L1144">
        <v>28</v>
      </c>
      <c r="M1144">
        <v>17</v>
      </c>
      <c r="N1144">
        <v>11</v>
      </c>
    </row>
    <row r="1145" spans="1:14" x14ac:dyDescent="0.25">
      <c r="A1145" t="s">
        <v>3206</v>
      </c>
      <c r="B1145" t="s">
        <v>3207</v>
      </c>
      <c r="C1145" t="s">
        <v>205</v>
      </c>
      <c r="D1145" t="s">
        <v>13</v>
      </c>
      <c r="E1145" t="str">
        <f>"99141"</f>
        <v>99141</v>
      </c>
      <c r="F1145" t="s">
        <v>206</v>
      </c>
      <c r="G1145" t="s">
        <v>3208</v>
      </c>
      <c r="I1145" t="s">
        <v>3209</v>
      </c>
      <c r="J1145" t="s">
        <v>821</v>
      </c>
      <c r="K1145" t="str">
        <f>"97420"</f>
        <v>97420</v>
      </c>
      <c r="L1145">
        <v>21</v>
      </c>
      <c r="M1145">
        <v>20</v>
      </c>
      <c r="N1145">
        <v>1</v>
      </c>
    </row>
    <row r="1146" spans="1:14" x14ac:dyDescent="0.25">
      <c r="A1146" t="s">
        <v>1740</v>
      </c>
      <c r="B1146" t="s">
        <v>3055</v>
      </c>
      <c r="C1146" t="s">
        <v>205</v>
      </c>
      <c r="D1146" t="s">
        <v>13</v>
      </c>
      <c r="E1146" t="str">
        <f>"99141"</f>
        <v>99141</v>
      </c>
      <c r="F1146" t="s">
        <v>206</v>
      </c>
      <c r="G1146" t="s">
        <v>3056</v>
      </c>
      <c r="I1146" t="s">
        <v>205</v>
      </c>
      <c r="J1146" t="s">
        <v>13</v>
      </c>
      <c r="K1146" t="str">
        <f>"99141"</f>
        <v>99141</v>
      </c>
      <c r="L1146">
        <v>19</v>
      </c>
      <c r="M1146">
        <v>19</v>
      </c>
      <c r="N1146">
        <v>0</v>
      </c>
    </row>
    <row r="1147" spans="1:14" x14ac:dyDescent="0.25">
      <c r="A1147" t="s">
        <v>2201</v>
      </c>
      <c r="B1147" t="s">
        <v>2202</v>
      </c>
      <c r="C1147" t="s">
        <v>205</v>
      </c>
      <c r="D1147" t="s">
        <v>13</v>
      </c>
      <c r="E1147" t="str">
        <f>"99141"</f>
        <v>99141</v>
      </c>
      <c r="F1147" t="s">
        <v>206</v>
      </c>
      <c r="G1147" t="s">
        <v>2203</v>
      </c>
      <c r="I1147" t="s">
        <v>564</v>
      </c>
      <c r="J1147" t="s">
        <v>13</v>
      </c>
      <c r="K1147" t="str">
        <f>"99114"</f>
        <v>99114</v>
      </c>
      <c r="L1147">
        <v>31</v>
      </c>
      <c r="M1147">
        <v>31</v>
      </c>
      <c r="N1147">
        <v>0</v>
      </c>
    </row>
    <row r="1148" spans="1:14" x14ac:dyDescent="0.25">
      <c r="A1148" t="s">
        <v>1336</v>
      </c>
      <c r="B1148" t="s">
        <v>1337</v>
      </c>
      <c r="C1148" t="s">
        <v>1338</v>
      </c>
      <c r="D1148" t="s">
        <v>13</v>
      </c>
      <c r="E1148" t="str">
        <f>"99148"</f>
        <v>99148</v>
      </c>
      <c r="F1148" t="s">
        <v>206</v>
      </c>
      <c r="G1148" t="s">
        <v>1339</v>
      </c>
      <c r="I1148" t="s">
        <v>1338</v>
      </c>
      <c r="J1148" t="s">
        <v>13</v>
      </c>
      <c r="K1148" t="str">
        <f>"99148"</f>
        <v>99148</v>
      </c>
      <c r="L1148">
        <v>49</v>
      </c>
      <c r="M1148">
        <v>42</v>
      </c>
      <c r="N1148">
        <v>7</v>
      </c>
    </row>
    <row r="1149" spans="1:14" x14ac:dyDescent="0.25">
      <c r="A1149" t="s">
        <v>2112</v>
      </c>
      <c r="B1149" t="s">
        <v>2113</v>
      </c>
      <c r="C1149" t="s">
        <v>205</v>
      </c>
      <c r="D1149" t="s">
        <v>13</v>
      </c>
      <c r="E1149" t="str">
        <f>"99141"</f>
        <v>99141</v>
      </c>
      <c r="F1149" t="s">
        <v>206</v>
      </c>
      <c r="G1149" t="s">
        <v>2111</v>
      </c>
      <c r="I1149" t="s">
        <v>564</v>
      </c>
      <c r="J1149" t="s">
        <v>13</v>
      </c>
      <c r="K1149" t="str">
        <f>"99114"</f>
        <v>99114</v>
      </c>
      <c r="L1149">
        <v>23</v>
      </c>
      <c r="M1149">
        <v>10</v>
      </c>
      <c r="N1149">
        <v>13</v>
      </c>
    </row>
    <row r="1150" spans="1:14" x14ac:dyDescent="0.25">
      <c r="A1150" t="s">
        <v>3669</v>
      </c>
      <c r="B1150" t="s">
        <v>3670</v>
      </c>
      <c r="C1150" t="s">
        <v>205</v>
      </c>
      <c r="D1150" t="s">
        <v>13</v>
      </c>
      <c r="E1150" t="str">
        <f>"99141"</f>
        <v>99141</v>
      </c>
      <c r="F1150" t="s">
        <v>206</v>
      </c>
      <c r="G1150" t="s">
        <v>3671</v>
      </c>
      <c r="I1150" t="s">
        <v>205</v>
      </c>
      <c r="J1150" t="s">
        <v>13</v>
      </c>
      <c r="K1150" t="str">
        <f>"99141"</f>
        <v>99141</v>
      </c>
      <c r="L1150">
        <v>3</v>
      </c>
      <c r="M1150">
        <v>3</v>
      </c>
      <c r="N1150">
        <v>0</v>
      </c>
    </row>
    <row r="1151" spans="1:14" x14ac:dyDescent="0.25">
      <c r="A1151" t="s">
        <v>967</v>
      </c>
      <c r="B1151" t="s">
        <v>968</v>
      </c>
      <c r="C1151" t="s">
        <v>969</v>
      </c>
      <c r="D1151" t="s">
        <v>13</v>
      </c>
      <c r="E1151" t="str">
        <f>"99110"</f>
        <v>99110</v>
      </c>
      <c r="F1151" t="s">
        <v>206</v>
      </c>
      <c r="G1151" t="s">
        <v>970</v>
      </c>
      <c r="I1151" t="s">
        <v>969</v>
      </c>
      <c r="J1151" t="s">
        <v>13</v>
      </c>
      <c r="K1151" t="str">
        <f>"99110"</f>
        <v>99110</v>
      </c>
      <c r="L1151">
        <v>39</v>
      </c>
      <c r="M1151">
        <v>39</v>
      </c>
      <c r="N1151">
        <v>0</v>
      </c>
    </row>
    <row r="1152" spans="1:14" x14ac:dyDescent="0.25">
      <c r="A1152" t="s">
        <v>3336</v>
      </c>
      <c r="B1152" t="s">
        <v>3337</v>
      </c>
      <c r="C1152" t="s">
        <v>564</v>
      </c>
      <c r="D1152" t="s">
        <v>13</v>
      </c>
      <c r="E1152" t="str">
        <f>"99114"</f>
        <v>99114</v>
      </c>
      <c r="F1152" t="s">
        <v>206</v>
      </c>
      <c r="G1152" t="s">
        <v>3338</v>
      </c>
      <c r="H1152" t="s">
        <v>3339</v>
      </c>
      <c r="I1152" t="s">
        <v>564</v>
      </c>
      <c r="J1152" t="s">
        <v>13</v>
      </c>
      <c r="K1152" t="str">
        <f>"99114"</f>
        <v>99114</v>
      </c>
      <c r="L1152">
        <v>47</v>
      </c>
      <c r="M1152">
        <v>23</v>
      </c>
      <c r="N1152">
        <v>24</v>
      </c>
    </row>
    <row r="1153" spans="1:14" x14ac:dyDescent="0.25">
      <c r="A1153" t="s">
        <v>3889</v>
      </c>
      <c r="B1153" t="s">
        <v>3890</v>
      </c>
      <c r="C1153" t="s">
        <v>205</v>
      </c>
      <c r="D1153" t="s">
        <v>13</v>
      </c>
      <c r="E1153" t="str">
        <f>"99141"</f>
        <v>99141</v>
      </c>
      <c r="F1153" t="s">
        <v>206</v>
      </c>
      <c r="G1153" t="s">
        <v>3890</v>
      </c>
      <c r="I1153" t="s">
        <v>205</v>
      </c>
      <c r="J1153" t="s">
        <v>13</v>
      </c>
      <c r="K1153" t="str">
        <f>"99141"</f>
        <v>99141</v>
      </c>
      <c r="L1153">
        <v>21</v>
      </c>
      <c r="M1153">
        <v>2</v>
      </c>
      <c r="N1153">
        <v>19</v>
      </c>
    </row>
    <row r="1154" spans="1:14" x14ac:dyDescent="0.25">
      <c r="A1154" t="s">
        <v>203</v>
      </c>
      <c r="B1154" t="s">
        <v>204</v>
      </c>
      <c r="C1154" t="s">
        <v>205</v>
      </c>
      <c r="D1154" t="s">
        <v>13</v>
      </c>
      <c r="E1154" t="str">
        <f>"99141"</f>
        <v>99141</v>
      </c>
      <c r="F1154" t="s">
        <v>206</v>
      </c>
      <c r="G1154" t="s">
        <v>207</v>
      </c>
      <c r="I1154" t="s">
        <v>205</v>
      </c>
      <c r="J1154" t="s">
        <v>13</v>
      </c>
      <c r="K1154" t="str">
        <f>"99141"</f>
        <v>99141</v>
      </c>
      <c r="L1154">
        <v>8</v>
      </c>
      <c r="M1154">
        <v>7</v>
      </c>
      <c r="N1154">
        <v>1</v>
      </c>
    </row>
    <row r="1155" spans="1:14" x14ac:dyDescent="0.25">
      <c r="A1155" t="s">
        <v>3772</v>
      </c>
      <c r="B1155" t="s">
        <v>3773</v>
      </c>
      <c r="C1155" t="s">
        <v>564</v>
      </c>
      <c r="D1155" t="s">
        <v>13</v>
      </c>
      <c r="E1155" t="str">
        <f>"99114"</f>
        <v>99114</v>
      </c>
      <c r="F1155" t="s">
        <v>206</v>
      </c>
      <c r="G1155" t="s">
        <v>3774</v>
      </c>
      <c r="I1155" t="s">
        <v>1113</v>
      </c>
      <c r="J1155" t="s">
        <v>13</v>
      </c>
      <c r="K1155" t="str">
        <f>"99021"</f>
        <v>99021</v>
      </c>
      <c r="L1155">
        <v>56</v>
      </c>
      <c r="M1155">
        <v>54</v>
      </c>
      <c r="N1155">
        <v>2</v>
      </c>
    </row>
    <row r="1156" spans="1:14" x14ac:dyDescent="0.25">
      <c r="A1156" t="s">
        <v>3847</v>
      </c>
      <c r="B1156" t="s">
        <v>3848</v>
      </c>
      <c r="C1156" t="s">
        <v>564</v>
      </c>
      <c r="D1156" t="s">
        <v>13</v>
      </c>
      <c r="E1156" t="str">
        <f>"99114"</f>
        <v>99114</v>
      </c>
      <c r="F1156" t="s">
        <v>206</v>
      </c>
      <c r="G1156" t="s">
        <v>3849</v>
      </c>
      <c r="I1156" t="s">
        <v>116</v>
      </c>
      <c r="J1156" t="s">
        <v>13</v>
      </c>
      <c r="K1156" t="str">
        <f>"99209"</f>
        <v>99209</v>
      </c>
      <c r="L1156">
        <v>6</v>
      </c>
      <c r="M1156">
        <v>2</v>
      </c>
      <c r="N1156">
        <v>4</v>
      </c>
    </row>
    <row r="1157" spans="1:14" x14ac:dyDescent="0.25">
      <c r="A1157" t="s">
        <v>562</v>
      </c>
      <c r="B1157" t="s">
        <v>563</v>
      </c>
      <c r="C1157" t="s">
        <v>564</v>
      </c>
      <c r="D1157" t="s">
        <v>13</v>
      </c>
      <c r="E1157" t="str">
        <f>"99114"</f>
        <v>99114</v>
      </c>
      <c r="F1157" t="s">
        <v>206</v>
      </c>
      <c r="G1157" t="s">
        <v>563</v>
      </c>
      <c r="I1157" t="s">
        <v>564</v>
      </c>
      <c r="J1157" t="s">
        <v>13</v>
      </c>
      <c r="K1157" t="str">
        <f>"99114"</f>
        <v>99114</v>
      </c>
      <c r="L1157">
        <v>6</v>
      </c>
      <c r="M1157">
        <v>3</v>
      </c>
      <c r="N1157">
        <v>3</v>
      </c>
    </row>
    <row r="1158" spans="1:14" x14ac:dyDescent="0.25">
      <c r="A1158" t="s">
        <v>3509</v>
      </c>
      <c r="B1158" t="s">
        <v>3510</v>
      </c>
      <c r="C1158" t="s">
        <v>1338</v>
      </c>
      <c r="D1158" t="s">
        <v>13</v>
      </c>
      <c r="E1158" t="str">
        <f>"99148"</f>
        <v>99148</v>
      </c>
      <c r="F1158" t="s">
        <v>206</v>
      </c>
      <c r="G1158" t="s">
        <v>3511</v>
      </c>
      <c r="I1158" t="s">
        <v>3512</v>
      </c>
      <c r="J1158" t="s">
        <v>433</v>
      </c>
      <c r="K1158" t="str">
        <f>"93635"</f>
        <v>93635</v>
      </c>
      <c r="L1158">
        <v>68</v>
      </c>
      <c r="M1158">
        <v>7</v>
      </c>
      <c r="N1158">
        <v>61</v>
      </c>
    </row>
    <row r="1159" spans="1:14" x14ac:dyDescent="0.25">
      <c r="A1159" t="s">
        <v>3140</v>
      </c>
      <c r="B1159" t="s">
        <v>3141</v>
      </c>
      <c r="C1159" t="s">
        <v>87</v>
      </c>
      <c r="D1159" t="s">
        <v>13</v>
      </c>
      <c r="E1159" t="str">
        <f>"98513"</f>
        <v>98513</v>
      </c>
      <c r="F1159" t="s">
        <v>88</v>
      </c>
      <c r="G1159" t="s">
        <v>3137</v>
      </c>
      <c r="I1159" t="s">
        <v>87</v>
      </c>
      <c r="J1159" t="s">
        <v>13</v>
      </c>
      <c r="K1159" t="str">
        <f>"98501"</f>
        <v>98501</v>
      </c>
      <c r="L1159">
        <v>28</v>
      </c>
      <c r="M1159">
        <v>28</v>
      </c>
      <c r="N1159">
        <v>0</v>
      </c>
    </row>
    <row r="1160" spans="1:14" x14ac:dyDescent="0.25">
      <c r="A1160" t="s">
        <v>1702</v>
      </c>
      <c r="B1160" t="s">
        <v>1703</v>
      </c>
      <c r="C1160" t="s">
        <v>87</v>
      </c>
      <c r="D1160" t="s">
        <v>13</v>
      </c>
      <c r="E1160" t="str">
        <f>"98512"</f>
        <v>98512</v>
      </c>
      <c r="F1160" t="s">
        <v>88</v>
      </c>
      <c r="G1160" t="s">
        <v>1703</v>
      </c>
      <c r="I1160" t="s">
        <v>87</v>
      </c>
      <c r="J1160" t="s">
        <v>13</v>
      </c>
      <c r="K1160" t="str">
        <f>"98512"</f>
        <v>98512</v>
      </c>
      <c r="L1160">
        <v>35</v>
      </c>
      <c r="M1160">
        <v>34</v>
      </c>
      <c r="N1160">
        <v>1</v>
      </c>
    </row>
    <row r="1161" spans="1:14" x14ac:dyDescent="0.25">
      <c r="A1161" t="s">
        <v>1656</v>
      </c>
      <c r="B1161" t="s">
        <v>1657</v>
      </c>
      <c r="C1161" t="s">
        <v>87</v>
      </c>
      <c r="D1161" t="s">
        <v>13</v>
      </c>
      <c r="E1161" t="str">
        <f>"98516"</f>
        <v>98516</v>
      </c>
      <c r="F1161" t="s">
        <v>88</v>
      </c>
      <c r="G1161" t="s">
        <v>535</v>
      </c>
      <c r="I1161" t="s">
        <v>536</v>
      </c>
      <c r="J1161" t="s">
        <v>13</v>
      </c>
      <c r="K1161" t="str">
        <f>"98499"</f>
        <v>98499</v>
      </c>
      <c r="L1161">
        <v>129</v>
      </c>
      <c r="M1161">
        <v>129</v>
      </c>
      <c r="N1161">
        <v>0</v>
      </c>
    </row>
    <row r="1162" spans="1:14" x14ac:dyDescent="0.25">
      <c r="A1162" t="s">
        <v>3474</v>
      </c>
      <c r="B1162" t="s">
        <v>3475</v>
      </c>
      <c r="C1162" t="s">
        <v>87</v>
      </c>
      <c r="D1162" t="s">
        <v>13</v>
      </c>
      <c r="E1162" t="str">
        <f>"98516"</f>
        <v>98516</v>
      </c>
      <c r="F1162" t="s">
        <v>88</v>
      </c>
      <c r="G1162" t="s">
        <v>111</v>
      </c>
      <c r="I1162" t="s">
        <v>107</v>
      </c>
      <c r="J1162" t="s">
        <v>13</v>
      </c>
      <c r="K1162" t="str">
        <f>"98105"</f>
        <v>98105</v>
      </c>
      <c r="L1162">
        <v>50</v>
      </c>
      <c r="M1162">
        <v>50</v>
      </c>
      <c r="N1162">
        <v>0</v>
      </c>
    </row>
    <row r="1163" spans="1:14" x14ac:dyDescent="0.25">
      <c r="A1163" t="s">
        <v>2829</v>
      </c>
      <c r="B1163" t="s">
        <v>2830</v>
      </c>
      <c r="C1163" t="s">
        <v>1014</v>
      </c>
      <c r="D1163" t="s">
        <v>13</v>
      </c>
      <c r="E1163" t="str">
        <f>"98597"</f>
        <v>98597</v>
      </c>
      <c r="F1163" t="s">
        <v>88</v>
      </c>
      <c r="G1163" t="s">
        <v>2830</v>
      </c>
      <c r="I1163" t="s">
        <v>1014</v>
      </c>
      <c r="J1163" t="s">
        <v>13</v>
      </c>
      <c r="K1163" t="str">
        <f>"98597"</f>
        <v>98597</v>
      </c>
      <c r="L1163">
        <v>7</v>
      </c>
      <c r="M1163">
        <v>7</v>
      </c>
      <c r="N1163">
        <v>0</v>
      </c>
    </row>
    <row r="1164" spans="1:14" x14ac:dyDescent="0.25">
      <c r="A1164" t="s">
        <v>400</v>
      </c>
      <c r="B1164" t="s">
        <v>401</v>
      </c>
      <c r="C1164" t="s">
        <v>87</v>
      </c>
      <c r="D1164" t="s">
        <v>13</v>
      </c>
      <c r="E1164" t="str">
        <f>"98516"</f>
        <v>98516</v>
      </c>
      <c r="F1164" t="s">
        <v>88</v>
      </c>
      <c r="G1164" t="s">
        <v>402</v>
      </c>
      <c r="I1164" t="s">
        <v>93</v>
      </c>
      <c r="J1164" t="s">
        <v>13</v>
      </c>
      <c r="K1164" t="str">
        <f>"98516"</f>
        <v>98516</v>
      </c>
      <c r="L1164">
        <v>20</v>
      </c>
      <c r="M1164">
        <v>20</v>
      </c>
      <c r="N1164">
        <v>0</v>
      </c>
    </row>
    <row r="1165" spans="1:14" x14ac:dyDescent="0.25">
      <c r="A1165" t="s">
        <v>1263</v>
      </c>
      <c r="B1165" t="s">
        <v>1264</v>
      </c>
      <c r="C1165" t="s">
        <v>87</v>
      </c>
      <c r="D1165" t="s">
        <v>13</v>
      </c>
      <c r="E1165" t="str">
        <f>"98516"</f>
        <v>98516</v>
      </c>
      <c r="F1165" t="s">
        <v>88</v>
      </c>
      <c r="G1165" t="s">
        <v>1264</v>
      </c>
      <c r="I1165" t="s">
        <v>87</v>
      </c>
      <c r="J1165" t="s">
        <v>13</v>
      </c>
      <c r="K1165" t="str">
        <f>"98516"</f>
        <v>98516</v>
      </c>
      <c r="L1165">
        <v>103</v>
      </c>
      <c r="M1165">
        <v>103</v>
      </c>
      <c r="N1165">
        <v>0</v>
      </c>
    </row>
    <row r="1166" spans="1:14" x14ac:dyDescent="0.25">
      <c r="A1166" t="s">
        <v>3576</v>
      </c>
      <c r="B1166" t="s">
        <v>3577</v>
      </c>
      <c r="C1166" t="s">
        <v>87</v>
      </c>
      <c r="D1166" t="s">
        <v>13</v>
      </c>
      <c r="E1166" t="str">
        <f>"98501"</f>
        <v>98501</v>
      </c>
      <c r="F1166" t="s">
        <v>88</v>
      </c>
      <c r="G1166" t="s">
        <v>3577</v>
      </c>
      <c r="I1166" t="s">
        <v>87</v>
      </c>
      <c r="J1166" t="s">
        <v>13</v>
      </c>
      <c r="K1166" t="str">
        <f>"98501"</f>
        <v>98501</v>
      </c>
      <c r="L1166">
        <v>182</v>
      </c>
      <c r="M1166">
        <v>177</v>
      </c>
      <c r="N1166">
        <v>5</v>
      </c>
    </row>
    <row r="1167" spans="1:14" x14ac:dyDescent="0.25">
      <c r="A1167" t="s">
        <v>85</v>
      </c>
      <c r="B1167" t="s">
        <v>86</v>
      </c>
      <c r="C1167" t="s">
        <v>87</v>
      </c>
      <c r="D1167" t="s">
        <v>13</v>
      </c>
      <c r="E1167" t="str">
        <f>"98512"</f>
        <v>98512</v>
      </c>
      <c r="F1167" t="s">
        <v>88</v>
      </c>
      <c r="G1167" t="s">
        <v>89</v>
      </c>
      <c r="I1167" t="s">
        <v>87</v>
      </c>
      <c r="J1167" t="s">
        <v>13</v>
      </c>
      <c r="K1167" t="str">
        <f>"98512"</f>
        <v>98512</v>
      </c>
      <c r="L1167">
        <v>44</v>
      </c>
      <c r="M1167">
        <v>1</v>
      </c>
      <c r="N1167">
        <v>43</v>
      </c>
    </row>
    <row r="1168" spans="1:14" x14ac:dyDescent="0.25">
      <c r="A1168" t="s">
        <v>1626</v>
      </c>
      <c r="B1168" t="s">
        <v>1627</v>
      </c>
      <c r="C1168" t="s">
        <v>93</v>
      </c>
      <c r="D1168" t="s">
        <v>13</v>
      </c>
      <c r="E1168" t="str">
        <f>"98503"</f>
        <v>98503</v>
      </c>
      <c r="F1168" t="s">
        <v>88</v>
      </c>
      <c r="G1168" t="s">
        <v>1628</v>
      </c>
      <c r="I1168" t="s">
        <v>107</v>
      </c>
      <c r="J1168" t="s">
        <v>13</v>
      </c>
      <c r="K1168" t="str">
        <f>"98103"</f>
        <v>98103</v>
      </c>
      <c r="L1168">
        <v>60</v>
      </c>
      <c r="M1168">
        <v>60</v>
      </c>
      <c r="N1168">
        <v>0</v>
      </c>
    </row>
    <row r="1169" spans="1:14" x14ac:dyDescent="0.25">
      <c r="A1169" t="s">
        <v>2671</v>
      </c>
      <c r="B1169" t="s">
        <v>2672</v>
      </c>
      <c r="C1169" t="s">
        <v>93</v>
      </c>
      <c r="D1169" t="s">
        <v>13</v>
      </c>
      <c r="E1169" t="str">
        <f>"98503"</f>
        <v>98503</v>
      </c>
      <c r="F1169" t="s">
        <v>88</v>
      </c>
      <c r="G1169" t="s">
        <v>2673</v>
      </c>
      <c r="I1169" t="s">
        <v>1484</v>
      </c>
      <c r="J1169" t="s">
        <v>13</v>
      </c>
      <c r="K1169" t="str">
        <f>"98034"</f>
        <v>98034</v>
      </c>
      <c r="L1169">
        <v>82</v>
      </c>
      <c r="M1169">
        <v>80</v>
      </c>
      <c r="N1169">
        <v>2</v>
      </c>
    </row>
    <row r="1170" spans="1:14" x14ac:dyDescent="0.25">
      <c r="A1170" t="s">
        <v>3858</v>
      </c>
      <c r="B1170" t="s">
        <v>3859</v>
      </c>
      <c r="C1170" t="s">
        <v>678</v>
      </c>
      <c r="D1170" t="s">
        <v>13</v>
      </c>
      <c r="E1170" t="str">
        <f>"98512"</f>
        <v>98512</v>
      </c>
      <c r="F1170" t="s">
        <v>88</v>
      </c>
      <c r="G1170" t="s">
        <v>3860</v>
      </c>
      <c r="I1170" t="s">
        <v>2431</v>
      </c>
      <c r="J1170" t="s">
        <v>433</v>
      </c>
      <c r="K1170" t="str">
        <f>"94596"</f>
        <v>94596</v>
      </c>
      <c r="L1170">
        <v>126</v>
      </c>
      <c r="M1170">
        <v>114</v>
      </c>
      <c r="N1170">
        <v>12</v>
      </c>
    </row>
    <row r="1171" spans="1:14" x14ac:dyDescent="0.25">
      <c r="A1171" t="s">
        <v>3786</v>
      </c>
      <c r="B1171" t="s">
        <v>3787</v>
      </c>
      <c r="C1171" t="s">
        <v>87</v>
      </c>
      <c r="D1171" t="s">
        <v>13</v>
      </c>
      <c r="E1171" t="str">
        <f>"98512"</f>
        <v>98512</v>
      </c>
      <c r="F1171" t="s">
        <v>88</v>
      </c>
      <c r="G1171" t="s">
        <v>3788</v>
      </c>
      <c r="I1171" t="s">
        <v>87</v>
      </c>
      <c r="J1171" t="s">
        <v>13</v>
      </c>
      <c r="K1171" t="str">
        <f>"98506"</f>
        <v>98506</v>
      </c>
      <c r="L1171">
        <v>30</v>
      </c>
      <c r="M1171">
        <v>13</v>
      </c>
      <c r="N1171">
        <v>17</v>
      </c>
    </row>
    <row r="1172" spans="1:14" x14ac:dyDescent="0.25">
      <c r="A1172" t="s">
        <v>90</v>
      </c>
      <c r="B1172" t="s">
        <v>91</v>
      </c>
      <c r="C1172" t="s">
        <v>87</v>
      </c>
      <c r="D1172" t="s">
        <v>13</v>
      </c>
      <c r="E1172" t="str">
        <f>"98501"</f>
        <v>98501</v>
      </c>
      <c r="F1172" t="s">
        <v>88</v>
      </c>
      <c r="G1172" t="s">
        <v>92</v>
      </c>
      <c r="I1172" t="s">
        <v>93</v>
      </c>
      <c r="J1172" t="s">
        <v>13</v>
      </c>
      <c r="K1172" t="str">
        <f>"98513"</f>
        <v>98513</v>
      </c>
      <c r="L1172">
        <v>4</v>
      </c>
      <c r="M1172">
        <v>4</v>
      </c>
      <c r="N1172">
        <v>0</v>
      </c>
    </row>
    <row r="1173" spans="1:14" x14ac:dyDescent="0.25">
      <c r="A1173" t="s">
        <v>3738</v>
      </c>
      <c r="B1173" t="s">
        <v>3577</v>
      </c>
      <c r="C1173" t="s">
        <v>87</v>
      </c>
      <c r="D1173" t="s">
        <v>13</v>
      </c>
      <c r="E1173" t="str">
        <f>"98501"</f>
        <v>98501</v>
      </c>
      <c r="F1173" t="s">
        <v>88</v>
      </c>
      <c r="G1173" t="s">
        <v>3577</v>
      </c>
      <c r="I1173" t="s">
        <v>87</v>
      </c>
      <c r="J1173" t="s">
        <v>13</v>
      </c>
      <c r="K1173" t="str">
        <f>"98501"</f>
        <v>98501</v>
      </c>
      <c r="L1173">
        <v>84</v>
      </c>
      <c r="M1173">
        <v>70</v>
      </c>
      <c r="N1173">
        <v>14</v>
      </c>
    </row>
    <row r="1174" spans="1:14" x14ac:dyDescent="0.25">
      <c r="A1174" t="s">
        <v>1769</v>
      </c>
      <c r="B1174" t="s">
        <v>1770</v>
      </c>
      <c r="C1174" t="s">
        <v>87</v>
      </c>
      <c r="D1174" t="s">
        <v>13</v>
      </c>
      <c r="E1174" t="str">
        <f>"98513"</f>
        <v>98513</v>
      </c>
      <c r="F1174" t="s">
        <v>88</v>
      </c>
      <c r="G1174" t="s">
        <v>1771</v>
      </c>
      <c r="I1174" t="s">
        <v>605</v>
      </c>
      <c r="J1174" t="s">
        <v>13</v>
      </c>
      <c r="K1174" t="str">
        <f>"98005"</f>
        <v>98005</v>
      </c>
      <c r="L1174">
        <v>15</v>
      </c>
      <c r="M1174">
        <v>15</v>
      </c>
      <c r="N1174">
        <v>0</v>
      </c>
    </row>
    <row r="1175" spans="1:14" x14ac:dyDescent="0.25">
      <c r="A1175" t="s">
        <v>3280</v>
      </c>
      <c r="B1175" t="s">
        <v>3281</v>
      </c>
      <c r="C1175" t="s">
        <v>678</v>
      </c>
      <c r="D1175" t="s">
        <v>13</v>
      </c>
      <c r="E1175" t="str">
        <f>"98512"</f>
        <v>98512</v>
      </c>
      <c r="F1175" t="s">
        <v>88</v>
      </c>
      <c r="G1175" t="s">
        <v>3282</v>
      </c>
      <c r="I1175" t="s">
        <v>3283</v>
      </c>
      <c r="J1175" t="s">
        <v>13</v>
      </c>
      <c r="K1175" t="str">
        <f>"98383"</f>
        <v>98383</v>
      </c>
      <c r="L1175">
        <v>120</v>
      </c>
      <c r="M1175">
        <v>120</v>
      </c>
      <c r="N1175">
        <v>0</v>
      </c>
    </row>
    <row r="1176" spans="1:14" x14ac:dyDescent="0.25">
      <c r="A1176" t="s">
        <v>2680</v>
      </c>
      <c r="B1176" t="s">
        <v>2681</v>
      </c>
      <c r="C1176" t="s">
        <v>93</v>
      </c>
      <c r="D1176" t="s">
        <v>13</v>
      </c>
      <c r="E1176" t="str">
        <f>"98503"</f>
        <v>98503</v>
      </c>
      <c r="F1176" t="s">
        <v>88</v>
      </c>
      <c r="G1176" t="s">
        <v>2682</v>
      </c>
      <c r="I1176" t="s">
        <v>148</v>
      </c>
      <c r="J1176" t="s">
        <v>13</v>
      </c>
      <c r="K1176" t="str">
        <f>"98335"</f>
        <v>98335</v>
      </c>
      <c r="L1176">
        <v>99</v>
      </c>
      <c r="M1176">
        <v>99</v>
      </c>
      <c r="N1176">
        <v>0</v>
      </c>
    </row>
    <row r="1177" spans="1:14" x14ac:dyDescent="0.25">
      <c r="A1177" t="s">
        <v>1957</v>
      </c>
      <c r="B1177" t="s">
        <v>1958</v>
      </c>
      <c r="C1177" t="s">
        <v>93</v>
      </c>
      <c r="D1177" t="s">
        <v>13</v>
      </c>
      <c r="E1177" t="str">
        <f>"98503"</f>
        <v>98503</v>
      </c>
      <c r="F1177" t="s">
        <v>88</v>
      </c>
      <c r="G1177" t="s">
        <v>1584</v>
      </c>
      <c r="H1177" t="s">
        <v>1585</v>
      </c>
      <c r="I1177" t="s">
        <v>107</v>
      </c>
      <c r="J1177" t="s">
        <v>13</v>
      </c>
      <c r="K1177" t="str">
        <f>"98105"</f>
        <v>98105</v>
      </c>
      <c r="L1177">
        <v>33</v>
      </c>
      <c r="M1177">
        <v>33</v>
      </c>
      <c r="N1177">
        <v>0</v>
      </c>
    </row>
    <row r="1178" spans="1:14" x14ac:dyDescent="0.25">
      <c r="A1178" t="s">
        <v>1285</v>
      </c>
      <c r="B1178" t="s">
        <v>4055</v>
      </c>
      <c r="C1178" t="s">
        <v>571</v>
      </c>
      <c r="D1178" t="s">
        <v>13</v>
      </c>
      <c r="E1178" t="str">
        <f>"98579"</f>
        <v>98579</v>
      </c>
      <c r="F1178" t="s">
        <v>88</v>
      </c>
      <c r="G1178" t="s">
        <v>4056</v>
      </c>
      <c r="I1178" t="s">
        <v>571</v>
      </c>
      <c r="J1178" t="s">
        <v>13</v>
      </c>
      <c r="K1178" t="str">
        <f>"98579"</f>
        <v>98579</v>
      </c>
      <c r="L1178">
        <v>6</v>
      </c>
      <c r="M1178">
        <v>6</v>
      </c>
      <c r="N1178">
        <v>0</v>
      </c>
    </row>
    <row r="1179" spans="1:14" x14ac:dyDescent="0.25">
      <c r="A1179" t="s">
        <v>1765</v>
      </c>
      <c r="B1179" t="s">
        <v>1766</v>
      </c>
      <c r="C1179" t="s">
        <v>87</v>
      </c>
      <c r="D1179" t="s">
        <v>13</v>
      </c>
      <c r="E1179" t="str">
        <f>"98502"</f>
        <v>98502</v>
      </c>
      <c r="F1179" t="s">
        <v>88</v>
      </c>
      <c r="G1179" t="s">
        <v>1767</v>
      </c>
      <c r="I1179" t="s">
        <v>87</v>
      </c>
      <c r="J1179" t="s">
        <v>13</v>
      </c>
      <c r="K1179" t="str">
        <f>"98502"</f>
        <v>98502</v>
      </c>
      <c r="L1179">
        <v>14</v>
      </c>
      <c r="M1179">
        <v>14</v>
      </c>
      <c r="N1179">
        <v>0</v>
      </c>
    </row>
    <row r="1180" spans="1:14" x14ac:dyDescent="0.25">
      <c r="A1180" t="s">
        <v>2859</v>
      </c>
      <c r="B1180" t="s">
        <v>2860</v>
      </c>
      <c r="C1180" t="s">
        <v>87</v>
      </c>
      <c r="D1180" t="s">
        <v>13</v>
      </c>
      <c r="E1180" t="str">
        <f>"98512"</f>
        <v>98512</v>
      </c>
      <c r="F1180" t="s">
        <v>88</v>
      </c>
      <c r="G1180" t="s">
        <v>551</v>
      </c>
      <c r="I1180" t="s">
        <v>93</v>
      </c>
      <c r="J1180" t="s">
        <v>13</v>
      </c>
      <c r="K1180" t="str">
        <f>"98509"</f>
        <v>98509</v>
      </c>
      <c r="L1180">
        <v>26</v>
      </c>
      <c r="M1180">
        <v>26</v>
      </c>
      <c r="N1180">
        <v>0</v>
      </c>
    </row>
    <row r="1181" spans="1:14" x14ac:dyDescent="0.25">
      <c r="A1181" t="s">
        <v>3580</v>
      </c>
      <c r="B1181" t="s">
        <v>3581</v>
      </c>
      <c r="C1181" t="s">
        <v>87</v>
      </c>
      <c r="D1181" t="s">
        <v>13</v>
      </c>
      <c r="E1181" t="str">
        <f>"98506"</f>
        <v>98506</v>
      </c>
      <c r="F1181" t="s">
        <v>88</v>
      </c>
      <c r="G1181" t="s">
        <v>3582</v>
      </c>
      <c r="I1181" t="s">
        <v>536</v>
      </c>
      <c r="J1181" t="s">
        <v>13</v>
      </c>
      <c r="K1181" t="str">
        <f>"98498"</f>
        <v>98498</v>
      </c>
      <c r="L1181">
        <v>2</v>
      </c>
      <c r="M1181">
        <v>2</v>
      </c>
      <c r="N1181">
        <v>0</v>
      </c>
    </row>
    <row r="1182" spans="1:14" x14ac:dyDescent="0.25">
      <c r="A1182" t="s">
        <v>1153</v>
      </c>
      <c r="B1182" t="s">
        <v>1154</v>
      </c>
      <c r="C1182" t="s">
        <v>93</v>
      </c>
      <c r="D1182" t="s">
        <v>13</v>
      </c>
      <c r="E1182" t="str">
        <f>"98503"</f>
        <v>98503</v>
      </c>
      <c r="F1182" t="s">
        <v>88</v>
      </c>
      <c r="G1182" t="s">
        <v>1155</v>
      </c>
      <c r="I1182" t="s">
        <v>454</v>
      </c>
      <c r="J1182" t="s">
        <v>13</v>
      </c>
      <c r="K1182" t="str">
        <f>"98203"</f>
        <v>98203</v>
      </c>
      <c r="L1182">
        <v>16</v>
      </c>
      <c r="M1182">
        <v>14</v>
      </c>
      <c r="N1182">
        <v>2</v>
      </c>
    </row>
    <row r="1183" spans="1:14" x14ac:dyDescent="0.25">
      <c r="A1183" t="s">
        <v>549</v>
      </c>
      <c r="B1183" t="s">
        <v>550</v>
      </c>
      <c r="C1183" t="s">
        <v>87</v>
      </c>
      <c r="D1183" t="s">
        <v>13</v>
      </c>
      <c r="E1183" t="str">
        <f>"98513"</f>
        <v>98513</v>
      </c>
      <c r="F1183" t="s">
        <v>88</v>
      </c>
      <c r="G1183" t="s">
        <v>551</v>
      </c>
      <c r="I1183" t="s">
        <v>93</v>
      </c>
      <c r="J1183" t="s">
        <v>13</v>
      </c>
      <c r="K1183" t="str">
        <f>"98509"</f>
        <v>98509</v>
      </c>
      <c r="L1183">
        <v>58</v>
      </c>
      <c r="M1183">
        <v>46</v>
      </c>
      <c r="N1183">
        <v>12</v>
      </c>
    </row>
    <row r="1184" spans="1:14" x14ac:dyDescent="0.25">
      <c r="A1184" t="s">
        <v>2028</v>
      </c>
      <c r="B1184" t="s">
        <v>2029</v>
      </c>
      <c r="C1184" t="s">
        <v>87</v>
      </c>
      <c r="D1184" t="s">
        <v>13</v>
      </c>
      <c r="E1184" t="str">
        <f>"98502"</f>
        <v>98502</v>
      </c>
      <c r="F1184" t="s">
        <v>88</v>
      </c>
      <c r="G1184" t="s">
        <v>1104</v>
      </c>
      <c r="I1184" t="s">
        <v>454</v>
      </c>
      <c r="J1184" t="s">
        <v>13</v>
      </c>
      <c r="K1184" t="str">
        <f>"98208"</f>
        <v>98208</v>
      </c>
      <c r="L1184">
        <v>245</v>
      </c>
      <c r="M1184">
        <v>210</v>
      </c>
      <c r="N1184">
        <v>35</v>
      </c>
    </row>
    <row r="1185" spans="1:14" x14ac:dyDescent="0.25">
      <c r="A1185" t="s">
        <v>2360</v>
      </c>
      <c r="B1185" t="s">
        <v>2361</v>
      </c>
      <c r="C1185" t="s">
        <v>625</v>
      </c>
      <c r="D1185" t="s">
        <v>13</v>
      </c>
      <c r="E1185" t="str">
        <f>"98589"</f>
        <v>98589</v>
      </c>
      <c r="F1185" t="s">
        <v>88</v>
      </c>
      <c r="G1185" t="s">
        <v>2362</v>
      </c>
      <c r="I1185" t="s">
        <v>625</v>
      </c>
      <c r="J1185" t="s">
        <v>13</v>
      </c>
      <c r="K1185" t="str">
        <f>"98589"</f>
        <v>98589</v>
      </c>
      <c r="L1185">
        <v>18</v>
      </c>
      <c r="M1185">
        <v>5</v>
      </c>
      <c r="N1185">
        <v>13</v>
      </c>
    </row>
    <row r="1186" spans="1:14" x14ac:dyDescent="0.25">
      <c r="A1186" t="s">
        <v>4008</v>
      </c>
      <c r="B1186" t="s">
        <v>4009</v>
      </c>
      <c r="C1186" t="s">
        <v>87</v>
      </c>
      <c r="D1186" t="s">
        <v>13</v>
      </c>
      <c r="E1186" t="str">
        <f>"98513"</f>
        <v>98513</v>
      </c>
      <c r="F1186" t="s">
        <v>88</v>
      </c>
      <c r="G1186" t="s">
        <v>4007</v>
      </c>
      <c r="I1186" t="s">
        <v>2605</v>
      </c>
      <c r="J1186" t="s">
        <v>821</v>
      </c>
      <c r="K1186" t="str">
        <f>"97405"</f>
        <v>97405</v>
      </c>
      <c r="L1186">
        <v>38</v>
      </c>
      <c r="M1186">
        <v>38</v>
      </c>
      <c r="N1186">
        <v>0</v>
      </c>
    </row>
    <row r="1187" spans="1:14" x14ac:dyDescent="0.25">
      <c r="A1187" t="s">
        <v>2992</v>
      </c>
      <c r="B1187" t="s">
        <v>2993</v>
      </c>
      <c r="C1187" t="s">
        <v>87</v>
      </c>
      <c r="D1187" t="s">
        <v>13</v>
      </c>
      <c r="E1187" t="str">
        <f>"98513"</f>
        <v>98513</v>
      </c>
      <c r="F1187" t="s">
        <v>88</v>
      </c>
      <c r="G1187" t="s">
        <v>2994</v>
      </c>
      <c r="I1187" t="s">
        <v>1012</v>
      </c>
      <c r="J1187" t="s">
        <v>13</v>
      </c>
      <c r="K1187" t="str">
        <f>"98576"</f>
        <v>98576</v>
      </c>
      <c r="L1187">
        <v>28</v>
      </c>
      <c r="M1187">
        <v>13</v>
      </c>
      <c r="N1187">
        <v>15</v>
      </c>
    </row>
    <row r="1188" spans="1:14" x14ac:dyDescent="0.25">
      <c r="A1188" t="s">
        <v>410</v>
      </c>
      <c r="B1188" t="s">
        <v>411</v>
      </c>
      <c r="C1188" t="s">
        <v>87</v>
      </c>
      <c r="D1188" t="s">
        <v>13</v>
      </c>
      <c r="E1188" t="str">
        <f>"98506"</f>
        <v>98506</v>
      </c>
      <c r="F1188" t="s">
        <v>88</v>
      </c>
      <c r="G1188" t="s">
        <v>412</v>
      </c>
      <c r="I1188" t="s">
        <v>87</v>
      </c>
      <c r="J1188" t="s">
        <v>13</v>
      </c>
      <c r="K1188" t="str">
        <f>"98506"</f>
        <v>98506</v>
      </c>
      <c r="L1188">
        <v>26</v>
      </c>
      <c r="M1188">
        <v>25</v>
      </c>
      <c r="N1188">
        <v>1</v>
      </c>
    </row>
    <row r="1189" spans="1:14" x14ac:dyDescent="0.25">
      <c r="A1189" t="s">
        <v>3258</v>
      </c>
      <c r="B1189" t="s">
        <v>3259</v>
      </c>
      <c r="C1189" t="s">
        <v>571</v>
      </c>
      <c r="D1189" t="s">
        <v>13</v>
      </c>
      <c r="E1189" t="str">
        <f>"98579"</f>
        <v>98579</v>
      </c>
      <c r="F1189" t="s">
        <v>88</v>
      </c>
      <c r="G1189" t="s">
        <v>3260</v>
      </c>
      <c r="I1189" t="s">
        <v>571</v>
      </c>
      <c r="J1189" t="s">
        <v>13</v>
      </c>
      <c r="K1189" t="str">
        <f>"98579"</f>
        <v>98579</v>
      </c>
      <c r="L1189">
        <v>6</v>
      </c>
      <c r="M1189">
        <v>6</v>
      </c>
      <c r="N1189">
        <v>0</v>
      </c>
    </row>
    <row r="1190" spans="1:14" x14ac:dyDescent="0.25">
      <c r="A1190" t="s">
        <v>2932</v>
      </c>
      <c r="B1190" t="s">
        <v>2933</v>
      </c>
      <c r="C1190" t="s">
        <v>678</v>
      </c>
      <c r="D1190" t="s">
        <v>13</v>
      </c>
      <c r="E1190" t="str">
        <f>"98512"</f>
        <v>98512</v>
      </c>
      <c r="F1190" t="s">
        <v>88</v>
      </c>
      <c r="G1190" t="s">
        <v>2934</v>
      </c>
      <c r="I1190" t="s">
        <v>750</v>
      </c>
      <c r="J1190" t="s">
        <v>13</v>
      </c>
      <c r="K1190" t="str">
        <f>"98596"</f>
        <v>98596</v>
      </c>
      <c r="L1190">
        <v>3</v>
      </c>
      <c r="M1190">
        <v>3</v>
      </c>
      <c r="N1190">
        <v>0</v>
      </c>
    </row>
    <row r="1191" spans="1:14" x14ac:dyDescent="0.25">
      <c r="A1191" t="s">
        <v>2025</v>
      </c>
      <c r="B1191" t="s">
        <v>2026</v>
      </c>
      <c r="C1191" t="s">
        <v>1014</v>
      </c>
      <c r="D1191" t="s">
        <v>13</v>
      </c>
      <c r="E1191" t="str">
        <f>"98597"</f>
        <v>98597</v>
      </c>
      <c r="F1191" t="s">
        <v>88</v>
      </c>
      <c r="G1191" t="s">
        <v>2027</v>
      </c>
      <c r="I1191" t="s">
        <v>443</v>
      </c>
      <c r="J1191" t="s">
        <v>13</v>
      </c>
      <c r="K1191" t="str">
        <f>"98014"</f>
        <v>98014</v>
      </c>
      <c r="L1191">
        <v>25</v>
      </c>
      <c r="M1191">
        <v>25</v>
      </c>
      <c r="N1191">
        <v>0</v>
      </c>
    </row>
    <row r="1192" spans="1:14" x14ac:dyDescent="0.25">
      <c r="A1192" t="s">
        <v>1375</v>
      </c>
      <c r="B1192" t="s">
        <v>1376</v>
      </c>
      <c r="C1192" t="s">
        <v>678</v>
      </c>
      <c r="D1192" t="s">
        <v>13</v>
      </c>
      <c r="E1192" t="str">
        <f>"98512"</f>
        <v>98512</v>
      </c>
      <c r="F1192" t="s">
        <v>88</v>
      </c>
      <c r="G1192" t="s">
        <v>1377</v>
      </c>
      <c r="I1192" t="s">
        <v>1338</v>
      </c>
      <c r="J1192" t="s">
        <v>13</v>
      </c>
      <c r="K1192" t="str">
        <f>"99148"</f>
        <v>99148</v>
      </c>
      <c r="L1192">
        <v>56</v>
      </c>
      <c r="M1192">
        <v>53</v>
      </c>
      <c r="N1192">
        <v>3</v>
      </c>
    </row>
    <row r="1193" spans="1:14" x14ac:dyDescent="0.25">
      <c r="A1193" t="s">
        <v>3672</v>
      </c>
      <c r="B1193" t="s">
        <v>3673</v>
      </c>
      <c r="C1193" t="s">
        <v>1014</v>
      </c>
      <c r="D1193" t="s">
        <v>13</v>
      </c>
      <c r="E1193" t="str">
        <f>"98597"</f>
        <v>98597</v>
      </c>
      <c r="F1193" t="s">
        <v>88</v>
      </c>
      <c r="G1193" t="s">
        <v>3674</v>
      </c>
      <c r="I1193" t="s">
        <v>146</v>
      </c>
      <c r="J1193" t="s">
        <v>13</v>
      </c>
      <c r="K1193" t="str">
        <f>"98374"</f>
        <v>98374</v>
      </c>
      <c r="L1193">
        <v>42</v>
      </c>
      <c r="M1193">
        <v>42</v>
      </c>
      <c r="N1193">
        <v>0</v>
      </c>
    </row>
    <row r="1194" spans="1:14" x14ac:dyDescent="0.25">
      <c r="A1194" t="s">
        <v>1740</v>
      </c>
      <c r="B1194" t="s">
        <v>1741</v>
      </c>
      <c r="C1194" t="s">
        <v>87</v>
      </c>
      <c r="D1194" t="s">
        <v>13</v>
      </c>
      <c r="E1194" t="str">
        <f>"98512"</f>
        <v>98512</v>
      </c>
      <c r="F1194" t="s">
        <v>88</v>
      </c>
      <c r="G1194" t="s">
        <v>1739</v>
      </c>
      <c r="I1194" t="s">
        <v>1484</v>
      </c>
      <c r="J1194" t="s">
        <v>13</v>
      </c>
      <c r="K1194" t="str">
        <f>"98083"</f>
        <v>98083</v>
      </c>
      <c r="L1194">
        <v>76</v>
      </c>
      <c r="M1194">
        <v>65</v>
      </c>
      <c r="N1194">
        <v>11</v>
      </c>
    </row>
    <row r="1195" spans="1:14" x14ac:dyDescent="0.25">
      <c r="A1195" t="s">
        <v>4005</v>
      </c>
      <c r="B1195" t="s">
        <v>4006</v>
      </c>
      <c r="C1195" t="s">
        <v>87</v>
      </c>
      <c r="D1195" t="s">
        <v>13</v>
      </c>
      <c r="E1195" t="str">
        <f>"98513"</f>
        <v>98513</v>
      </c>
      <c r="F1195" t="s">
        <v>88</v>
      </c>
      <c r="G1195" t="s">
        <v>4007</v>
      </c>
      <c r="I1195" t="s">
        <v>2605</v>
      </c>
      <c r="J1195" t="s">
        <v>821</v>
      </c>
      <c r="K1195" t="str">
        <f>"97405"</f>
        <v>97405</v>
      </c>
      <c r="L1195">
        <v>53</v>
      </c>
      <c r="M1195">
        <v>53</v>
      </c>
      <c r="N1195">
        <v>0</v>
      </c>
    </row>
    <row r="1196" spans="1:14" x14ac:dyDescent="0.25">
      <c r="A1196" t="s">
        <v>1572</v>
      </c>
      <c r="B1196" t="s">
        <v>1573</v>
      </c>
      <c r="C1196" t="s">
        <v>93</v>
      </c>
      <c r="D1196" t="s">
        <v>13</v>
      </c>
      <c r="E1196" t="str">
        <f>"98503"</f>
        <v>98503</v>
      </c>
      <c r="F1196" t="s">
        <v>88</v>
      </c>
      <c r="G1196" t="s">
        <v>326</v>
      </c>
      <c r="I1196" t="s">
        <v>107</v>
      </c>
      <c r="J1196" t="s">
        <v>13</v>
      </c>
      <c r="K1196" t="str">
        <f>"98105"</f>
        <v>98105</v>
      </c>
      <c r="L1196">
        <v>148</v>
      </c>
      <c r="M1196">
        <v>148</v>
      </c>
      <c r="N1196">
        <v>0</v>
      </c>
    </row>
    <row r="1197" spans="1:14" x14ac:dyDescent="0.25">
      <c r="A1197" t="s">
        <v>2873</v>
      </c>
      <c r="B1197" t="s">
        <v>2874</v>
      </c>
      <c r="C1197" t="s">
        <v>87</v>
      </c>
      <c r="D1197" t="s">
        <v>13</v>
      </c>
      <c r="E1197" t="str">
        <f>"98512"</f>
        <v>98512</v>
      </c>
      <c r="F1197" t="s">
        <v>88</v>
      </c>
      <c r="G1197" t="s">
        <v>2869</v>
      </c>
      <c r="I1197" t="s">
        <v>2870</v>
      </c>
      <c r="J1197" t="s">
        <v>13</v>
      </c>
      <c r="K1197" t="str">
        <f>"98004"</f>
        <v>98004</v>
      </c>
      <c r="L1197">
        <v>73</v>
      </c>
      <c r="M1197">
        <v>70</v>
      </c>
      <c r="N1197">
        <v>3</v>
      </c>
    </row>
    <row r="1198" spans="1:14" x14ac:dyDescent="0.25">
      <c r="A1198" t="s">
        <v>1378</v>
      </c>
      <c r="B1198" t="s">
        <v>1379</v>
      </c>
      <c r="C1198" t="s">
        <v>571</v>
      </c>
      <c r="D1198" t="s">
        <v>13</v>
      </c>
      <c r="E1198" t="str">
        <f>"98579"</f>
        <v>98579</v>
      </c>
      <c r="F1198" t="s">
        <v>88</v>
      </c>
      <c r="G1198" t="s">
        <v>1380</v>
      </c>
      <c r="I1198" t="s">
        <v>383</v>
      </c>
      <c r="J1198" t="s">
        <v>13</v>
      </c>
      <c r="K1198" t="str">
        <f>"98328"</f>
        <v>98328</v>
      </c>
      <c r="L1198">
        <v>27</v>
      </c>
      <c r="M1198">
        <v>27</v>
      </c>
      <c r="N1198">
        <v>0</v>
      </c>
    </row>
    <row r="1199" spans="1:14" x14ac:dyDescent="0.25">
      <c r="A1199" t="s">
        <v>2114</v>
      </c>
      <c r="B1199" t="s">
        <v>2115</v>
      </c>
      <c r="C1199" t="s">
        <v>87</v>
      </c>
      <c r="D1199" t="s">
        <v>13</v>
      </c>
      <c r="E1199" t="str">
        <f>"98513"</f>
        <v>98513</v>
      </c>
      <c r="F1199" t="s">
        <v>88</v>
      </c>
      <c r="G1199" t="s">
        <v>2116</v>
      </c>
      <c r="I1199" t="s">
        <v>87</v>
      </c>
      <c r="J1199" t="s">
        <v>13</v>
      </c>
      <c r="K1199" t="str">
        <f>"98513"</f>
        <v>98513</v>
      </c>
      <c r="L1199">
        <v>100</v>
      </c>
      <c r="M1199">
        <v>89</v>
      </c>
      <c r="N1199">
        <v>11</v>
      </c>
    </row>
    <row r="1200" spans="1:14" x14ac:dyDescent="0.25">
      <c r="A1200" t="s">
        <v>495</v>
      </c>
      <c r="B1200" t="s">
        <v>496</v>
      </c>
      <c r="C1200" t="s">
        <v>87</v>
      </c>
      <c r="D1200" t="s">
        <v>13</v>
      </c>
      <c r="E1200" t="str">
        <f>"98513"</f>
        <v>98513</v>
      </c>
      <c r="F1200" t="s">
        <v>88</v>
      </c>
      <c r="G1200" t="s">
        <v>497</v>
      </c>
      <c r="I1200" t="s">
        <v>498</v>
      </c>
      <c r="J1200" t="s">
        <v>433</v>
      </c>
      <c r="K1200" t="str">
        <f>"92270"</f>
        <v>92270</v>
      </c>
      <c r="L1200">
        <v>40</v>
      </c>
      <c r="M1200">
        <v>39</v>
      </c>
      <c r="N1200">
        <v>1</v>
      </c>
    </row>
    <row r="1201" spans="1:14" x14ac:dyDescent="0.25">
      <c r="A1201" t="s">
        <v>1832</v>
      </c>
      <c r="B1201" t="s">
        <v>1833</v>
      </c>
      <c r="C1201" t="s">
        <v>87</v>
      </c>
      <c r="D1201" t="s">
        <v>13</v>
      </c>
      <c r="E1201" t="str">
        <f>"98512"</f>
        <v>98512</v>
      </c>
      <c r="F1201" t="s">
        <v>88</v>
      </c>
      <c r="G1201" t="s">
        <v>1834</v>
      </c>
      <c r="I1201" t="s">
        <v>93</v>
      </c>
      <c r="J1201" t="s">
        <v>13</v>
      </c>
      <c r="K1201" t="str">
        <f>"98509"</f>
        <v>98509</v>
      </c>
      <c r="L1201">
        <v>40</v>
      </c>
      <c r="M1201">
        <v>32</v>
      </c>
      <c r="N1201">
        <v>8</v>
      </c>
    </row>
    <row r="1202" spans="1:14" x14ac:dyDescent="0.25">
      <c r="A1202" t="s">
        <v>1144</v>
      </c>
      <c r="B1202" t="s">
        <v>1145</v>
      </c>
      <c r="C1202" t="s">
        <v>93</v>
      </c>
      <c r="D1202" t="s">
        <v>13</v>
      </c>
      <c r="E1202" t="str">
        <f>"98516"</f>
        <v>98516</v>
      </c>
      <c r="F1202" t="s">
        <v>88</v>
      </c>
      <c r="G1202" t="s">
        <v>1104</v>
      </c>
      <c r="I1202" t="s">
        <v>454</v>
      </c>
      <c r="J1202" t="s">
        <v>13</v>
      </c>
      <c r="K1202" t="str">
        <f>"98208"</f>
        <v>98208</v>
      </c>
      <c r="L1202">
        <v>33</v>
      </c>
      <c r="M1202">
        <v>12</v>
      </c>
      <c r="N1202">
        <v>21</v>
      </c>
    </row>
    <row r="1203" spans="1:14" x14ac:dyDescent="0.25">
      <c r="A1203" t="s">
        <v>2106</v>
      </c>
      <c r="B1203" t="s">
        <v>2107</v>
      </c>
      <c r="C1203" t="s">
        <v>93</v>
      </c>
      <c r="D1203" t="s">
        <v>13</v>
      </c>
      <c r="E1203" t="str">
        <f>"98503"</f>
        <v>98503</v>
      </c>
      <c r="F1203" t="s">
        <v>88</v>
      </c>
      <c r="G1203" t="s">
        <v>2108</v>
      </c>
      <c r="I1203" t="s">
        <v>605</v>
      </c>
      <c r="J1203" t="s">
        <v>13</v>
      </c>
      <c r="K1203" t="str">
        <f>"98005"</f>
        <v>98005</v>
      </c>
      <c r="L1203">
        <v>19</v>
      </c>
      <c r="M1203">
        <v>19</v>
      </c>
      <c r="N1203">
        <v>0</v>
      </c>
    </row>
    <row r="1204" spans="1:14" x14ac:dyDescent="0.25">
      <c r="A1204" t="s">
        <v>3543</v>
      </c>
      <c r="B1204" t="s">
        <v>3544</v>
      </c>
      <c r="C1204" t="s">
        <v>87</v>
      </c>
      <c r="D1204" t="s">
        <v>13</v>
      </c>
      <c r="E1204" t="str">
        <f>"98501"</f>
        <v>98501</v>
      </c>
      <c r="F1204" t="s">
        <v>88</v>
      </c>
      <c r="G1204" t="s">
        <v>3545</v>
      </c>
      <c r="I1204" t="s">
        <v>30</v>
      </c>
      <c r="J1204" t="s">
        <v>13</v>
      </c>
      <c r="K1204" t="str">
        <f>"98668"</f>
        <v>98668</v>
      </c>
      <c r="L1204">
        <v>78</v>
      </c>
      <c r="M1204">
        <v>78</v>
      </c>
      <c r="N1204">
        <v>0</v>
      </c>
    </row>
    <row r="1205" spans="1:14" x14ac:dyDescent="0.25">
      <c r="A1205" t="s">
        <v>3574</v>
      </c>
      <c r="B1205" t="s">
        <v>3575</v>
      </c>
      <c r="C1205" t="s">
        <v>87</v>
      </c>
      <c r="D1205" t="s">
        <v>13</v>
      </c>
      <c r="E1205" t="str">
        <f>"98512"</f>
        <v>98512</v>
      </c>
      <c r="F1205" t="s">
        <v>88</v>
      </c>
      <c r="G1205" t="s">
        <v>3575</v>
      </c>
      <c r="I1205" t="s">
        <v>87</v>
      </c>
      <c r="J1205" t="s">
        <v>13</v>
      </c>
      <c r="K1205" t="str">
        <f>"98512"</f>
        <v>98512</v>
      </c>
      <c r="L1205">
        <v>60</v>
      </c>
      <c r="M1205">
        <v>60</v>
      </c>
      <c r="N1205">
        <v>0</v>
      </c>
    </row>
    <row r="1206" spans="1:14" x14ac:dyDescent="0.25">
      <c r="A1206" t="s">
        <v>2088</v>
      </c>
      <c r="B1206" t="s">
        <v>2089</v>
      </c>
      <c r="C1206" t="s">
        <v>93</v>
      </c>
      <c r="D1206" t="s">
        <v>13</v>
      </c>
      <c r="E1206" t="str">
        <f>"98503"</f>
        <v>98503</v>
      </c>
      <c r="F1206" t="s">
        <v>88</v>
      </c>
      <c r="G1206" t="s">
        <v>1628</v>
      </c>
      <c r="I1206" t="s">
        <v>107</v>
      </c>
      <c r="J1206" t="s">
        <v>13</v>
      </c>
      <c r="K1206" t="str">
        <f>"98103"</f>
        <v>98103</v>
      </c>
      <c r="L1206">
        <v>157</v>
      </c>
      <c r="M1206">
        <v>157</v>
      </c>
      <c r="N1206">
        <v>0</v>
      </c>
    </row>
    <row r="1207" spans="1:14" x14ac:dyDescent="0.25">
      <c r="A1207" t="s">
        <v>1010</v>
      </c>
      <c r="B1207" t="s">
        <v>1011</v>
      </c>
      <c r="C1207" t="s">
        <v>1012</v>
      </c>
      <c r="D1207" t="s">
        <v>13</v>
      </c>
      <c r="E1207" t="str">
        <f>"98576"</f>
        <v>98576</v>
      </c>
      <c r="F1207" t="s">
        <v>88</v>
      </c>
      <c r="G1207" t="s">
        <v>1013</v>
      </c>
      <c r="I1207" t="s">
        <v>1012</v>
      </c>
      <c r="J1207" t="s">
        <v>13</v>
      </c>
      <c r="K1207" t="str">
        <f>"98576"</f>
        <v>98576</v>
      </c>
      <c r="L1207">
        <v>10</v>
      </c>
      <c r="M1207">
        <v>10</v>
      </c>
      <c r="N1207">
        <v>0</v>
      </c>
    </row>
    <row r="1208" spans="1:14" x14ac:dyDescent="0.25">
      <c r="A1208" t="s">
        <v>2795</v>
      </c>
      <c r="B1208" t="s">
        <v>2796</v>
      </c>
      <c r="C1208" t="s">
        <v>87</v>
      </c>
      <c r="D1208" t="s">
        <v>13</v>
      </c>
      <c r="E1208" t="str">
        <f>"98506"</f>
        <v>98506</v>
      </c>
      <c r="F1208" t="s">
        <v>88</v>
      </c>
      <c r="G1208" t="s">
        <v>2377</v>
      </c>
      <c r="I1208" t="s">
        <v>148</v>
      </c>
      <c r="J1208" t="s">
        <v>13</v>
      </c>
      <c r="K1208" t="str">
        <f>"98335"</f>
        <v>98335</v>
      </c>
      <c r="L1208">
        <v>43</v>
      </c>
      <c r="M1208">
        <v>43</v>
      </c>
      <c r="N1208">
        <v>0</v>
      </c>
    </row>
    <row r="1209" spans="1:14" x14ac:dyDescent="0.25">
      <c r="A1209" t="s">
        <v>1318</v>
      </c>
      <c r="B1209" t="s">
        <v>1319</v>
      </c>
      <c r="C1209" t="s">
        <v>87</v>
      </c>
      <c r="D1209" t="s">
        <v>13</v>
      </c>
      <c r="E1209" t="str">
        <f>"98513"</f>
        <v>98513</v>
      </c>
      <c r="F1209" t="s">
        <v>88</v>
      </c>
      <c r="G1209" t="s">
        <v>1022</v>
      </c>
      <c r="I1209" t="s">
        <v>561</v>
      </c>
      <c r="J1209" t="s">
        <v>13</v>
      </c>
      <c r="K1209" t="str">
        <f>"98028"</f>
        <v>98028</v>
      </c>
      <c r="L1209">
        <v>150</v>
      </c>
      <c r="M1209">
        <v>131</v>
      </c>
      <c r="N1209">
        <v>19</v>
      </c>
    </row>
    <row r="1210" spans="1:14" x14ac:dyDescent="0.25">
      <c r="A1210" t="s">
        <v>2668</v>
      </c>
      <c r="B1210" t="s">
        <v>2669</v>
      </c>
      <c r="C1210" t="s">
        <v>571</v>
      </c>
      <c r="D1210" t="s">
        <v>13</v>
      </c>
      <c r="E1210" t="str">
        <f>"98579"</f>
        <v>98579</v>
      </c>
      <c r="F1210" t="s">
        <v>88</v>
      </c>
      <c r="G1210" t="s">
        <v>2670</v>
      </c>
      <c r="H1210" t="s">
        <v>2022</v>
      </c>
      <c r="I1210" t="s">
        <v>681</v>
      </c>
      <c r="J1210" t="s">
        <v>13</v>
      </c>
      <c r="K1210" t="str">
        <f>"98093"</f>
        <v>98093</v>
      </c>
      <c r="L1210">
        <v>65</v>
      </c>
      <c r="M1210">
        <v>63</v>
      </c>
      <c r="N1210">
        <v>2</v>
      </c>
    </row>
    <row r="1211" spans="1:14" x14ac:dyDescent="0.25">
      <c r="A1211" t="s">
        <v>626</v>
      </c>
      <c r="B1211" t="s">
        <v>627</v>
      </c>
      <c r="C1211" t="s">
        <v>571</v>
      </c>
      <c r="D1211" t="s">
        <v>13</v>
      </c>
      <c r="E1211" t="str">
        <f>"98579"</f>
        <v>98579</v>
      </c>
      <c r="F1211" t="s">
        <v>88</v>
      </c>
      <c r="G1211" t="s">
        <v>628</v>
      </c>
      <c r="I1211" t="s">
        <v>629</v>
      </c>
      <c r="J1211" t="s">
        <v>630</v>
      </c>
      <c r="K1211" t="str">
        <f>"96737"</f>
        <v>96737</v>
      </c>
      <c r="L1211">
        <v>10</v>
      </c>
      <c r="M1211">
        <v>6</v>
      </c>
      <c r="N1211">
        <v>4</v>
      </c>
    </row>
    <row r="1212" spans="1:14" x14ac:dyDescent="0.25">
      <c r="A1212" t="s">
        <v>1966</v>
      </c>
      <c r="B1212" t="s">
        <v>1967</v>
      </c>
      <c r="C1212" t="s">
        <v>87</v>
      </c>
      <c r="D1212" t="s">
        <v>13</v>
      </c>
      <c r="E1212" t="str">
        <f>"98506"</f>
        <v>98506</v>
      </c>
      <c r="F1212" t="s">
        <v>88</v>
      </c>
      <c r="G1212" t="s">
        <v>1104</v>
      </c>
      <c r="I1212" t="s">
        <v>454</v>
      </c>
      <c r="J1212" t="s">
        <v>13</v>
      </c>
      <c r="K1212" t="str">
        <f>"98208"</f>
        <v>98208</v>
      </c>
      <c r="L1212">
        <v>116</v>
      </c>
      <c r="M1212">
        <v>108</v>
      </c>
      <c r="N1212">
        <v>8</v>
      </c>
    </row>
    <row r="1213" spans="1:14" x14ac:dyDescent="0.25">
      <c r="A1213" t="s">
        <v>569</v>
      </c>
      <c r="B1213" t="s">
        <v>570</v>
      </c>
      <c r="C1213" t="s">
        <v>571</v>
      </c>
      <c r="D1213" t="s">
        <v>13</v>
      </c>
      <c r="E1213" t="str">
        <f>"98579"</f>
        <v>98579</v>
      </c>
      <c r="F1213" t="s">
        <v>88</v>
      </c>
      <c r="G1213" t="s">
        <v>572</v>
      </c>
      <c r="I1213" t="s">
        <v>571</v>
      </c>
      <c r="J1213" t="s">
        <v>13</v>
      </c>
      <c r="K1213" t="str">
        <f>"98579"</f>
        <v>98579</v>
      </c>
      <c r="L1213">
        <v>14</v>
      </c>
      <c r="M1213">
        <v>13</v>
      </c>
      <c r="N1213">
        <v>1</v>
      </c>
    </row>
    <row r="1214" spans="1:14" x14ac:dyDescent="0.25">
      <c r="A1214" t="s">
        <v>1662</v>
      </c>
      <c r="B1214" t="s">
        <v>1663</v>
      </c>
      <c r="C1214" t="s">
        <v>87</v>
      </c>
      <c r="D1214" t="s">
        <v>13</v>
      </c>
      <c r="E1214" t="str">
        <f>"98516"</f>
        <v>98516</v>
      </c>
      <c r="F1214" t="s">
        <v>88</v>
      </c>
      <c r="G1214" t="s">
        <v>1663</v>
      </c>
      <c r="I1214" t="s">
        <v>87</v>
      </c>
      <c r="J1214" t="s">
        <v>13</v>
      </c>
      <c r="K1214" t="str">
        <f>"98516"</f>
        <v>98516</v>
      </c>
      <c r="L1214">
        <v>4</v>
      </c>
      <c r="M1214">
        <v>4</v>
      </c>
      <c r="N1214">
        <v>0</v>
      </c>
    </row>
    <row r="1215" spans="1:14" x14ac:dyDescent="0.25">
      <c r="A1215" t="s">
        <v>1421</v>
      </c>
      <c r="B1215" t="s">
        <v>1422</v>
      </c>
      <c r="C1215" t="s">
        <v>93</v>
      </c>
      <c r="D1215" t="s">
        <v>13</v>
      </c>
      <c r="E1215" t="str">
        <f>"98516"</f>
        <v>98516</v>
      </c>
      <c r="F1215" t="s">
        <v>88</v>
      </c>
      <c r="G1215" t="s">
        <v>1423</v>
      </c>
      <c r="I1215" t="s">
        <v>359</v>
      </c>
      <c r="J1215" t="s">
        <v>13</v>
      </c>
      <c r="K1215" t="str">
        <f>"98031"</f>
        <v>98031</v>
      </c>
      <c r="L1215">
        <v>30</v>
      </c>
      <c r="M1215">
        <v>30</v>
      </c>
      <c r="N1215">
        <v>0</v>
      </c>
    </row>
    <row r="1216" spans="1:14" x14ac:dyDescent="0.25">
      <c r="A1216" t="s">
        <v>3578</v>
      </c>
      <c r="B1216" t="s">
        <v>3577</v>
      </c>
      <c r="C1216" t="s">
        <v>87</v>
      </c>
      <c r="D1216" t="s">
        <v>13</v>
      </c>
      <c r="E1216" t="str">
        <f>"98501"</f>
        <v>98501</v>
      </c>
      <c r="F1216" t="s">
        <v>88</v>
      </c>
      <c r="G1216" t="s">
        <v>3577</v>
      </c>
      <c r="I1216" t="s">
        <v>87</v>
      </c>
      <c r="J1216" t="s">
        <v>13</v>
      </c>
      <c r="K1216" t="str">
        <f>"98501"</f>
        <v>98501</v>
      </c>
      <c r="L1216">
        <v>90</v>
      </c>
      <c r="M1216">
        <v>71</v>
      </c>
      <c r="N1216">
        <v>19</v>
      </c>
    </row>
    <row r="1217" spans="1:14" x14ac:dyDescent="0.25">
      <c r="A1217" t="s">
        <v>3831</v>
      </c>
      <c r="B1217" t="s">
        <v>3832</v>
      </c>
      <c r="C1217" t="s">
        <v>1014</v>
      </c>
      <c r="D1217" t="s">
        <v>13</v>
      </c>
      <c r="E1217" t="str">
        <f>"98597"</f>
        <v>98597</v>
      </c>
      <c r="F1217" t="s">
        <v>88</v>
      </c>
      <c r="G1217" t="s">
        <v>3832</v>
      </c>
      <c r="I1217" t="s">
        <v>1014</v>
      </c>
      <c r="J1217" t="s">
        <v>13</v>
      </c>
      <c r="K1217" t="str">
        <f>"98597"</f>
        <v>98597</v>
      </c>
      <c r="L1217">
        <v>20</v>
      </c>
      <c r="M1217">
        <v>20</v>
      </c>
      <c r="N1217">
        <v>0</v>
      </c>
    </row>
    <row r="1218" spans="1:14" x14ac:dyDescent="0.25">
      <c r="A1218" t="s">
        <v>602</v>
      </c>
      <c r="B1218" t="s">
        <v>603</v>
      </c>
      <c r="C1218" t="s">
        <v>87</v>
      </c>
      <c r="D1218" t="s">
        <v>13</v>
      </c>
      <c r="E1218" t="str">
        <f>"98512"</f>
        <v>98512</v>
      </c>
      <c r="F1218" t="s">
        <v>88</v>
      </c>
      <c r="G1218" t="s">
        <v>604</v>
      </c>
      <c r="I1218" t="s">
        <v>605</v>
      </c>
      <c r="J1218" t="s">
        <v>13</v>
      </c>
      <c r="K1218" t="str">
        <f>"98005"</f>
        <v>98005</v>
      </c>
      <c r="L1218">
        <v>60</v>
      </c>
      <c r="M1218">
        <v>55</v>
      </c>
      <c r="N1218">
        <v>5</v>
      </c>
    </row>
    <row r="1219" spans="1:14" x14ac:dyDescent="0.25">
      <c r="A1219" t="s">
        <v>1688</v>
      </c>
      <c r="B1219" t="s">
        <v>1689</v>
      </c>
      <c r="C1219" t="s">
        <v>571</v>
      </c>
      <c r="D1219" t="s">
        <v>13</v>
      </c>
      <c r="E1219" t="str">
        <f>"98579"</f>
        <v>98579</v>
      </c>
      <c r="F1219" t="s">
        <v>88</v>
      </c>
      <c r="G1219" t="s">
        <v>1690</v>
      </c>
      <c r="I1219" t="s">
        <v>107</v>
      </c>
      <c r="J1219" t="s">
        <v>13</v>
      </c>
      <c r="K1219" t="str">
        <f>"98116"</f>
        <v>98116</v>
      </c>
      <c r="L1219">
        <v>61</v>
      </c>
      <c r="M1219">
        <v>61</v>
      </c>
      <c r="N1219">
        <v>0</v>
      </c>
    </row>
    <row r="1220" spans="1:14" x14ac:dyDescent="0.25">
      <c r="A1220" t="s">
        <v>623</v>
      </c>
      <c r="B1220" t="s">
        <v>624</v>
      </c>
      <c r="C1220" t="s">
        <v>625</v>
      </c>
      <c r="D1220" t="s">
        <v>13</v>
      </c>
      <c r="E1220" t="str">
        <f>"98589"</f>
        <v>98589</v>
      </c>
      <c r="F1220" t="s">
        <v>88</v>
      </c>
      <c r="G1220" t="s">
        <v>618</v>
      </c>
      <c r="I1220" t="s">
        <v>366</v>
      </c>
      <c r="J1220" t="s">
        <v>13</v>
      </c>
      <c r="K1220" t="str">
        <f>"98367"</f>
        <v>98367</v>
      </c>
      <c r="L1220">
        <v>65</v>
      </c>
      <c r="M1220">
        <v>65</v>
      </c>
      <c r="N1220">
        <v>0</v>
      </c>
    </row>
    <row r="1221" spans="1:14" x14ac:dyDescent="0.25">
      <c r="A1221" t="s">
        <v>1179</v>
      </c>
      <c r="B1221" t="s">
        <v>1180</v>
      </c>
      <c r="C1221" t="s">
        <v>1012</v>
      </c>
      <c r="D1221" t="s">
        <v>13</v>
      </c>
      <c r="E1221" t="str">
        <f>"98576"</f>
        <v>98576</v>
      </c>
      <c r="F1221" t="s">
        <v>88</v>
      </c>
      <c r="G1221" t="s">
        <v>1181</v>
      </c>
      <c r="I1221" t="s">
        <v>1182</v>
      </c>
      <c r="J1221" t="s">
        <v>268</v>
      </c>
      <c r="K1221" t="str">
        <f>"85382"</f>
        <v>85382</v>
      </c>
      <c r="L1221">
        <v>6</v>
      </c>
      <c r="M1221">
        <v>6</v>
      </c>
      <c r="N1221">
        <v>0</v>
      </c>
    </row>
    <row r="1222" spans="1:14" x14ac:dyDescent="0.25">
      <c r="A1222" t="s">
        <v>1291</v>
      </c>
      <c r="B1222" t="s">
        <v>1292</v>
      </c>
      <c r="C1222" t="s">
        <v>678</v>
      </c>
      <c r="D1222" t="s">
        <v>13</v>
      </c>
      <c r="E1222" t="str">
        <f>"98501"</f>
        <v>98501</v>
      </c>
      <c r="F1222" t="s">
        <v>88</v>
      </c>
      <c r="G1222" t="s">
        <v>1293</v>
      </c>
      <c r="I1222" t="s">
        <v>678</v>
      </c>
      <c r="J1222" t="s">
        <v>13</v>
      </c>
      <c r="K1222" t="str">
        <f>"98501"</f>
        <v>98501</v>
      </c>
      <c r="L1222">
        <v>56</v>
      </c>
      <c r="M1222">
        <v>56</v>
      </c>
      <c r="N1222">
        <v>0</v>
      </c>
    </row>
    <row r="1223" spans="1:14" x14ac:dyDescent="0.25">
      <c r="A1223" t="s">
        <v>3135</v>
      </c>
      <c r="B1223" t="s">
        <v>3136</v>
      </c>
      <c r="C1223" t="s">
        <v>87</v>
      </c>
      <c r="D1223" t="s">
        <v>13</v>
      </c>
      <c r="E1223" t="str">
        <f>"98516"</f>
        <v>98516</v>
      </c>
      <c r="F1223" t="s">
        <v>88</v>
      </c>
      <c r="G1223" t="s">
        <v>3137</v>
      </c>
      <c r="I1223" t="s">
        <v>87</v>
      </c>
      <c r="J1223" t="s">
        <v>13</v>
      </c>
      <c r="K1223" t="str">
        <f>"98501"</f>
        <v>98501</v>
      </c>
      <c r="L1223">
        <v>34</v>
      </c>
      <c r="M1223">
        <v>34</v>
      </c>
      <c r="N1223">
        <v>0</v>
      </c>
    </row>
    <row r="1224" spans="1:14" x14ac:dyDescent="0.25">
      <c r="A1224" t="s">
        <v>3138</v>
      </c>
      <c r="B1224" t="s">
        <v>3139</v>
      </c>
      <c r="C1224" t="s">
        <v>87</v>
      </c>
      <c r="D1224" t="s">
        <v>13</v>
      </c>
      <c r="E1224" t="str">
        <f>"98516"</f>
        <v>98516</v>
      </c>
      <c r="F1224" t="s">
        <v>88</v>
      </c>
      <c r="G1224" t="s">
        <v>3137</v>
      </c>
      <c r="I1224" t="s">
        <v>87</v>
      </c>
      <c r="J1224" t="s">
        <v>13</v>
      </c>
      <c r="K1224" t="str">
        <f>"98501"</f>
        <v>98501</v>
      </c>
      <c r="L1224">
        <v>34</v>
      </c>
      <c r="M1224">
        <v>18</v>
      </c>
      <c r="N1224">
        <v>16</v>
      </c>
    </row>
    <row r="1225" spans="1:14" x14ac:dyDescent="0.25">
      <c r="A1225" t="s">
        <v>3520</v>
      </c>
      <c r="B1225" t="s">
        <v>3521</v>
      </c>
      <c r="C1225" t="s">
        <v>87</v>
      </c>
      <c r="D1225" t="s">
        <v>13</v>
      </c>
      <c r="E1225" t="str">
        <f>"98512"</f>
        <v>98512</v>
      </c>
      <c r="F1225" t="s">
        <v>88</v>
      </c>
      <c r="G1225" t="s">
        <v>2861</v>
      </c>
      <c r="I1225" t="s">
        <v>87</v>
      </c>
      <c r="J1225" t="s">
        <v>13</v>
      </c>
      <c r="K1225" t="str">
        <f>"98506"</f>
        <v>98506</v>
      </c>
      <c r="L1225">
        <v>8</v>
      </c>
      <c r="M1225">
        <v>8</v>
      </c>
      <c r="N1225">
        <v>0</v>
      </c>
    </row>
    <row r="1226" spans="1:14" x14ac:dyDescent="0.25">
      <c r="A1226" t="s">
        <v>2326</v>
      </c>
      <c r="B1226" t="s">
        <v>2327</v>
      </c>
      <c r="C1226" t="s">
        <v>625</v>
      </c>
      <c r="D1226" t="s">
        <v>13</v>
      </c>
      <c r="E1226" t="str">
        <f>"98589"</f>
        <v>98589</v>
      </c>
      <c r="F1226" t="s">
        <v>88</v>
      </c>
      <c r="G1226" t="s">
        <v>2328</v>
      </c>
      <c r="I1226" t="s">
        <v>87</v>
      </c>
      <c r="J1226" t="s">
        <v>13</v>
      </c>
      <c r="K1226" t="str">
        <f>"98506"</f>
        <v>98506</v>
      </c>
      <c r="L1226">
        <v>5</v>
      </c>
      <c r="M1226">
        <v>5</v>
      </c>
      <c r="N1226">
        <v>0</v>
      </c>
    </row>
    <row r="1227" spans="1:14" x14ac:dyDescent="0.25">
      <c r="A1227" t="s">
        <v>286</v>
      </c>
      <c r="B1227" t="s">
        <v>287</v>
      </c>
      <c r="C1227" t="s">
        <v>87</v>
      </c>
      <c r="D1227" t="s">
        <v>13</v>
      </c>
      <c r="E1227" t="str">
        <f>"98513"</f>
        <v>98513</v>
      </c>
      <c r="F1227" t="s">
        <v>88</v>
      </c>
      <c r="G1227" t="s">
        <v>288</v>
      </c>
      <c r="I1227" t="s">
        <v>16</v>
      </c>
      <c r="J1227" t="s">
        <v>13</v>
      </c>
      <c r="K1227" t="str">
        <f>"99336"</f>
        <v>99336</v>
      </c>
      <c r="L1227">
        <v>14</v>
      </c>
      <c r="M1227">
        <v>14</v>
      </c>
      <c r="N1227">
        <v>0</v>
      </c>
    </row>
    <row r="1228" spans="1:14" x14ac:dyDescent="0.25">
      <c r="A1228" t="s">
        <v>3645</v>
      </c>
      <c r="B1228" t="s">
        <v>3646</v>
      </c>
      <c r="C1228" t="s">
        <v>678</v>
      </c>
      <c r="D1228" t="s">
        <v>13</v>
      </c>
      <c r="E1228" t="str">
        <f>"98512"</f>
        <v>98512</v>
      </c>
      <c r="F1228" t="s">
        <v>88</v>
      </c>
      <c r="G1228" t="s">
        <v>1428</v>
      </c>
      <c r="H1228" t="s">
        <v>1246</v>
      </c>
      <c r="I1228" t="s">
        <v>605</v>
      </c>
      <c r="J1228" t="s">
        <v>13</v>
      </c>
      <c r="K1228" t="str">
        <f>"98005"</f>
        <v>98005</v>
      </c>
      <c r="L1228">
        <v>39</v>
      </c>
      <c r="M1228">
        <v>39</v>
      </c>
      <c r="N1228">
        <v>0</v>
      </c>
    </row>
    <row r="1229" spans="1:14" x14ac:dyDescent="0.25">
      <c r="A1229" t="s">
        <v>1330</v>
      </c>
      <c r="B1229" t="s">
        <v>1331</v>
      </c>
      <c r="C1229" t="s">
        <v>87</v>
      </c>
      <c r="D1229" t="s">
        <v>13</v>
      </c>
      <c r="E1229" t="str">
        <f>"98501"</f>
        <v>98501</v>
      </c>
      <c r="F1229" t="s">
        <v>88</v>
      </c>
      <c r="G1229" t="s">
        <v>1332</v>
      </c>
      <c r="I1229" t="s">
        <v>93</v>
      </c>
      <c r="J1229" t="s">
        <v>13</v>
      </c>
      <c r="K1229" t="str">
        <f>"98503"</f>
        <v>98503</v>
      </c>
      <c r="L1229">
        <v>12</v>
      </c>
      <c r="M1229">
        <v>4</v>
      </c>
      <c r="N1229">
        <v>8</v>
      </c>
    </row>
    <row r="1230" spans="1:14" x14ac:dyDescent="0.25">
      <c r="A1230" t="s">
        <v>2020</v>
      </c>
      <c r="B1230" t="s">
        <v>2021</v>
      </c>
      <c r="C1230" t="s">
        <v>87</v>
      </c>
      <c r="D1230" t="s">
        <v>13</v>
      </c>
      <c r="E1230" t="str">
        <f>"98501"</f>
        <v>98501</v>
      </c>
      <c r="F1230" t="s">
        <v>88</v>
      </c>
      <c r="G1230" t="s">
        <v>2022</v>
      </c>
      <c r="I1230" t="s">
        <v>681</v>
      </c>
      <c r="J1230" t="s">
        <v>13</v>
      </c>
      <c r="K1230" t="str">
        <f>"98093"</f>
        <v>98093</v>
      </c>
      <c r="L1230">
        <v>27</v>
      </c>
      <c r="M1230">
        <v>27</v>
      </c>
      <c r="N1230">
        <v>0</v>
      </c>
    </row>
    <row r="1231" spans="1:14" x14ac:dyDescent="0.25">
      <c r="A1231" t="s">
        <v>3276</v>
      </c>
      <c r="B1231" t="s">
        <v>3277</v>
      </c>
      <c r="C1231" t="s">
        <v>678</v>
      </c>
      <c r="D1231" t="s">
        <v>13</v>
      </c>
      <c r="E1231" t="str">
        <f>"98512"</f>
        <v>98512</v>
      </c>
      <c r="F1231" t="s">
        <v>88</v>
      </c>
      <c r="G1231" t="s">
        <v>3278</v>
      </c>
      <c r="I1231" t="s">
        <v>681</v>
      </c>
      <c r="J1231" t="s">
        <v>13</v>
      </c>
      <c r="K1231" t="str">
        <f>"98093"</f>
        <v>98093</v>
      </c>
      <c r="L1231">
        <v>66</v>
      </c>
      <c r="M1231">
        <v>66</v>
      </c>
      <c r="N1231">
        <v>0</v>
      </c>
    </row>
    <row r="1232" spans="1:14" x14ac:dyDescent="0.25">
      <c r="A1232" t="s">
        <v>2530</v>
      </c>
      <c r="B1232" t="s">
        <v>2531</v>
      </c>
      <c r="C1232" t="s">
        <v>571</v>
      </c>
      <c r="D1232" t="s">
        <v>13</v>
      </c>
      <c r="E1232" t="str">
        <f>"98579"</f>
        <v>98579</v>
      </c>
      <c r="F1232" t="s">
        <v>88</v>
      </c>
      <c r="G1232" t="s">
        <v>111</v>
      </c>
      <c r="I1232" t="s">
        <v>107</v>
      </c>
      <c r="J1232" t="s">
        <v>13</v>
      </c>
      <c r="K1232" t="str">
        <f>"98105"</f>
        <v>98105</v>
      </c>
      <c r="L1232">
        <v>70</v>
      </c>
      <c r="M1232">
        <v>53</v>
      </c>
      <c r="N1232">
        <v>17</v>
      </c>
    </row>
    <row r="1233" spans="1:14" x14ac:dyDescent="0.25">
      <c r="A1233" t="s">
        <v>3821</v>
      </c>
      <c r="B1233" t="s">
        <v>3822</v>
      </c>
      <c r="C1233" t="s">
        <v>419</v>
      </c>
      <c r="D1233" t="s">
        <v>13</v>
      </c>
      <c r="E1233" t="str">
        <f>"98612"</f>
        <v>98612</v>
      </c>
      <c r="F1233" t="s">
        <v>420</v>
      </c>
      <c r="G1233" t="s">
        <v>3823</v>
      </c>
      <c r="I1233" t="s">
        <v>419</v>
      </c>
      <c r="J1233" t="s">
        <v>13</v>
      </c>
      <c r="K1233" t="str">
        <f>"98612"</f>
        <v>98612</v>
      </c>
      <c r="L1233">
        <v>11</v>
      </c>
      <c r="M1233">
        <v>10</v>
      </c>
      <c r="N1233">
        <v>1</v>
      </c>
    </row>
    <row r="1234" spans="1:14" x14ac:dyDescent="0.25">
      <c r="A1234" t="s">
        <v>417</v>
      </c>
      <c r="B1234" t="s">
        <v>418</v>
      </c>
      <c r="C1234" t="s">
        <v>419</v>
      </c>
      <c r="D1234" t="s">
        <v>13</v>
      </c>
      <c r="E1234" t="str">
        <f>"98612"</f>
        <v>98612</v>
      </c>
      <c r="F1234" t="s">
        <v>420</v>
      </c>
      <c r="G1234" t="s">
        <v>421</v>
      </c>
      <c r="I1234" t="s">
        <v>419</v>
      </c>
      <c r="J1234" t="s">
        <v>13</v>
      </c>
      <c r="K1234" t="str">
        <f>"98612"</f>
        <v>98612</v>
      </c>
      <c r="L1234">
        <v>4</v>
      </c>
      <c r="M1234">
        <v>4</v>
      </c>
      <c r="N1234">
        <v>0</v>
      </c>
    </row>
    <row r="1235" spans="1:14" x14ac:dyDescent="0.25">
      <c r="A1235" t="s">
        <v>3040</v>
      </c>
      <c r="B1235" t="s">
        <v>3041</v>
      </c>
      <c r="C1235" t="s">
        <v>419</v>
      </c>
      <c r="D1235" t="s">
        <v>13</v>
      </c>
      <c r="E1235" t="str">
        <f>"98612"</f>
        <v>98612</v>
      </c>
      <c r="F1235" t="s">
        <v>420</v>
      </c>
      <c r="G1235" t="s">
        <v>3042</v>
      </c>
      <c r="I1235" t="s">
        <v>3043</v>
      </c>
      <c r="J1235" t="s">
        <v>821</v>
      </c>
      <c r="K1235" t="str">
        <f>"97089"</f>
        <v>97089</v>
      </c>
      <c r="L1235">
        <v>69</v>
      </c>
      <c r="M1235">
        <v>69</v>
      </c>
      <c r="N1235">
        <v>0</v>
      </c>
    </row>
    <row r="1236" spans="1:14" x14ac:dyDescent="0.25">
      <c r="A1236" t="s">
        <v>3388</v>
      </c>
      <c r="B1236" t="s">
        <v>3389</v>
      </c>
      <c r="C1236" t="s">
        <v>96</v>
      </c>
      <c r="D1236" t="s">
        <v>13</v>
      </c>
      <c r="E1236" t="str">
        <f>"99362"</f>
        <v>99362</v>
      </c>
      <c r="F1236" t="s">
        <v>96</v>
      </c>
      <c r="G1236" t="s">
        <v>3390</v>
      </c>
      <c r="I1236" t="s">
        <v>96</v>
      </c>
      <c r="J1236" t="s">
        <v>13</v>
      </c>
      <c r="K1236" t="str">
        <f>"99362"</f>
        <v>99362</v>
      </c>
      <c r="L1236">
        <v>69</v>
      </c>
      <c r="M1236">
        <v>60</v>
      </c>
      <c r="N1236">
        <v>9</v>
      </c>
    </row>
    <row r="1237" spans="1:14" x14ac:dyDescent="0.25">
      <c r="A1237" t="s">
        <v>4053</v>
      </c>
      <c r="B1237" t="s">
        <v>4054</v>
      </c>
      <c r="C1237" t="s">
        <v>96</v>
      </c>
      <c r="D1237" t="s">
        <v>13</v>
      </c>
      <c r="E1237" t="str">
        <f>"99362"</f>
        <v>99362</v>
      </c>
      <c r="F1237" t="s">
        <v>96</v>
      </c>
      <c r="G1237" t="s">
        <v>4054</v>
      </c>
      <c r="I1237" t="s">
        <v>96</v>
      </c>
      <c r="J1237" t="s">
        <v>13</v>
      </c>
      <c r="K1237" t="str">
        <f>"99362"</f>
        <v>99362</v>
      </c>
      <c r="L1237">
        <v>25</v>
      </c>
      <c r="M1237">
        <v>25</v>
      </c>
      <c r="N1237">
        <v>0</v>
      </c>
    </row>
    <row r="1238" spans="1:14" x14ac:dyDescent="0.25">
      <c r="A1238" t="s">
        <v>1366</v>
      </c>
      <c r="B1238" t="s">
        <v>1367</v>
      </c>
      <c r="C1238" t="s">
        <v>702</v>
      </c>
      <c r="D1238" t="s">
        <v>13</v>
      </c>
      <c r="E1238" t="str">
        <f>"99324"</f>
        <v>99324</v>
      </c>
      <c r="F1238" t="s">
        <v>96</v>
      </c>
      <c r="G1238" t="s">
        <v>1368</v>
      </c>
      <c r="I1238" t="s">
        <v>342</v>
      </c>
      <c r="J1238" t="s">
        <v>13</v>
      </c>
      <c r="K1238" t="str">
        <f>"99037"</f>
        <v>99037</v>
      </c>
      <c r="L1238">
        <v>140</v>
      </c>
      <c r="M1238">
        <v>137</v>
      </c>
      <c r="N1238">
        <v>3</v>
      </c>
    </row>
    <row r="1239" spans="1:14" x14ac:dyDescent="0.25">
      <c r="A1239" t="s">
        <v>3440</v>
      </c>
      <c r="B1239" t="s">
        <v>3441</v>
      </c>
      <c r="C1239" t="s">
        <v>96</v>
      </c>
      <c r="D1239" t="s">
        <v>13</v>
      </c>
      <c r="E1239" t="str">
        <f>"99362"</f>
        <v>99362</v>
      </c>
      <c r="F1239" t="s">
        <v>96</v>
      </c>
      <c r="G1239" t="s">
        <v>3442</v>
      </c>
      <c r="I1239" t="s">
        <v>342</v>
      </c>
      <c r="J1239" t="s">
        <v>13</v>
      </c>
      <c r="K1239" t="str">
        <f>"99037"</f>
        <v>99037</v>
      </c>
      <c r="L1239">
        <v>160</v>
      </c>
      <c r="M1239">
        <v>157</v>
      </c>
      <c r="N1239">
        <v>3</v>
      </c>
    </row>
    <row r="1240" spans="1:14" x14ac:dyDescent="0.25">
      <c r="A1240" t="s">
        <v>3106</v>
      </c>
      <c r="B1240" t="s">
        <v>3107</v>
      </c>
      <c r="C1240" t="s">
        <v>96</v>
      </c>
      <c r="D1240" t="s">
        <v>13</v>
      </c>
      <c r="E1240" t="str">
        <f>"99362"</f>
        <v>99362</v>
      </c>
      <c r="F1240" t="s">
        <v>96</v>
      </c>
      <c r="G1240" t="s">
        <v>3108</v>
      </c>
      <c r="I1240" t="s">
        <v>96</v>
      </c>
      <c r="J1240" t="s">
        <v>13</v>
      </c>
      <c r="K1240" t="str">
        <f>"99362"</f>
        <v>99362</v>
      </c>
      <c r="L1240">
        <v>30</v>
      </c>
      <c r="M1240">
        <v>30</v>
      </c>
      <c r="N1240">
        <v>0</v>
      </c>
    </row>
    <row r="1241" spans="1:14" x14ac:dyDescent="0.25">
      <c r="A1241" t="s">
        <v>3044</v>
      </c>
      <c r="B1241" t="s">
        <v>3045</v>
      </c>
      <c r="C1241" t="s">
        <v>2272</v>
      </c>
      <c r="D1241" t="s">
        <v>13</v>
      </c>
      <c r="E1241" t="str">
        <f>"99361"</f>
        <v>99361</v>
      </c>
      <c r="F1241" t="s">
        <v>96</v>
      </c>
      <c r="G1241" t="s">
        <v>3046</v>
      </c>
      <c r="I1241" t="s">
        <v>2272</v>
      </c>
      <c r="J1241" t="s">
        <v>13</v>
      </c>
      <c r="K1241" t="str">
        <f>"99361"</f>
        <v>99361</v>
      </c>
      <c r="L1241">
        <v>10</v>
      </c>
      <c r="M1241">
        <v>4</v>
      </c>
      <c r="N1241">
        <v>6</v>
      </c>
    </row>
    <row r="1242" spans="1:14" x14ac:dyDescent="0.25">
      <c r="A1242" t="s">
        <v>3443</v>
      </c>
      <c r="B1242" t="s">
        <v>3444</v>
      </c>
      <c r="C1242" t="s">
        <v>96</v>
      </c>
      <c r="D1242" t="s">
        <v>13</v>
      </c>
      <c r="E1242" t="str">
        <f>"99362"</f>
        <v>99362</v>
      </c>
      <c r="F1242" t="s">
        <v>96</v>
      </c>
      <c r="G1242" t="s">
        <v>3445</v>
      </c>
      <c r="I1242" t="s">
        <v>883</v>
      </c>
      <c r="J1242" t="s">
        <v>13</v>
      </c>
      <c r="K1242" t="str">
        <f>"99352"</f>
        <v>99352</v>
      </c>
      <c r="L1242">
        <v>24</v>
      </c>
      <c r="M1242">
        <v>24</v>
      </c>
      <c r="N1242">
        <v>0</v>
      </c>
    </row>
    <row r="1243" spans="1:14" x14ac:dyDescent="0.25">
      <c r="A1243" t="s">
        <v>1237</v>
      </c>
      <c r="B1243" t="s">
        <v>1238</v>
      </c>
      <c r="C1243" t="s">
        <v>96</v>
      </c>
      <c r="D1243" t="s">
        <v>13</v>
      </c>
      <c r="E1243" t="str">
        <f>"99362"</f>
        <v>99362</v>
      </c>
      <c r="F1243" t="s">
        <v>96</v>
      </c>
      <c r="G1243" t="s">
        <v>1239</v>
      </c>
      <c r="I1243" t="s">
        <v>96</v>
      </c>
      <c r="J1243" t="s">
        <v>13</v>
      </c>
      <c r="K1243" t="str">
        <f>"99362"</f>
        <v>99362</v>
      </c>
      <c r="L1243">
        <v>11</v>
      </c>
      <c r="M1243">
        <v>11</v>
      </c>
      <c r="N1243">
        <v>0</v>
      </c>
    </row>
    <row r="1244" spans="1:14" x14ac:dyDescent="0.25">
      <c r="A1244" t="s">
        <v>289</v>
      </c>
      <c r="B1244" t="s">
        <v>290</v>
      </c>
      <c r="C1244" t="s">
        <v>291</v>
      </c>
      <c r="D1244" t="s">
        <v>13</v>
      </c>
      <c r="E1244" t="str">
        <f>"99348"</f>
        <v>99348</v>
      </c>
      <c r="F1244" t="s">
        <v>96</v>
      </c>
      <c r="G1244" t="s">
        <v>288</v>
      </c>
      <c r="I1244" t="s">
        <v>16</v>
      </c>
      <c r="J1244" t="s">
        <v>13</v>
      </c>
      <c r="K1244" t="str">
        <f>"99336"</f>
        <v>99336</v>
      </c>
      <c r="L1244">
        <v>28</v>
      </c>
      <c r="M1244">
        <v>28</v>
      </c>
      <c r="N1244">
        <v>0</v>
      </c>
    </row>
    <row r="1245" spans="1:14" x14ac:dyDescent="0.25">
      <c r="A1245" t="s">
        <v>319</v>
      </c>
      <c r="B1245" t="s">
        <v>320</v>
      </c>
      <c r="C1245" t="s">
        <v>96</v>
      </c>
      <c r="D1245" t="s">
        <v>13</v>
      </c>
      <c r="E1245" t="str">
        <f>"99362"</f>
        <v>99362</v>
      </c>
      <c r="F1245" t="s">
        <v>96</v>
      </c>
      <c r="G1245" t="s">
        <v>320</v>
      </c>
      <c r="I1245" t="s">
        <v>96</v>
      </c>
      <c r="J1245" t="s">
        <v>13</v>
      </c>
      <c r="K1245" t="str">
        <f>"99362"</f>
        <v>99362</v>
      </c>
      <c r="L1245">
        <v>242</v>
      </c>
      <c r="M1245">
        <v>242</v>
      </c>
      <c r="N1245">
        <v>0</v>
      </c>
    </row>
    <row r="1246" spans="1:14" x14ac:dyDescent="0.25">
      <c r="A1246" t="s">
        <v>3086</v>
      </c>
      <c r="B1246" t="s">
        <v>3087</v>
      </c>
      <c r="C1246" t="s">
        <v>96</v>
      </c>
      <c r="D1246" t="s">
        <v>13</v>
      </c>
      <c r="E1246" t="str">
        <f>"99362"</f>
        <v>99362</v>
      </c>
      <c r="F1246" t="s">
        <v>96</v>
      </c>
      <c r="G1246" t="s">
        <v>3087</v>
      </c>
      <c r="I1246" t="s">
        <v>96</v>
      </c>
      <c r="J1246" t="s">
        <v>13</v>
      </c>
      <c r="K1246" t="str">
        <f>"99362"</f>
        <v>99362</v>
      </c>
      <c r="L1246">
        <v>22</v>
      </c>
      <c r="M1246">
        <v>22</v>
      </c>
      <c r="N1246">
        <v>0</v>
      </c>
    </row>
    <row r="1247" spans="1:14" x14ac:dyDescent="0.25">
      <c r="A1247" t="s">
        <v>700</v>
      </c>
      <c r="B1247" t="s">
        <v>701</v>
      </c>
      <c r="C1247" t="s">
        <v>702</v>
      </c>
      <c r="D1247" t="s">
        <v>13</v>
      </c>
      <c r="E1247" t="str">
        <f>"99324"</f>
        <v>99324</v>
      </c>
      <c r="F1247" t="s">
        <v>96</v>
      </c>
      <c r="G1247" t="s">
        <v>701</v>
      </c>
      <c r="I1247" t="s">
        <v>702</v>
      </c>
      <c r="J1247" t="s">
        <v>13</v>
      </c>
      <c r="K1247" t="str">
        <f>"99324"</f>
        <v>99324</v>
      </c>
      <c r="L1247">
        <v>181</v>
      </c>
      <c r="M1247">
        <v>178</v>
      </c>
      <c r="N1247">
        <v>3</v>
      </c>
    </row>
    <row r="1248" spans="1:14" x14ac:dyDescent="0.25">
      <c r="A1248" t="s">
        <v>94</v>
      </c>
      <c r="B1248" t="s">
        <v>95</v>
      </c>
      <c r="C1248" t="s">
        <v>96</v>
      </c>
      <c r="D1248" t="s">
        <v>13</v>
      </c>
      <c r="E1248" t="str">
        <f>"99362"</f>
        <v>99362</v>
      </c>
      <c r="F1248" t="s">
        <v>96</v>
      </c>
      <c r="G1248" t="s">
        <v>97</v>
      </c>
      <c r="I1248" t="s">
        <v>96</v>
      </c>
      <c r="J1248" t="s">
        <v>13</v>
      </c>
      <c r="K1248" t="str">
        <f>"99362"</f>
        <v>99362</v>
      </c>
      <c r="L1248">
        <v>26</v>
      </c>
      <c r="M1248">
        <v>26</v>
      </c>
      <c r="N1248">
        <v>0</v>
      </c>
    </row>
    <row r="1249" spans="1:14" x14ac:dyDescent="0.25">
      <c r="A1249" t="s">
        <v>2270</v>
      </c>
      <c r="B1249" t="s">
        <v>2271</v>
      </c>
      <c r="C1249" t="s">
        <v>2272</v>
      </c>
      <c r="D1249" t="s">
        <v>13</v>
      </c>
      <c r="E1249" t="str">
        <f>"99361"</f>
        <v>99361</v>
      </c>
      <c r="F1249" t="s">
        <v>96</v>
      </c>
      <c r="G1249" t="s">
        <v>2273</v>
      </c>
      <c r="I1249" t="s">
        <v>46</v>
      </c>
      <c r="J1249" t="s">
        <v>13</v>
      </c>
      <c r="K1249" t="str">
        <f>"98072"</f>
        <v>98072</v>
      </c>
      <c r="L1249">
        <v>20</v>
      </c>
      <c r="M1249">
        <v>16</v>
      </c>
      <c r="N1249">
        <v>4</v>
      </c>
    </row>
    <row r="1250" spans="1:14" x14ac:dyDescent="0.25">
      <c r="A1250" t="s">
        <v>3761</v>
      </c>
      <c r="B1250" t="s">
        <v>3762</v>
      </c>
      <c r="C1250" t="s">
        <v>164</v>
      </c>
      <c r="D1250" t="s">
        <v>13</v>
      </c>
      <c r="E1250" t="str">
        <f>"98248"</f>
        <v>98248</v>
      </c>
      <c r="F1250" t="s">
        <v>165</v>
      </c>
      <c r="G1250" t="s">
        <v>3763</v>
      </c>
      <c r="H1250" t="s">
        <v>3764</v>
      </c>
      <c r="I1250" t="s">
        <v>886</v>
      </c>
      <c r="K1250" t="str">
        <f>"     "</f>
        <v xml:space="preserve">     </v>
      </c>
      <c r="L1250">
        <v>24</v>
      </c>
      <c r="M1250">
        <v>24</v>
      </c>
      <c r="N1250">
        <v>0</v>
      </c>
    </row>
    <row r="1251" spans="1:14" x14ac:dyDescent="0.25">
      <c r="A1251" t="s">
        <v>3426</v>
      </c>
      <c r="B1251" t="s">
        <v>3427</v>
      </c>
      <c r="C1251" t="s">
        <v>167</v>
      </c>
      <c r="D1251" t="s">
        <v>13</v>
      </c>
      <c r="E1251" t="str">
        <f>"98229"</f>
        <v>98229</v>
      </c>
      <c r="F1251" t="s">
        <v>165</v>
      </c>
      <c r="G1251" t="s">
        <v>3428</v>
      </c>
      <c r="I1251" t="s">
        <v>167</v>
      </c>
      <c r="J1251" t="s">
        <v>13</v>
      </c>
      <c r="K1251" t="str">
        <f>"98228"</f>
        <v>98228</v>
      </c>
      <c r="L1251">
        <v>69</v>
      </c>
      <c r="M1251">
        <v>34</v>
      </c>
      <c r="N1251">
        <v>35</v>
      </c>
    </row>
    <row r="1252" spans="1:14" x14ac:dyDescent="0.25">
      <c r="A1252" t="s">
        <v>3794</v>
      </c>
      <c r="B1252" t="s">
        <v>3795</v>
      </c>
      <c r="C1252" t="s">
        <v>167</v>
      </c>
      <c r="D1252" t="s">
        <v>13</v>
      </c>
      <c r="E1252" t="str">
        <f>"98226"</f>
        <v>98226</v>
      </c>
      <c r="F1252" t="s">
        <v>165</v>
      </c>
      <c r="G1252" t="s">
        <v>3795</v>
      </c>
      <c r="I1252" t="s">
        <v>167</v>
      </c>
      <c r="J1252" t="s">
        <v>13</v>
      </c>
      <c r="K1252" t="str">
        <f>"98226"</f>
        <v>98226</v>
      </c>
      <c r="L1252">
        <v>27</v>
      </c>
      <c r="M1252">
        <v>26</v>
      </c>
      <c r="N1252">
        <v>1</v>
      </c>
    </row>
    <row r="1253" spans="1:14" x14ac:dyDescent="0.25">
      <c r="A1253" t="s">
        <v>1225</v>
      </c>
      <c r="B1253" t="s">
        <v>1226</v>
      </c>
      <c r="C1253" t="s">
        <v>167</v>
      </c>
      <c r="D1253" t="s">
        <v>13</v>
      </c>
      <c r="E1253" t="str">
        <f>"98226"</f>
        <v>98226</v>
      </c>
      <c r="F1253" t="s">
        <v>165</v>
      </c>
      <c r="G1253" t="s">
        <v>1227</v>
      </c>
      <c r="I1253" t="s">
        <v>167</v>
      </c>
      <c r="J1253" t="s">
        <v>13</v>
      </c>
      <c r="K1253" t="str">
        <f>"98227"</f>
        <v>98227</v>
      </c>
      <c r="L1253">
        <v>25</v>
      </c>
      <c r="M1253">
        <v>25</v>
      </c>
      <c r="N1253">
        <v>0</v>
      </c>
    </row>
    <row r="1254" spans="1:14" x14ac:dyDescent="0.25">
      <c r="A1254" t="s">
        <v>1381</v>
      </c>
      <c r="B1254" t="s">
        <v>1382</v>
      </c>
      <c r="C1254" t="s">
        <v>167</v>
      </c>
      <c r="D1254" t="s">
        <v>13</v>
      </c>
      <c r="E1254" t="str">
        <f>"98310"</f>
        <v>98310</v>
      </c>
      <c r="F1254" t="s">
        <v>165</v>
      </c>
      <c r="G1254" t="s">
        <v>1022</v>
      </c>
      <c r="I1254" t="s">
        <v>561</v>
      </c>
      <c r="J1254" t="s">
        <v>13</v>
      </c>
      <c r="K1254" t="str">
        <f>"98078"</f>
        <v>98078</v>
      </c>
      <c r="L1254">
        <v>125</v>
      </c>
      <c r="M1254">
        <v>125</v>
      </c>
      <c r="N1254">
        <v>0</v>
      </c>
    </row>
    <row r="1255" spans="1:14" x14ac:dyDescent="0.25">
      <c r="A1255" t="s">
        <v>2570</v>
      </c>
      <c r="B1255" t="s">
        <v>2571</v>
      </c>
      <c r="C1255" t="s">
        <v>164</v>
      </c>
      <c r="D1255" t="s">
        <v>13</v>
      </c>
      <c r="E1255" t="str">
        <f>"98248"</f>
        <v>98248</v>
      </c>
      <c r="F1255" t="s">
        <v>165</v>
      </c>
      <c r="G1255" t="s">
        <v>2572</v>
      </c>
      <c r="I1255" t="s">
        <v>167</v>
      </c>
      <c r="J1255" t="s">
        <v>13</v>
      </c>
      <c r="K1255" t="str">
        <f>"98226"</f>
        <v>98226</v>
      </c>
      <c r="L1255">
        <v>37</v>
      </c>
      <c r="M1255">
        <v>37</v>
      </c>
      <c r="N1255">
        <v>0</v>
      </c>
    </row>
    <row r="1256" spans="1:14" x14ac:dyDescent="0.25">
      <c r="A1256" t="s">
        <v>393</v>
      </c>
      <c r="B1256" t="s">
        <v>394</v>
      </c>
      <c r="C1256" t="s">
        <v>252</v>
      </c>
      <c r="D1256" t="s">
        <v>13</v>
      </c>
      <c r="E1256" t="str">
        <f>"98230"</f>
        <v>98230</v>
      </c>
      <c r="F1256" t="s">
        <v>165</v>
      </c>
      <c r="G1256" t="s">
        <v>395</v>
      </c>
      <c r="I1256" t="s">
        <v>252</v>
      </c>
      <c r="J1256" t="s">
        <v>13</v>
      </c>
      <c r="K1256" t="str">
        <f>"98231"</f>
        <v>98231</v>
      </c>
      <c r="L1256">
        <v>164</v>
      </c>
      <c r="M1256">
        <v>44</v>
      </c>
      <c r="N1256">
        <v>120</v>
      </c>
    </row>
    <row r="1257" spans="1:14" x14ac:dyDescent="0.25">
      <c r="A1257" t="s">
        <v>3943</v>
      </c>
      <c r="B1257" t="s">
        <v>3944</v>
      </c>
      <c r="C1257" t="s">
        <v>252</v>
      </c>
      <c r="D1257" t="s">
        <v>13</v>
      </c>
      <c r="E1257" t="str">
        <f>"98230"</f>
        <v>98230</v>
      </c>
      <c r="F1257" t="s">
        <v>165</v>
      </c>
      <c r="G1257" t="s">
        <v>1828</v>
      </c>
      <c r="I1257" t="s">
        <v>41</v>
      </c>
      <c r="J1257" t="s">
        <v>13</v>
      </c>
      <c r="K1257" t="str">
        <f>"98271"</f>
        <v>98271</v>
      </c>
      <c r="L1257">
        <v>18</v>
      </c>
      <c r="M1257">
        <v>14</v>
      </c>
      <c r="N1257">
        <v>4</v>
      </c>
    </row>
    <row r="1258" spans="1:14" x14ac:dyDescent="0.25">
      <c r="A1258" t="s">
        <v>3012</v>
      </c>
      <c r="B1258" t="s">
        <v>3013</v>
      </c>
      <c r="C1258" t="s">
        <v>167</v>
      </c>
      <c r="D1258" t="s">
        <v>13</v>
      </c>
      <c r="E1258" t="str">
        <f>"98226"</f>
        <v>98226</v>
      </c>
      <c r="F1258" t="s">
        <v>165</v>
      </c>
      <c r="G1258" t="s">
        <v>3014</v>
      </c>
      <c r="I1258" t="s">
        <v>167</v>
      </c>
      <c r="J1258" t="s">
        <v>13</v>
      </c>
      <c r="K1258" t="str">
        <f>"98229"</f>
        <v>98229</v>
      </c>
      <c r="L1258">
        <v>5</v>
      </c>
      <c r="M1258">
        <v>5</v>
      </c>
      <c r="N1258">
        <v>0</v>
      </c>
    </row>
    <row r="1259" spans="1:14" x14ac:dyDescent="0.25">
      <c r="A1259" t="s">
        <v>2225</v>
      </c>
      <c r="B1259" t="s">
        <v>2226</v>
      </c>
      <c r="C1259" t="s">
        <v>167</v>
      </c>
      <c r="D1259" t="s">
        <v>13</v>
      </c>
      <c r="E1259" t="str">
        <f>"99226"</f>
        <v>99226</v>
      </c>
      <c r="F1259" t="s">
        <v>165</v>
      </c>
      <c r="G1259" t="s">
        <v>2227</v>
      </c>
      <c r="I1259" t="s">
        <v>167</v>
      </c>
      <c r="J1259" t="s">
        <v>13</v>
      </c>
      <c r="K1259" t="str">
        <f>"98225"</f>
        <v>98225</v>
      </c>
      <c r="L1259">
        <v>45</v>
      </c>
      <c r="M1259">
        <v>20</v>
      </c>
      <c r="N1259">
        <v>25</v>
      </c>
    </row>
    <row r="1260" spans="1:14" x14ac:dyDescent="0.25">
      <c r="A1260" t="s">
        <v>773</v>
      </c>
      <c r="B1260" t="s">
        <v>774</v>
      </c>
      <c r="C1260" t="s">
        <v>167</v>
      </c>
      <c r="D1260" t="s">
        <v>13</v>
      </c>
      <c r="E1260" t="str">
        <f>"98229"</f>
        <v>98229</v>
      </c>
      <c r="F1260" t="s">
        <v>165</v>
      </c>
      <c r="G1260" t="s">
        <v>774</v>
      </c>
      <c r="I1260" t="s">
        <v>167</v>
      </c>
      <c r="J1260" t="s">
        <v>13</v>
      </c>
      <c r="K1260" t="str">
        <f>"98229"</f>
        <v>98229</v>
      </c>
      <c r="L1260">
        <v>105</v>
      </c>
      <c r="M1260">
        <v>105</v>
      </c>
      <c r="N1260">
        <v>0</v>
      </c>
    </row>
    <row r="1261" spans="1:14" x14ac:dyDescent="0.25">
      <c r="A1261" t="s">
        <v>1173</v>
      </c>
      <c r="B1261" t="s">
        <v>1174</v>
      </c>
      <c r="C1261" t="s">
        <v>791</v>
      </c>
      <c r="D1261" t="s">
        <v>13</v>
      </c>
      <c r="E1261" t="str">
        <f>"98264"</f>
        <v>98264</v>
      </c>
      <c r="F1261" t="s">
        <v>165</v>
      </c>
      <c r="G1261" t="s">
        <v>1172</v>
      </c>
      <c r="I1261" t="s">
        <v>791</v>
      </c>
      <c r="J1261" t="s">
        <v>13</v>
      </c>
      <c r="K1261" t="str">
        <f>"98264"</f>
        <v>98264</v>
      </c>
      <c r="L1261">
        <v>32</v>
      </c>
      <c r="M1261">
        <v>32</v>
      </c>
      <c r="N1261">
        <v>0</v>
      </c>
    </row>
    <row r="1262" spans="1:14" x14ac:dyDescent="0.25">
      <c r="A1262" t="s">
        <v>2838</v>
      </c>
      <c r="B1262" t="s">
        <v>2839</v>
      </c>
      <c r="C1262" t="s">
        <v>252</v>
      </c>
      <c r="D1262" t="s">
        <v>13</v>
      </c>
      <c r="E1262" t="str">
        <f>"98230"</f>
        <v>98230</v>
      </c>
      <c r="F1262" t="s">
        <v>165</v>
      </c>
      <c r="G1262" t="s">
        <v>2839</v>
      </c>
      <c r="I1262" t="s">
        <v>252</v>
      </c>
      <c r="J1262" t="s">
        <v>13</v>
      </c>
      <c r="K1262" t="str">
        <f>"98230"</f>
        <v>98230</v>
      </c>
      <c r="L1262">
        <v>47</v>
      </c>
      <c r="M1262">
        <v>16</v>
      </c>
      <c r="N1262">
        <v>31</v>
      </c>
    </row>
    <row r="1263" spans="1:14" x14ac:dyDescent="0.25">
      <c r="A1263" t="s">
        <v>292</v>
      </c>
      <c r="B1263" t="s">
        <v>293</v>
      </c>
      <c r="C1263" t="s">
        <v>164</v>
      </c>
      <c r="D1263" t="s">
        <v>13</v>
      </c>
      <c r="E1263" t="str">
        <f>"98248"</f>
        <v>98248</v>
      </c>
      <c r="F1263" t="s">
        <v>165</v>
      </c>
      <c r="G1263" t="s">
        <v>294</v>
      </c>
      <c r="I1263" t="s">
        <v>164</v>
      </c>
      <c r="J1263" t="s">
        <v>13</v>
      </c>
      <c r="K1263" t="str">
        <f>"98248"</f>
        <v>98248</v>
      </c>
      <c r="L1263">
        <v>60</v>
      </c>
      <c r="M1263">
        <v>60</v>
      </c>
      <c r="N1263">
        <v>0</v>
      </c>
    </row>
    <row r="1264" spans="1:14" x14ac:dyDescent="0.25">
      <c r="A1264" t="s">
        <v>3331</v>
      </c>
      <c r="B1264" t="s">
        <v>3332</v>
      </c>
      <c r="C1264" t="s">
        <v>167</v>
      </c>
      <c r="D1264" t="s">
        <v>13</v>
      </c>
      <c r="E1264" t="str">
        <f>"98229"</f>
        <v>98229</v>
      </c>
      <c r="F1264" t="s">
        <v>165</v>
      </c>
      <c r="G1264" t="s">
        <v>3327</v>
      </c>
      <c r="I1264" t="s">
        <v>3328</v>
      </c>
      <c r="J1264" t="s">
        <v>433</v>
      </c>
      <c r="K1264" t="str">
        <f>"90701"</f>
        <v>90701</v>
      </c>
      <c r="L1264">
        <v>16</v>
      </c>
      <c r="M1264">
        <v>13</v>
      </c>
      <c r="N1264">
        <v>3</v>
      </c>
    </row>
    <row r="1265" spans="1:14" x14ac:dyDescent="0.25">
      <c r="A1265" t="s">
        <v>1257</v>
      </c>
      <c r="B1265" t="s">
        <v>1258</v>
      </c>
      <c r="C1265" t="s">
        <v>1236</v>
      </c>
      <c r="D1265" t="s">
        <v>13</v>
      </c>
      <c r="E1265" t="str">
        <f>"98247"</f>
        <v>98247</v>
      </c>
      <c r="F1265" t="s">
        <v>165</v>
      </c>
      <c r="G1265" t="s">
        <v>1259</v>
      </c>
      <c r="I1265" t="s">
        <v>437</v>
      </c>
      <c r="J1265" t="s">
        <v>13</v>
      </c>
      <c r="K1265" t="str">
        <f>"98020"</f>
        <v>98020</v>
      </c>
      <c r="L1265">
        <v>61</v>
      </c>
      <c r="M1265">
        <v>60</v>
      </c>
      <c r="N1265">
        <v>1</v>
      </c>
    </row>
    <row r="1266" spans="1:14" x14ac:dyDescent="0.25">
      <c r="A1266" t="s">
        <v>814</v>
      </c>
      <c r="B1266" t="s">
        <v>815</v>
      </c>
      <c r="C1266" t="s">
        <v>164</v>
      </c>
      <c r="D1266" t="s">
        <v>13</v>
      </c>
      <c r="E1266" t="str">
        <f>"98248"</f>
        <v>98248</v>
      </c>
      <c r="F1266" t="s">
        <v>165</v>
      </c>
      <c r="G1266" t="s">
        <v>816</v>
      </c>
      <c r="I1266" t="s">
        <v>164</v>
      </c>
      <c r="J1266" t="s">
        <v>13</v>
      </c>
      <c r="K1266" t="str">
        <f>"98248"</f>
        <v>98248</v>
      </c>
      <c r="L1266">
        <v>25</v>
      </c>
      <c r="M1266">
        <v>25</v>
      </c>
      <c r="N1266">
        <v>0</v>
      </c>
    </row>
    <row r="1267" spans="1:14" x14ac:dyDescent="0.25">
      <c r="A1267" t="s">
        <v>3505</v>
      </c>
      <c r="B1267" t="s">
        <v>3506</v>
      </c>
      <c r="C1267" t="s">
        <v>164</v>
      </c>
      <c r="D1267" t="s">
        <v>13</v>
      </c>
      <c r="E1267" t="str">
        <f>"98248"</f>
        <v>98248</v>
      </c>
      <c r="F1267" t="s">
        <v>165</v>
      </c>
      <c r="G1267" t="s">
        <v>3507</v>
      </c>
      <c r="I1267" t="s">
        <v>2687</v>
      </c>
      <c r="J1267" t="s">
        <v>433</v>
      </c>
      <c r="K1267" t="str">
        <f>"93455"</f>
        <v>93455</v>
      </c>
      <c r="L1267">
        <v>55</v>
      </c>
      <c r="M1267">
        <v>55</v>
      </c>
      <c r="N1267">
        <v>0</v>
      </c>
    </row>
    <row r="1268" spans="1:14" x14ac:dyDescent="0.25">
      <c r="A1268" t="s">
        <v>1806</v>
      </c>
      <c r="B1268" t="s">
        <v>1807</v>
      </c>
      <c r="C1268" t="s">
        <v>164</v>
      </c>
      <c r="D1268" t="s">
        <v>13</v>
      </c>
      <c r="E1268" t="str">
        <f>"98248"</f>
        <v>98248</v>
      </c>
      <c r="F1268" t="s">
        <v>165</v>
      </c>
      <c r="G1268" t="s">
        <v>1808</v>
      </c>
      <c r="I1268" t="s">
        <v>12</v>
      </c>
      <c r="J1268" t="s">
        <v>13</v>
      </c>
      <c r="K1268" t="str">
        <f>"98087"</f>
        <v>98087</v>
      </c>
      <c r="L1268">
        <v>60</v>
      </c>
      <c r="M1268">
        <v>56</v>
      </c>
      <c r="N1268">
        <v>4</v>
      </c>
    </row>
    <row r="1269" spans="1:14" x14ac:dyDescent="0.25">
      <c r="A1269" t="s">
        <v>2065</v>
      </c>
      <c r="B1269" t="s">
        <v>2066</v>
      </c>
      <c r="C1269" t="s">
        <v>167</v>
      </c>
      <c r="D1269" t="s">
        <v>13</v>
      </c>
      <c r="E1269" t="str">
        <f>"98229"</f>
        <v>98229</v>
      </c>
      <c r="F1269" t="s">
        <v>165</v>
      </c>
      <c r="G1269" t="s">
        <v>2067</v>
      </c>
      <c r="I1269" t="s">
        <v>167</v>
      </c>
      <c r="J1269" t="s">
        <v>13</v>
      </c>
      <c r="K1269" t="str">
        <f>"98228"</f>
        <v>98228</v>
      </c>
      <c r="L1269">
        <v>46</v>
      </c>
      <c r="M1269">
        <v>42</v>
      </c>
      <c r="N1269">
        <v>4</v>
      </c>
    </row>
    <row r="1270" spans="1:14" x14ac:dyDescent="0.25">
      <c r="A1270" t="s">
        <v>2786</v>
      </c>
      <c r="B1270" t="s">
        <v>2787</v>
      </c>
      <c r="C1270" t="s">
        <v>2788</v>
      </c>
      <c r="D1270" t="s">
        <v>13</v>
      </c>
      <c r="E1270" t="str">
        <f>"98281"</f>
        <v>98281</v>
      </c>
      <c r="F1270" t="s">
        <v>165</v>
      </c>
      <c r="G1270" t="s">
        <v>2789</v>
      </c>
      <c r="I1270" t="s">
        <v>2788</v>
      </c>
      <c r="J1270" t="s">
        <v>13</v>
      </c>
      <c r="K1270" t="str">
        <f>"98281"</f>
        <v>98281</v>
      </c>
      <c r="L1270">
        <v>5</v>
      </c>
      <c r="M1270">
        <v>3</v>
      </c>
      <c r="N1270">
        <v>2</v>
      </c>
    </row>
    <row r="1271" spans="1:14" x14ac:dyDescent="0.25">
      <c r="A1271" t="s">
        <v>250</v>
      </c>
      <c r="B1271" t="s">
        <v>251</v>
      </c>
      <c r="C1271" t="s">
        <v>252</v>
      </c>
      <c r="D1271" t="s">
        <v>13</v>
      </c>
      <c r="E1271" t="str">
        <f>"98230"</f>
        <v>98230</v>
      </c>
      <c r="F1271" t="s">
        <v>165</v>
      </c>
      <c r="G1271" t="s">
        <v>253</v>
      </c>
      <c r="I1271" t="s">
        <v>254</v>
      </c>
      <c r="J1271" t="s">
        <v>13</v>
      </c>
      <c r="K1271" t="str">
        <f>"98020"</f>
        <v>98020</v>
      </c>
      <c r="L1271">
        <v>16</v>
      </c>
      <c r="M1271">
        <v>13</v>
      </c>
      <c r="N1271">
        <v>3</v>
      </c>
    </row>
    <row r="1272" spans="1:14" x14ac:dyDescent="0.25">
      <c r="A1272" t="s">
        <v>474</v>
      </c>
      <c r="B1272" t="s">
        <v>3170</v>
      </c>
      <c r="C1272" t="s">
        <v>167</v>
      </c>
      <c r="D1272" t="s">
        <v>13</v>
      </c>
      <c r="E1272" t="str">
        <f>"98229"</f>
        <v>98229</v>
      </c>
      <c r="F1272" t="s">
        <v>165</v>
      </c>
      <c r="G1272" t="s">
        <v>3171</v>
      </c>
      <c r="I1272" t="s">
        <v>3172</v>
      </c>
      <c r="J1272" t="s">
        <v>433</v>
      </c>
      <c r="K1272" t="str">
        <f>"94563"</f>
        <v>94563</v>
      </c>
      <c r="L1272">
        <v>6</v>
      </c>
      <c r="M1272">
        <v>1</v>
      </c>
      <c r="N1272">
        <v>5</v>
      </c>
    </row>
    <row r="1273" spans="1:14" x14ac:dyDescent="0.25">
      <c r="A1273" t="s">
        <v>1171</v>
      </c>
      <c r="B1273" t="s">
        <v>1172</v>
      </c>
      <c r="C1273" t="s">
        <v>791</v>
      </c>
      <c r="D1273" t="s">
        <v>13</v>
      </c>
      <c r="E1273" t="str">
        <f>"98264"</f>
        <v>98264</v>
      </c>
      <c r="F1273" t="s">
        <v>165</v>
      </c>
      <c r="G1273" t="s">
        <v>1172</v>
      </c>
      <c r="I1273" t="s">
        <v>791</v>
      </c>
      <c r="J1273" t="s">
        <v>13</v>
      </c>
      <c r="K1273" t="str">
        <f>"98264"</f>
        <v>98264</v>
      </c>
      <c r="L1273">
        <v>15</v>
      </c>
      <c r="M1273">
        <v>15</v>
      </c>
      <c r="N1273">
        <v>0</v>
      </c>
    </row>
    <row r="1274" spans="1:14" x14ac:dyDescent="0.25">
      <c r="A1274" t="s">
        <v>974</v>
      </c>
      <c r="B1274" t="s">
        <v>975</v>
      </c>
      <c r="C1274" t="s">
        <v>167</v>
      </c>
      <c r="D1274" t="s">
        <v>13</v>
      </c>
      <c r="E1274" t="str">
        <f>"98229"</f>
        <v>98229</v>
      </c>
      <c r="F1274" t="s">
        <v>165</v>
      </c>
      <c r="G1274" t="s">
        <v>976</v>
      </c>
      <c r="I1274" t="s">
        <v>167</v>
      </c>
      <c r="J1274" t="s">
        <v>13</v>
      </c>
      <c r="K1274" t="str">
        <f>"98228"</f>
        <v>98228</v>
      </c>
      <c r="L1274">
        <v>25</v>
      </c>
      <c r="M1274">
        <v>25</v>
      </c>
      <c r="N1274">
        <v>0</v>
      </c>
    </row>
    <row r="1275" spans="1:14" x14ac:dyDescent="0.25">
      <c r="A1275" t="s">
        <v>2561</v>
      </c>
      <c r="B1275" t="s">
        <v>2562</v>
      </c>
      <c r="C1275" t="s">
        <v>167</v>
      </c>
      <c r="D1275" t="s">
        <v>13</v>
      </c>
      <c r="E1275" t="str">
        <f>"98229"</f>
        <v>98229</v>
      </c>
      <c r="F1275" t="s">
        <v>165</v>
      </c>
      <c r="G1275" t="s">
        <v>775</v>
      </c>
      <c r="I1275" t="s">
        <v>167</v>
      </c>
      <c r="J1275" t="s">
        <v>13</v>
      </c>
      <c r="K1275" t="str">
        <f>"98226"</f>
        <v>98226</v>
      </c>
      <c r="L1275">
        <v>73</v>
      </c>
      <c r="M1275">
        <v>28</v>
      </c>
      <c r="N1275">
        <v>45</v>
      </c>
    </row>
    <row r="1276" spans="1:14" x14ac:dyDescent="0.25">
      <c r="A1276" t="s">
        <v>2453</v>
      </c>
      <c r="B1276" t="s">
        <v>2454</v>
      </c>
      <c r="C1276" t="s">
        <v>164</v>
      </c>
      <c r="D1276" t="s">
        <v>13</v>
      </c>
      <c r="E1276" t="str">
        <f>"98248"</f>
        <v>98248</v>
      </c>
      <c r="F1276" t="s">
        <v>165</v>
      </c>
      <c r="G1276" t="s">
        <v>2455</v>
      </c>
      <c r="I1276" t="s">
        <v>164</v>
      </c>
      <c r="J1276" t="s">
        <v>13</v>
      </c>
      <c r="K1276" t="str">
        <f>"98248"</f>
        <v>98248</v>
      </c>
      <c r="L1276">
        <v>16</v>
      </c>
      <c r="M1276">
        <v>8</v>
      </c>
      <c r="N1276">
        <v>8</v>
      </c>
    </row>
    <row r="1277" spans="1:14" x14ac:dyDescent="0.25">
      <c r="A1277" t="s">
        <v>2291</v>
      </c>
      <c r="B1277" t="s">
        <v>2292</v>
      </c>
      <c r="C1277" t="s">
        <v>167</v>
      </c>
      <c r="D1277" t="s">
        <v>13</v>
      </c>
      <c r="E1277" t="str">
        <f>"98229"</f>
        <v>98229</v>
      </c>
      <c r="F1277" t="s">
        <v>165</v>
      </c>
      <c r="G1277" t="s">
        <v>2293</v>
      </c>
      <c r="H1277" t="s">
        <v>2294</v>
      </c>
      <c r="I1277" t="s">
        <v>2295</v>
      </c>
      <c r="J1277" t="s">
        <v>433</v>
      </c>
      <c r="K1277" t="str">
        <f>"95670"</f>
        <v>95670</v>
      </c>
      <c r="L1277">
        <v>217</v>
      </c>
      <c r="M1277">
        <v>216</v>
      </c>
      <c r="N1277">
        <v>1</v>
      </c>
    </row>
    <row r="1278" spans="1:14" x14ac:dyDescent="0.25">
      <c r="A1278" t="s">
        <v>162</v>
      </c>
      <c r="B1278" t="s">
        <v>163</v>
      </c>
      <c r="C1278" t="s">
        <v>164</v>
      </c>
      <c r="D1278" t="s">
        <v>13</v>
      </c>
      <c r="E1278" t="str">
        <f>"98248"</f>
        <v>98248</v>
      </c>
      <c r="F1278" t="s">
        <v>165</v>
      </c>
      <c r="G1278" t="s">
        <v>166</v>
      </c>
      <c r="I1278" t="s">
        <v>167</v>
      </c>
      <c r="J1278" t="s">
        <v>13</v>
      </c>
      <c r="K1278" t="str">
        <f>"98229"</f>
        <v>98229</v>
      </c>
      <c r="L1278">
        <v>49</v>
      </c>
      <c r="M1278">
        <v>49</v>
      </c>
      <c r="N1278">
        <v>0</v>
      </c>
    </row>
    <row r="1279" spans="1:14" x14ac:dyDescent="0.25">
      <c r="A1279" t="s">
        <v>2573</v>
      </c>
      <c r="B1279" t="s">
        <v>2574</v>
      </c>
      <c r="C1279" t="s">
        <v>167</v>
      </c>
      <c r="D1279" t="s">
        <v>13</v>
      </c>
      <c r="E1279" t="str">
        <f>"98226"</f>
        <v>98226</v>
      </c>
      <c r="F1279" t="s">
        <v>165</v>
      </c>
      <c r="G1279" t="s">
        <v>2572</v>
      </c>
      <c r="I1279" t="s">
        <v>167</v>
      </c>
      <c r="J1279" t="s">
        <v>13</v>
      </c>
      <c r="K1279" t="str">
        <f>"98226"</f>
        <v>98226</v>
      </c>
      <c r="L1279">
        <v>55</v>
      </c>
      <c r="M1279">
        <v>55</v>
      </c>
      <c r="N1279">
        <v>0</v>
      </c>
    </row>
    <row r="1280" spans="1:14" x14ac:dyDescent="0.25">
      <c r="A1280" t="s">
        <v>1535</v>
      </c>
      <c r="B1280" t="s">
        <v>1536</v>
      </c>
      <c r="C1280" t="s">
        <v>167</v>
      </c>
      <c r="D1280" t="s">
        <v>13</v>
      </c>
      <c r="E1280" t="str">
        <f>"98226"</f>
        <v>98226</v>
      </c>
      <c r="F1280" t="s">
        <v>165</v>
      </c>
      <c r="G1280" t="s">
        <v>1537</v>
      </c>
      <c r="I1280" t="s">
        <v>167</v>
      </c>
      <c r="J1280" t="s">
        <v>13</v>
      </c>
      <c r="K1280" t="str">
        <f>"98226"</f>
        <v>98226</v>
      </c>
      <c r="L1280">
        <v>3</v>
      </c>
      <c r="M1280">
        <v>3</v>
      </c>
      <c r="N1280">
        <v>0</v>
      </c>
    </row>
    <row r="1281" spans="1:14" x14ac:dyDescent="0.25">
      <c r="A1281" t="s">
        <v>2510</v>
      </c>
      <c r="B1281" t="s">
        <v>2511</v>
      </c>
      <c r="C1281" t="s">
        <v>167</v>
      </c>
      <c r="D1281" t="s">
        <v>13</v>
      </c>
      <c r="E1281" t="str">
        <f>"98226"</f>
        <v>98226</v>
      </c>
      <c r="F1281" t="s">
        <v>165</v>
      </c>
      <c r="G1281" t="s">
        <v>2512</v>
      </c>
      <c r="I1281" t="s">
        <v>164</v>
      </c>
      <c r="J1281" t="s">
        <v>13</v>
      </c>
      <c r="K1281" t="str">
        <f>"98248"</f>
        <v>98248</v>
      </c>
      <c r="L1281">
        <v>56</v>
      </c>
      <c r="M1281">
        <v>56</v>
      </c>
      <c r="N1281">
        <v>0</v>
      </c>
    </row>
    <row r="1282" spans="1:14" x14ac:dyDescent="0.25">
      <c r="A1282" t="s">
        <v>3768</v>
      </c>
      <c r="B1282" t="s">
        <v>3769</v>
      </c>
      <c r="C1282" t="s">
        <v>252</v>
      </c>
      <c r="D1282" t="s">
        <v>13</v>
      </c>
      <c r="E1282" t="str">
        <f>"98230"</f>
        <v>98230</v>
      </c>
      <c r="F1282" t="s">
        <v>165</v>
      </c>
      <c r="G1282" t="s">
        <v>3769</v>
      </c>
      <c r="I1282" t="s">
        <v>252</v>
      </c>
      <c r="J1282" t="s">
        <v>13</v>
      </c>
      <c r="K1282" t="str">
        <f>"98230"</f>
        <v>98230</v>
      </c>
      <c r="L1282">
        <v>23</v>
      </c>
      <c r="M1282">
        <v>21</v>
      </c>
      <c r="N1282">
        <v>2</v>
      </c>
    </row>
    <row r="1283" spans="1:14" x14ac:dyDescent="0.25">
      <c r="A1283" t="s">
        <v>3329</v>
      </c>
      <c r="B1283" t="s">
        <v>3330</v>
      </c>
      <c r="C1283" t="s">
        <v>252</v>
      </c>
      <c r="D1283" t="s">
        <v>13</v>
      </c>
      <c r="E1283" t="str">
        <f>"98230"</f>
        <v>98230</v>
      </c>
      <c r="F1283" t="s">
        <v>165</v>
      </c>
      <c r="G1283" t="s">
        <v>3327</v>
      </c>
      <c r="I1283" t="s">
        <v>3328</v>
      </c>
      <c r="J1283" t="s">
        <v>433</v>
      </c>
      <c r="K1283" t="str">
        <f>"90701"</f>
        <v>90701</v>
      </c>
      <c r="L1283">
        <v>18</v>
      </c>
      <c r="M1283">
        <v>15</v>
      </c>
      <c r="N1283">
        <v>3</v>
      </c>
    </row>
    <row r="1284" spans="1:14" x14ac:dyDescent="0.25">
      <c r="A1284" t="s">
        <v>3522</v>
      </c>
      <c r="B1284" t="s">
        <v>3523</v>
      </c>
      <c r="C1284" t="s">
        <v>167</v>
      </c>
      <c r="D1284" t="s">
        <v>13</v>
      </c>
      <c r="E1284" t="str">
        <f>"98225"</f>
        <v>98225</v>
      </c>
      <c r="F1284" t="s">
        <v>165</v>
      </c>
      <c r="G1284" t="s">
        <v>3524</v>
      </c>
      <c r="I1284" t="s">
        <v>167</v>
      </c>
      <c r="J1284" t="s">
        <v>13</v>
      </c>
      <c r="K1284" t="str">
        <f>"98225"</f>
        <v>98225</v>
      </c>
      <c r="L1284">
        <v>9</v>
      </c>
      <c r="M1284">
        <v>9</v>
      </c>
      <c r="N1284">
        <v>0</v>
      </c>
    </row>
    <row r="1285" spans="1:14" x14ac:dyDescent="0.25">
      <c r="A1285" t="s">
        <v>1026</v>
      </c>
      <c r="B1285" t="s">
        <v>1027</v>
      </c>
      <c r="C1285" t="s">
        <v>167</v>
      </c>
      <c r="D1285" t="s">
        <v>13</v>
      </c>
      <c r="E1285" t="str">
        <f>"98229"</f>
        <v>98229</v>
      </c>
      <c r="F1285" t="s">
        <v>165</v>
      </c>
      <c r="G1285" t="s">
        <v>1027</v>
      </c>
      <c r="I1285" t="s">
        <v>167</v>
      </c>
      <c r="J1285" t="s">
        <v>13</v>
      </c>
      <c r="K1285" t="str">
        <f>"98229"</f>
        <v>98229</v>
      </c>
      <c r="L1285">
        <v>134</v>
      </c>
      <c r="M1285">
        <v>134</v>
      </c>
      <c r="N1285">
        <v>0</v>
      </c>
    </row>
    <row r="1286" spans="1:14" x14ac:dyDescent="0.25">
      <c r="A1286" t="s">
        <v>904</v>
      </c>
      <c r="B1286" t="s">
        <v>905</v>
      </c>
      <c r="C1286" t="s">
        <v>167</v>
      </c>
      <c r="D1286" t="s">
        <v>13</v>
      </c>
      <c r="E1286" t="str">
        <f>"98226"</f>
        <v>98226</v>
      </c>
      <c r="F1286" t="s">
        <v>165</v>
      </c>
      <c r="G1286" t="s">
        <v>906</v>
      </c>
      <c r="I1286" t="s">
        <v>167</v>
      </c>
      <c r="J1286" t="s">
        <v>13</v>
      </c>
      <c r="K1286" t="str">
        <f>"98226"</f>
        <v>98226</v>
      </c>
      <c r="L1286">
        <v>35</v>
      </c>
      <c r="M1286">
        <v>35</v>
      </c>
      <c r="N1286">
        <v>0</v>
      </c>
    </row>
    <row r="1287" spans="1:14" x14ac:dyDescent="0.25">
      <c r="A1287" t="s">
        <v>2133</v>
      </c>
      <c r="B1287" t="s">
        <v>2134</v>
      </c>
      <c r="C1287" t="s">
        <v>164</v>
      </c>
      <c r="D1287" t="s">
        <v>13</v>
      </c>
      <c r="E1287" t="str">
        <f>"98248"</f>
        <v>98248</v>
      </c>
      <c r="F1287" t="s">
        <v>165</v>
      </c>
      <c r="G1287" t="s">
        <v>2135</v>
      </c>
      <c r="I1287" t="s">
        <v>48</v>
      </c>
      <c r="J1287" t="s">
        <v>13</v>
      </c>
      <c r="K1287" t="str">
        <f>"98012"</f>
        <v>98012</v>
      </c>
      <c r="L1287">
        <v>25</v>
      </c>
      <c r="M1287">
        <v>25</v>
      </c>
      <c r="N1287">
        <v>0</v>
      </c>
    </row>
    <row r="1288" spans="1:14" x14ac:dyDescent="0.25">
      <c r="A1288" t="s">
        <v>2708</v>
      </c>
      <c r="B1288" t="s">
        <v>2709</v>
      </c>
      <c r="C1288" t="s">
        <v>164</v>
      </c>
      <c r="D1288" t="s">
        <v>13</v>
      </c>
      <c r="E1288" t="str">
        <f>"98248"</f>
        <v>98248</v>
      </c>
      <c r="F1288" t="s">
        <v>165</v>
      </c>
      <c r="G1288" t="s">
        <v>2710</v>
      </c>
      <c r="I1288" t="s">
        <v>164</v>
      </c>
      <c r="J1288" t="s">
        <v>13</v>
      </c>
      <c r="K1288" t="str">
        <f>"98248"</f>
        <v>98248</v>
      </c>
      <c r="L1288">
        <v>17</v>
      </c>
      <c r="M1288">
        <v>11</v>
      </c>
      <c r="N1288">
        <v>6</v>
      </c>
    </row>
    <row r="1289" spans="1:14" x14ac:dyDescent="0.25">
      <c r="A1289" t="s">
        <v>3312</v>
      </c>
      <c r="B1289" t="s">
        <v>3313</v>
      </c>
      <c r="C1289" t="s">
        <v>1236</v>
      </c>
      <c r="D1289" t="s">
        <v>13</v>
      </c>
      <c r="E1289" t="str">
        <f>"98247"</f>
        <v>98247</v>
      </c>
      <c r="F1289" t="s">
        <v>165</v>
      </c>
      <c r="G1289" t="s">
        <v>3314</v>
      </c>
      <c r="I1289" t="s">
        <v>1236</v>
      </c>
      <c r="J1289" t="s">
        <v>13</v>
      </c>
      <c r="K1289" t="str">
        <f>"98247"</f>
        <v>98247</v>
      </c>
      <c r="L1289">
        <v>10</v>
      </c>
      <c r="M1289">
        <v>2</v>
      </c>
      <c r="N1289">
        <v>8</v>
      </c>
    </row>
    <row r="1290" spans="1:14" x14ac:dyDescent="0.25">
      <c r="A1290" t="s">
        <v>1611</v>
      </c>
      <c r="B1290" t="s">
        <v>1612</v>
      </c>
      <c r="C1290" t="s">
        <v>164</v>
      </c>
      <c r="D1290" t="s">
        <v>13</v>
      </c>
      <c r="E1290" t="str">
        <f>"98248"</f>
        <v>98248</v>
      </c>
      <c r="F1290" t="s">
        <v>165</v>
      </c>
      <c r="G1290" t="s">
        <v>1612</v>
      </c>
      <c r="I1290" t="s">
        <v>164</v>
      </c>
      <c r="J1290" t="s">
        <v>13</v>
      </c>
      <c r="K1290" t="str">
        <f>"98248"</f>
        <v>98248</v>
      </c>
      <c r="L1290">
        <v>24</v>
      </c>
      <c r="M1290">
        <v>24</v>
      </c>
      <c r="N1290">
        <v>0</v>
      </c>
    </row>
    <row r="1291" spans="1:14" x14ac:dyDescent="0.25">
      <c r="A1291" t="s">
        <v>1383</v>
      </c>
      <c r="B1291" t="s">
        <v>1384</v>
      </c>
      <c r="C1291" t="s">
        <v>167</v>
      </c>
      <c r="D1291" t="s">
        <v>13</v>
      </c>
      <c r="E1291" t="str">
        <f>"98275"</f>
        <v>98275</v>
      </c>
      <c r="F1291" t="s">
        <v>165</v>
      </c>
      <c r="G1291" t="s">
        <v>1022</v>
      </c>
      <c r="I1291" t="s">
        <v>561</v>
      </c>
      <c r="J1291" t="s">
        <v>13</v>
      </c>
      <c r="K1291" t="str">
        <f>"98028"</f>
        <v>98028</v>
      </c>
      <c r="L1291">
        <v>102</v>
      </c>
      <c r="M1291">
        <v>101</v>
      </c>
      <c r="N1291">
        <v>1</v>
      </c>
    </row>
    <row r="1292" spans="1:14" x14ac:dyDescent="0.25">
      <c r="A1292" t="s">
        <v>1564</v>
      </c>
      <c r="B1292" t="s">
        <v>1565</v>
      </c>
      <c r="C1292" t="s">
        <v>164</v>
      </c>
      <c r="D1292" t="s">
        <v>13</v>
      </c>
      <c r="E1292" t="str">
        <f>"98248"</f>
        <v>98248</v>
      </c>
      <c r="F1292" t="s">
        <v>165</v>
      </c>
      <c r="G1292" t="s">
        <v>1566</v>
      </c>
      <c r="I1292" t="s">
        <v>107</v>
      </c>
      <c r="J1292" t="s">
        <v>13</v>
      </c>
      <c r="K1292" t="str">
        <f>"98198"</f>
        <v>98198</v>
      </c>
      <c r="L1292">
        <v>71</v>
      </c>
      <c r="M1292">
        <v>39</v>
      </c>
      <c r="N1292">
        <v>32</v>
      </c>
    </row>
    <row r="1293" spans="1:14" x14ac:dyDescent="0.25">
      <c r="A1293" t="s">
        <v>3585</v>
      </c>
      <c r="B1293" t="s">
        <v>3586</v>
      </c>
      <c r="C1293" t="s">
        <v>164</v>
      </c>
      <c r="D1293" t="s">
        <v>13</v>
      </c>
      <c r="E1293" t="str">
        <f>"98248"</f>
        <v>98248</v>
      </c>
      <c r="F1293" t="s">
        <v>165</v>
      </c>
      <c r="G1293" t="s">
        <v>3587</v>
      </c>
      <c r="I1293" t="s">
        <v>164</v>
      </c>
      <c r="J1293" t="s">
        <v>13</v>
      </c>
      <c r="K1293" t="str">
        <f>"98248"</f>
        <v>98248</v>
      </c>
      <c r="L1293">
        <v>13</v>
      </c>
      <c r="M1293">
        <v>13</v>
      </c>
      <c r="N1293">
        <v>0</v>
      </c>
    </row>
    <row r="1294" spans="1:14" x14ac:dyDescent="0.25">
      <c r="A1294" t="s">
        <v>3436</v>
      </c>
      <c r="B1294" t="s">
        <v>3437</v>
      </c>
      <c r="C1294" t="s">
        <v>252</v>
      </c>
      <c r="D1294" t="s">
        <v>13</v>
      </c>
      <c r="E1294" t="str">
        <f>"98230"</f>
        <v>98230</v>
      </c>
      <c r="F1294" t="s">
        <v>165</v>
      </c>
      <c r="G1294" t="s">
        <v>3438</v>
      </c>
      <c r="I1294" t="s">
        <v>3439</v>
      </c>
      <c r="J1294" t="s">
        <v>433</v>
      </c>
      <c r="K1294" t="str">
        <f>"95831"</f>
        <v>95831</v>
      </c>
      <c r="L1294">
        <v>91</v>
      </c>
      <c r="M1294">
        <v>26</v>
      </c>
      <c r="N1294">
        <v>65</v>
      </c>
    </row>
    <row r="1295" spans="1:14" x14ac:dyDescent="0.25">
      <c r="A1295" t="s">
        <v>2334</v>
      </c>
      <c r="B1295" t="s">
        <v>2335</v>
      </c>
      <c r="C1295" t="s">
        <v>167</v>
      </c>
      <c r="D1295" t="s">
        <v>13</v>
      </c>
      <c r="E1295" t="str">
        <f>"98229"</f>
        <v>98229</v>
      </c>
      <c r="F1295" t="s">
        <v>165</v>
      </c>
      <c r="G1295" t="s">
        <v>1361</v>
      </c>
      <c r="I1295" t="s">
        <v>43</v>
      </c>
      <c r="J1295" t="s">
        <v>13</v>
      </c>
      <c r="K1295" t="str">
        <f>"98040"</f>
        <v>98040</v>
      </c>
      <c r="L1295">
        <v>54</v>
      </c>
      <c r="M1295">
        <v>54</v>
      </c>
      <c r="N1295">
        <v>0</v>
      </c>
    </row>
    <row r="1296" spans="1:14" x14ac:dyDescent="0.25">
      <c r="A1296" t="s">
        <v>789</v>
      </c>
      <c r="B1296" t="s">
        <v>790</v>
      </c>
      <c r="C1296" t="s">
        <v>791</v>
      </c>
      <c r="D1296" t="s">
        <v>13</v>
      </c>
      <c r="E1296" t="str">
        <f>"98264"</f>
        <v>98264</v>
      </c>
      <c r="F1296" t="s">
        <v>165</v>
      </c>
      <c r="G1296" t="s">
        <v>792</v>
      </c>
      <c r="I1296" t="s">
        <v>791</v>
      </c>
      <c r="J1296" t="s">
        <v>13</v>
      </c>
      <c r="K1296" t="str">
        <f>"98264"</f>
        <v>98264</v>
      </c>
      <c r="L1296">
        <v>28</v>
      </c>
      <c r="M1296">
        <v>28</v>
      </c>
      <c r="N1296">
        <v>0</v>
      </c>
    </row>
    <row r="1297" spans="1:14" x14ac:dyDescent="0.25">
      <c r="A1297" t="s">
        <v>2475</v>
      </c>
      <c r="B1297" t="s">
        <v>2476</v>
      </c>
      <c r="C1297" t="s">
        <v>167</v>
      </c>
      <c r="D1297" t="s">
        <v>13</v>
      </c>
      <c r="E1297" t="str">
        <f>"98225"</f>
        <v>98225</v>
      </c>
      <c r="F1297" t="s">
        <v>165</v>
      </c>
      <c r="G1297" t="s">
        <v>2477</v>
      </c>
      <c r="I1297" t="s">
        <v>167</v>
      </c>
      <c r="J1297" t="s">
        <v>13</v>
      </c>
      <c r="K1297" t="str">
        <f>"98227"</f>
        <v>98227</v>
      </c>
      <c r="L1297">
        <v>33</v>
      </c>
      <c r="M1297">
        <v>26</v>
      </c>
      <c r="N1297">
        <v>7</v>
      </c>
    </row>
    <row r="1298" spans="1:14" x14ac:dyDescent="0.25">
      <c r="A1298" t="s">
        <v>3076</v>
      </c>
      <c r="B1298" t="s">
        <v>3077</v>
      </c>
      <c r="C1298" t="s">
        <v>252</v>
      </c>
      <c r="D1298" t="s">
        <v>13</v>
      </c>
      <c r="E1298" t="str">
        <f>"98230"</f>
        <v>98230</v>
      </c>
      <c r="F1298" t="s">
        <v>165</v>
      </c>
      <c r="G1298" t="s">
        <v>3078</v>
      </c>
      <c r="H1298" t="s">
        <v>3079</v>
      </c>
      <c r="I1298" t="s">
        <v>886</v>
      </c>
      <c r="K1298" t="str">
        <f>"     "</f>
        <v xml:space="preserve">     </v>
      </c>
      <c r="L1298">
        <v>12</v>
      </c>
      <c r="M1298">
        <v>12</v>
      </c>
      <c r="N1298">
        <v>0</v>
      </c>
    </row>
    <row r="1299" spans="1:14" x14ac:dyDescent="0.25">
      <c r="A1299" t="s">
        <v>2090</v>
      </c>
      <c r="B1299" t="s">
        <v>2091</v>
      </c>
      <c r="C1299" t="s">
        <v>167</v>
      </c>
      <c r="D1299" t="s">
        <v>13</v>
      </c>
      <c r="E1299" t="str">
        <f>"98225"</f>
        <v>98225</v>
      </c>
      <c r="F1299" t="s">
        <v>165</v>
      </c>
      <c r="G1299" t="s">
        <v>1566</v>
      </c>
      <c r="I1299" t="s">
        <v>107</v>
      </c>
      <c r="J1299" t="s">
        <v>13</v>
      </c>
      <c r="K1299" t="str">
        <f>"98198"</f>
        <v>98198</v>
      </c>
      <c r="L1299">
        <v>85</v>
      </c>
      <c r="M1299">
        <v>77</v>
      </c>
      <c r="N1299">
        <v>8</v>
      </c>
    </row>
    <row r="1300" spans="1:14" x14ac:dyDescent="0.25">
      <c r="A1300" t="s">
        <v>2045</v>
      </c>
      <c r="B1300" t="s">
        <v>2046</v>
      </c>
      <c r="C1300" t="s">
        <v>167</v>
      </c>
      <c r="D1300" t="s">
        <v>13</v>
      </c>
      <c r="E1300" t="str">
        <f>"98498"</f>
        <v>98498</v>
      </c>
      <c r="F1300" t="s">
        <v>165</v>
      </c>
      <c r="G1300" t="s">
        <v>2047</v>
      </c>
      <c r="I1300" t="s">
        <v>605</v>
      </c>
      <c r="J1300" t="s">
        <v>13</v>
      </c>
      <c r="K1300" t="str">
        <f>"98008"</f>
        <v>98008</v>
      </c>
      <c r="L1300">
        <v>23</v>
      </c>
      <c r="M1300">
        <v>23</v>
      </c>
      <c r="N1300">
        <v>0</v>
      </c>
    </row>
    <row r="1301" spans="1:14" x14ac:dyDescent="0.25">
      <c r="A1301" t="s">
        <v>3309</v>
      </c>
      <c r="B1301" t="s">
        <v>3310</v>
      </c>
      <c r="C1301" t="s">
        <v>791</v>
      </c>
      <c r="D1301" t="s">
        <v>13</v>
      </c>
      <c r="E1301" t="str">
        <f>"98264"</f>
        <v>98264</v>
      </c>
      <c r="F1301" t="s">
        <v>165</v>
      </c>
      <c r="G1301" t="s">
        <v>3311</v>
      </c>
      <c r="I1301" t="s">
        <v>791</v>
      </c>
      <c r="J1301" t="s">
        <v>13</v>
      </c>
      <c r="K1301" t="str">
        <f>"98264"</f>
        <v>98264</v>
      </c>
      <c r="L1301">
        <v>29</v>
      </c>
      <c r="M1301">
        <v>27</v>
      </c>
      <c r="N1301">
        <v>2</v>
      </c>
    </row>
    <row r="1302" spans="1:14" x14ac:dyDescent="0.25">
      <c r="A1302" t="s">
        <v>2852</v>
      </c>
      <c r="B1302" t="s">
        <v>2853</v>
      </c>
      <c r="C1302" t="s">
        <v>2540</v>
      </c>
      <c r="D1302" t="s">
        <v>13</v>
      </c>
      <c r="E1302" t="str">
        <f>"99174"</f>
        <v>99174</v>
      </c>
      <c r="F1302" t="s">
        <v>609</v>
      </c>
      <c r="G1302" t="s">
        <v>2854</v>
      </c>
      <c r="I1302" t="s">
        <v>2540</v>
      </c>
      <c r="J1302" t="s">
        <v>13</v>
      </c>
      <c r="K1302" t="str">
        <f>"99111"</f>
        <v>99111</v>
      </c>
      <c r="L1302">
        <v>1</v>
      </c>
      <c r="M1302">
        <v>1</v>
      </c>
      <c r="N1302">
        <v>0</v>
      </c>
    </row>
    <row r="1303" spans="1:14" x14ac:dyDescent="0.25">
      <c r="A1303" t="s">
        <v>1919</v>
      </c>
      <c r="B1303" t="s">
        <v>1920</v>
      </c>
      <c r="C1303" t="s">
        <v>608</v>
      </c>
      <c r="D1303" t="s">
        <v>13</v>
      </c>
      <c r="E1303" t="str">
        <f>"99163"</f>
        <v>99163</v>
      </c>
      <c r="F1303" t="s">
        <v>609</v>
      </c>
      <c r="G1303" t="s">
        <v>1921</v>
      </c>
      <c r="I1303" t="s">
        <v>608</v>
      </c>
      <c r="J1303" t="s">
        <v>13</v>
      </c>
      <c r="K1303" t="str">
        <f>"99163"</f>
        <v>99163</v>
      </c>
      <c r="L1303">
        <v>87</v>
      </c>
      <c r="M1303">
        <v>87</v>
      </c>
      <c r="N1303">
        <v>0</v>
      </c>
    </row>
    <row r="1304" spans="1:14" x14ac:dyDescent="0.25">
      <c r="A1304" t="s">
        <v>2230</v>
      </c>
      <c r="B1304" t="s">
        <v>2231</v>
      </c>
      <c r="C1304" t="s">
        <v>608</v>
      </c>
      <c r="D1304" t="s">
        <v>13</v>
      </c>
      <c r="E1304" t="str">
        <f>"99163"</f>
        <v>99163</v>
      </c>
      <c r="F1304" t="s">
        <v>609</v>
      </c>
      <c r="G1304" t="s">
        <v>2231</v>
      </c>
      <c r="I1304" t="s">
        <v>608</v>
      </c>
      <c r="J1304" t="s">
        <v>13</v>
      </c>
      <c r="K1304" t="str">
        <f>"99163"</f>
        <v>99163</v>
      </c>
      <c r="L1304">
        <v>125</v>
      </c>
      <c r="M1304">
        <v>124</v>
      </c>
      <c r="N1304">
        <v>1</v>
      </c>
    </row>
    <row r="1305" spans="1:14" x14ac:dyDescent="0.25">
      <c r="A1305" t="s">
        <v>2538</v>
      </c>
      <c r="B1305" t="s">
        <v>2539</v>
      </c>
      <c r="C1305" t="s">
        <v>2540</v>
      </c>
      <c r="D1305" t="s">
        <v>13</v>
      </c>
      <c r="E1305" t="str">
        <f>"99111"</f>
        <v>99111</v>
      </c>
      <c r="F1305" t="s">
        <v>609</v>
      </c>
      <c r="G1305" t="s">
        <v>2541</v>
      </c>
      <c r="I1305" t="s">
        <v>2540</v>
      </c>
      <c r="J1305" t="s">
        <v>13</v>
      </c>
      <c r="K1305" t="str">
        <f>"99111"</f>
        <v>99111</v>
      </c>
      <c r="L1305">
        <v>23</v>
      </c>
      <c r="M1305">
        <v>21</v>
      </c>
      <c r="N1305">
        <v>2</v>
      </c>
    </row>
    <row r="1306" spans="1:14" x14ac:dyDescent="0.25">
      <c r="A1306" t="s">
        <v>2850</v>
      </c>
      <c r="B1306" t="s">
        <v>2851</v>
      </c>
      <c r="C1306" t="s">
        <v>2540</v>
      </c>
      <c r="D1306" t="s">
        <v>13</v>
      </c>
      <c r="E1306" t="str">
        <f>"99111"</f>
        <v>99111</v>
      </c>
      <c r="F1306" t="s">
        <v>609</v>
      </c>
      <c r="G1306" t="s">
        <v>2851</v>
      </c>
      <c r="I1306" t="s">
        <v>2540</v>
      </c>
      <c r="J1306" t="s">
        <v>13</v>
      </c>
      <c r="K1306" t="str">
        <f>"99111"</f>
        <v>99111</v>
      </c>
      <c r="L1306">
        <v>4</v>
      </c>
      <c r="M1306">
        <v>4</v>
      </c>
      <c r="N1306">
        <v>0</v>
      </c>
    </row>
    <row r="1307" spans="1:14" x14ac:dyDescent="0.25">
      <c r="A1307" t="s">
        <v>3005</v>
      </c>
      <c r="B1307" t="s">
        <v>3006</v>
      </c>
      <c r="C1307" t="s">
        <v>3007</v>
      </c>
      <c r="D1307" t="s">
        <v>13</v>
      </c>
      <c r="E1307" t="str">
        <f>"99179"</f>
        <v>99179</v>
      </c>
      <c r="F1307" t="s">
        <v>609</v>
      </c>
      <c r="G1307" t="s">
        <v>3008</v>
      </c>
      <c r="I1307" t="s">
        <v>3007</v>
      </c>
      <c r="J1307" t="s">
        <v>13</v>
      </c>
      <c r="K1307" t="str">
        <f>"99179"</f>
        <v>99179</v>
      </c>
      <c r="L1307">
        <v>22</v>
      </c>
      <c r="M1307">
        <v>22</v>
      </c>
      <c r="N1307">
        <v>0</v>
      </c>
    </row>
    <row r="1308" spans="1:14" x14ac:dyDescent="0.25">
      <c r="A1308" t="s">
        <v>3129</v>
      </c>
      <c r="B1308" t="s">
        <v>3130</v>
      </c>
      <c r="C1308" t="s">
        <v>608</v>
      </c>
      <c r="D1308" t="s">
        <v>13</v>
      </c>
      <c r="E1308" t="str">
        <f>"99163"</f>
        <v>99163</v>
      </c>
      <c r="F1308" t="s">
        <v>609</v>
      </c>
      <c r="G1308" t="s">
        <v>3131</v>
      </c>
      <c r="I1308" t="s">
        <v>608</v>
      </c>
      <c r="J1308" t="s">
        <v>13</v>
      </c>
      <c r="K1308" t="str">
        <f>"99163"</f>
        <v>99163</v>
      </c>
      <c r="L1308">
        <v>34</v>
      </c>
      <c r="M1308">
        <v>34</v>
      </c>
      <c r="N1308">
        <v>0</v>
      </c>
    </row>
    <row r="1309" spans="1:14" x14ac:dyDescent="0.25">
      <c r="A1309" t="s">
        <v>3378</v>
      </c>
      <c r="B1309" t="s">
        <v>3379</v>
      </c>
      <c r="C1309" t="s">
        <v>608</v>
      </c>
      <c r="D1309" t="s">
        <v>13</v>
      </c>
      <c r="E1309" t="str">
        <f>"99163"</f>
        <v>99163</v>
      </c>
      <c r="F1309" t="s">
        <v>609</v>
      </c>
      <c r="G1309" t="s">
        <v>3380</v>
      </c>
      <c r="I1309" t="s">
        <v>3381</v>
      </c>
      <c r="J1309" t="s">
        <v>13</v>
      </c>
      <c r="K1309" t="str">
        <f>"99161"</f>
        <v>99161</v>
      </c>
      <c r="L1309">
        <v>35</v>
      </c>
      <c r="M1309">
        <v>30</v>
      </c>
      <c r="N1309">
        <v>5</v>
      </c>
    </row>
    <row r="1310" spans="1:14" x14ac:dyDescent="0.25">
      <c r="A1310" t="s">
        <v>606</v>
      </c>
      <c r="B1310" t="s">
        <v>607</v>
      </c>
      <c r="C1310" t="s">
        <v>608</v>
      </c>
      <c r="D1310" t="s">
        <v>13</v>
      </c>
      <c r="E1310" t="str">
        <f>"99163"</f>
        <v>99163</v>
      </c>
      <c r="F1310" t="s">
        <v>609</v>
      </c>
      <c r="G1310" t="s">
        <v>610</v>
      </c>
      <c r="H1310" t="s">
        <v>611</v>
      </c>
      <c r="I1310" t="s">
        <v>612</v>
      </c>
      <c r="J1310" t="s">
        <v>433</v>
      </c>
      <c r="K1310" t="str">
        <f>"95037"</f>
        <v>95037</v>
      </c>
      <c r="L1310">
        <v>118</v>
      </c>
      <c r="M1310">
        <v>118</v>
      </c>
      <c r="N1310">
        <v>0</v>
      </c>
    </row>
    <row r="1311" spans="1:14" x14ac:dyDescent="0.25">
      <c r="A1311" t="s">
        <v>1934</v>
      </c>
      <c r="B1311" t="s">
        <v>1935</v>
      </c>
      <c r="C1311" t="s">
        <v>100</v>
      </c>
      <c r="D1311" t="s">
        <v>13</v>
      </c>
      <c r="E1311" t="str">
        <f>"98901"</f>
        <v>98901</v>
      </c>
      <c r="F1311" t="s">
        <v>100</v>
      </c>
      <c r="G1311" t="s">
        <v>1933</v>
      </c>
      <c r="I1311" t="s">
        <v>46</v>
      </c>
      <c r="J1311" t="s">
        <v>13</v>
      </c>
      <c r="K1311" t="str">
        <f>"98072"</f>
        <v>98072</v>
      </c>
      <c r="L1311">
        <v>19</v>
      </c>
      <c r="M1311">
        <v>19</v>
      </c>
      <c r="N1311">
        <v>0</v>
      </c>
    </row>
    <row r="1312" spans="1:14" x14ac:dyDescent="0.25">
      <c r="A1312" t="s">
        <v>1931</v>
      </c>
      <c r="B1312" t="s">
        <v>1932</v>
      </c>
      <c r="C1312" t="s">
        <v>100</v>
      </c>
      <c r="D1312" t="s">
        <v>13</v>
      </c>
      <c r="E1312" t="str">
        <f>"98901"</f>
        <v>98901</v>
      </c>
      <c r="F1312" t="s">
        <v>100</v>
      </c>
      <c r="G1312" t="s">
        <v>1933</v>
      </c>
      <c r="I1312" t="s">
        <v>46</v>
      </c>
      <c r="J1312" t="s">
        <v>13</v>
      </c>
      <c r="K1312" t="str">
        <f>"98072"</f>
        <v>98072</v>
      </c>
      <c r="L1312">
        <v>43</v>
      </c>
      <c r="M1312">
        <v>43</v>
      </c>
      <c r="N1312">
        <v>0</v>
      </c>
    </row>
    <row r="1313" spans="1:14" x14ac:dyDescent="0.25">
      <c r="A1313" t="s">
        <v>1644</v>
      </c>
      <c r="B1313" t="s">
        <v>1645</v>
      </c>
      <c r="C1313" t="s">
        <v>1646</v>
      </c>
      <c r="D1313" t="s">
        <v>13</v>
      </c>
      <c r="E1313" t="str">
        <f>"98936"</f>
        <v>98936</v>
      </c>
      <c r="F1313" t="s">
        <v>100</v>
      </c>
      <c r="G1313" t="s">
        <v>1647</v>
      </c>
      <c r="I1313" t="s">
        <v>1646</v>
      </c>
      <c r="J1313" t="s">
        <v>13</v>
      </c>
      <c r="K1313" t="str">
        <f>"98936"</f>
        <v>98936</v>
      </c>
      <c r="L1313">
        <v>57</v>
      </c>
      <c r="M1313">
        <v>57</v>
      </c>
      <c r="N1313">
        <v>0</v>
      </c>
    </row>
    <row r="1314" spans="1:14" x14ac:dyDescent="0.25">
      <c r="A1314" t="s">
        <v>613</v>
      </c>
      <c r="B1314" t="s">
        <v>614</v>
      </c>
      <c r="C1314" t="s">
        <v>100</v>
      </c>
      <c r="D1314" t="s">
        <v>13</v>
      </c>
      <c r="E1314" t="str">
        <f>"98903"</f>
        <v>98903</v>
      </c>
      <c r="F1314" t="s">
        <v>100</v>
      </c>
      <c r="G1314" t="s">
        <v>615</v>
      </c>
      <c r="I1314" t="s">
        <v>100</v>
      </c>
      <c r="J1314" t="s">
        <v>13</v>
      </c>
      <c r="K1314" t="str">
        <f>"98908"</f>
        <v>98908</v>
      </c>
      <c r="L1314">
        <v>4</v>
      </c>
      <c r="M1314">
        <v>4</v>
      </c>
      <c r="N1314">
        <v>0</v>
      </c>
    </row>
    <row r="1315" spans="1:14" x14ac:dyDescent="0.25">
      <c r="A1315" t="s">
        <v>329</v>
      </c>
      <c r="B1315" t="s">
        <v>330</v>
      </c>
      <c r="C1315" t="s">
        <v>331</v>
      </c>
      <c r="D1315" t="s">
        <v>13</v>
      </c>
      <c r="E1315" t="str">
        <f>"98948"</f>
        <v>98948</v>
      </c>
      <c r="F1315" t="s">
        <v>100</v>
      </c>
      <c r="G1315" t="s">
        <v>332</v>
      </c>
      <c r="I1315" t="s">
        <v>331</v>
      </c>
      <c r="J1315" t="s">
        <v>13</v>
      </c>
      <c r="K1315" t="str">
        <f>"98948"</f>
        <v>98948</v>
      </c>
      <c r="L1315">
        <v>6</v>
      </c>
      <c r="M1315">
        <v>5</v>
      </c>
      <c r="N1315">
        <v>1</v>
      </c>
    </row>
    <row r="1316" spans="1:14" x14ac:dyDescent="0.25">
      <c r="A1316" t="s">
        <v>1548</v>
      </c>
      <c r="B1316" t="s">
        <v>1549</v>
      </c>
      <c r="C1316" t="s">
        <v>100</v>
      </c>
      <c r="D1316" t="s">
        <v>13</v>
      </c>
      <c r="E1316" t="str">
        <f>"98903"</f>
        <v>98903</v>
      </c>
      <c r="F1316" t="s">
        <v>100</v>
      </c>
      <c r="G1316" t="s">
        <v>1550</v>
      </c>
      <c r="H1316" t="s">
        <v>1549</v>
      </c>
      <c r="I1316" t="s">
        <v>100</v>
      </c>
      <c r="J1316" t="s">
        <v>13</v>
      </c>
      <c r="K1316" t="str">
        <f>"98903"</f>
        <v>98903</v>
      </c>
      <c r="L1316">
        <v>196</v>
      </c>
      <c r="M1316">
        <v>196</v>
      </c>
      <c r="N1316">
        <v>0</v>
      </c>
    </row>
    <row r="1317" spans="1:14" x14ac:dyDescent="0.25">
      <c r="A1317" t="s">
        <v>3626</v>
      </c>
      <c r="B1317" t="s">
        <v>3627</v>
      </c>
      <c r="C1317" t="s">
        <v>1090</v>
      </c>
      <c r="D1317" t="s">
        <v>13</v>
      </c>
      <c r="E1317" t="str">
        <f>"98944"</f>
        <v>98944</v>
      </c>
      <c r="F1317" t="s">
        <v>100</v>
      </c>
      <c r="G1317" t="s">
        <v>3625</v>
      </c>
      <c r="I1317" t="s">
        <v>22</v>
      </c>
      <c r="J1317" t="s">
        <v>13</v>
      </c>
      <c r="K1317" t="str">
        <f>"98801"</f>
        <v>98801</v>
      </c>
      <c r="L1317">
        <v>35</v>
      </c>
      <c r="M1317">
        <v>22</v>
      </c>
      <c r="N1317">
        <v>13</v>
      </c>
    </row>
    <row r="1318" spans="1:14" x14ac:dyDescent="0.25">
      <c r="A1318" t="s">
        <v>3626</v>
      </c>
      <c r="B1318" t="s">
        <v>3628</v>
      </c>
      <c r="C1318" t="s">
        <v>1090</v>
      </c>
      <c r="D1318" t="s">
        <v>13</v>
      </c>
      <c r="E1318" t="str">
        <f>"98944"</f>
        <v>98944</v>
      </c>
      <c r="F1318" t="s">
        <v>100</v>
      </c>
      <c r="G1318" t="s">
        <v>3625</v>
      </c>
      <c r="I1318" t="s">
        <v>22</v>
      </c>
      <c r="J1318" t="s">
        <v>13</v>
      </c>
      <c r="K1318" t="str">
        <f>"98801"</f>
        <v>98801</v>
      </c>
      <c r="L1318">
        <v>21</v>
      </c>
      <c r="M1318">
        <v>21</v>
      </c>
      <c r="N1318">
        <v>0</v>
      </c>
    </row>
    <row r="1319" spans="1:14" x14ac:dyDescent="0.25">
      <c r="A1319" t="s">
        <v>1125</v>
      </c>
      <c r="B1319" t="s">
        <v>1126</v>
      </c>
      <c r="C1319" t="s">
        <v>100</v>
      </c>
      <c r="D1319" t="s">
        <v>13</v>
      </c>
      <c r="E1319" t="str">
        <f>"98908"</f>
        <v>98908</v>
      </c>
      <c r="F1319" t="s">
        <v>100</v>
      </c>
      <c r="G1319" t="s">
        <v>1127</v>
      </c>
      <c r="I1319" t="s">
        <v>100</v>
      </c>
      <c r="J1319" t="s">
        <v>13</v>
      </c>
      <c r="K1319" t="str">
        <f>"98908"</f>
        <v>98908</v>
      </c>
      <c r="L1319">
        <v>82</v>
      </c>
      <c r="M1319">
        <v>77</v>
      </c>
      <c r="N1319">
        <v>5</v>
      </c>
    </row>
    <row r="1320" spans="1:14" x14ac:dyDescent="0.25">
      <c r="A1320" t="s">
        <v>2338</v>
      </c>
      <c r="B1320" t="s">
        <v>2339</v>
      </c>
      <c r="C1320" t="s">
        <v>100</v>
      </c>
      <c r="D1320" t="s">
        <v>13</v>
      </c>
      <c r="E1320" t="str">
        <f>"98902"</f>
        <v>98902</v>
      </c>
      <c r="F1320" t="s">
        <v>100</v>
      </c>
      <c r="G1320" t="s">
        <v>1361</v>
      </c>
      <c r="I1320" t="s">
        <v>43</v>
      </c>
      <c r="J1320" t="s">
        <v>13</v>
      </c>
      <c r="K1320" t="str">
        <f>"98040"</f>
        <v>98040</v>
      </c>
      <c r="L1320">
        <v>50</v>
      </c>
      <c r="M1320">
        <v>50</v>
      </c>
      <c r="N1320">
        <v>0</v>
      </c>
    </row>
    <row r="1321" spans="1:14" x14ac:dyDescent="0.25">
      <c r="A1321" t="s">
        <v>1445</v>
      </c>
      <c r="B1321" t="s">
        <v>1446</v>
      </c>
      <c r="C1321" t="s">
        <v>100</v>
      </c>
      <c r="D1321" t="s">
        <v>13</v>
      </c>
      <c r="E1321" t="str">
        <f>"98902"</f>
        <v>98902</v>
      </c>
      <c r="F1321" t="s">
        <v>100</v>
      </c>
      <c r="G1321" t="s">
        <v>1444</v>
      </c>
      <c r="I1321" t="s">
        <v>100</v>
      </c>
      <c r="J1321" t="s">
        <v>13</v>
      </c>
      <c r="K1321" t="str">
        <f>"98903"</f>
        <v>98903</v>
      </c>
      <c r="L1321">
        <v>50</v>
      </c>
      <c r="M1321">
        <v>50</v>
      </c>
      <c r="N1321">
        <v>0</v>
      </c>
    </row>
    <row r="1322" spans="1:14" x14ac:dyDescent="0.25">
      <c r="A1322" t="s">
        <v>3861</v>
      </c>
      <c r="B1322" t="s">
        <v>3862</v>
      </c>
      <c r="C1322" t="s">
        <v>100</v>
      </c>
      <c r="D1322" t="s">
        <v>13</v>
      </c>
      <c r="E1322" t="str">
        <f>"98901"</f>
        <v>98901</v>
      </c>
      <c r="F1322" t="s">
        <v>100</v>
      </c>
      <c r="G1322" t="s">
        <v>3863</v>
      </c>
      <c r="I1322" t="s">
        <v>605</v>
      </c>
      <c r="J1322" t="s">
        <v>13</v>
      </c>
      <c r="K1322" t="str">
        <f>"98008"</f>
        <v>98008</v>
      </c>
      <c r="L1322">
        <v>110</v>
      </c>
      <c r="M1322">
        <v>97</v>
      </c>
      <c r="N1322">
        <v>13</v>
      </c>
    </row>
    <row r="1323" spans="1:14" x14ac:dyDescent="0.25">
      <c r="A1323" t="s">
        <v>1586</v>
      </c>
      <c r="B1323" t="s">
        <v>3298</v>
      </c>
      <c r="C1323" t="s">
        <v>100</v>
      </c>
      <c r="D1323" t="s">
        <v>13</v>
      </c>
      <c r="E1323" t="str">
        <f>"98901"</f>
        <v>98901</v>
      </c>
      <c r="F1323" t="s">
        <v>100</v>
      </c>
      <c r="G1323" t="s">
        <v>3299</v>
      </c>
      <c r="I1323" t="s">
        <v>3300</v>
      </c>
      <c r="J1323" t="s">
        <v>821</v>
      </c>
      <c r="K1323" t="str">
        <f>"97080"</f>
        <v>97080</v>
      </c>
      <c r="L1323">
        <v>64</v>
      </c>
      <c r="M1323">
        <v>64</v>
      </c>
      <c r="N1323">
        <v>0</v>
      </c>
    </row>
    <row r="1324" spans="1:14" x14ac:dyDescent="0.25">
      <c r="A1324" t="s">
        <v>530</v>
      </c>
      <c r="B1324" t="s">
        <v>531</v>
      </c>
      <c r="C1324" t="s">
        <v>100</v>
      </c>
      <c r="D1324" t="s">
        <v>13</v>
      </c>
      <c r="E1324" t="str">
        <f>"98901"</f>
        <v>98901</v>
      </c>
      <c r="F1324" t="s">
        <v>100</v>
      </c>
      <c r="G1324" t="s">
        <v>532</v>
      </c>
      <c r="I1324" t="s">
        <v>48</v>
      </c>
      <c r="J1324" t="s">
        <v>13</v>
      </c>
      <c r="K1324" t="str">
        <f>"98028"</f>
        <v>98028</v>
      </c>
      <c r="L1324">
        <v>61</v>
      </c>
      <c r="M1324">
        <v>59</v>
      </c>
      <c r="N1324">
        <v>2</v>
      </c>
    </row>
    <row r="1325" spans="1:14" x14ac:dyDescent="0.25">
      <c r="A1325" t="s">
        <v>1128</v>
      </c>
      <c r="B1325" t="s">
        <v>1129</v>
      </c>
      <c r="C1325" t="s">
        <v>1130</v>
      </c>
      <c r="D1325" t="s">
        <v>13</v>
      </c>
      <c r="E1325" t="str">
        <f>"98903"</f>
        <v>98903</v>
      </c>
      <c r="F1325" t="s">
        <v>100</v>
      </c>
      <c r="G1325" t="s">
        <v>1127</v>
      </c>
      <c r="I1325" t="s">
        <v>100</v>
      </c>
      <c r="J1325" t="s">
        <v>13</v>
      </c>
      <c r="K1325" t="str">
        <f>"98908"</f>
        <v>98908</v>
      </c>
      <c r="L1325">
        <v>58</v>
      </c>
      <c r="M1325">
        <v>57</v>
      </c>
      <c r="N1325">
        <v>1</v>
      </c>
    </row>
    <row r="1326" spans="1:14" x14ac:dyDescent="0.25">
      <c r="A1326" t="s">
        <v>3112</v>
      </c>
      <c r="B1326" t="s">
        <v>3113</v>
      </c>
      <c r="C1326" t="s">
        <v>1090</v>
      </c>
      <c r="D1326" t="s">
        <v>13</v>
      </c>
      <c r="E1326" t="str">
        <f>"98944"</f>
        <v>98944</v>
      </c>
      <c r="F1326" t="s">
        <v>100</v>
      </c>
      <c r="G1326" t="s">
        <v>3114</v>
      </c>
      <c r="I1326" t="s">
        <v>3115</v>
      </c>
      <c r="J1326" t="s">
        <v>13</v>
      </c>
      <c r="K1326" t="str">
        <f>"98938"</f>
        <v>98938</v>
      </c>
      <c r="L1326">
        <v>38</v>
      </c>
      <c r="M1326">
        <v>38</v>
      </c>
      <c r="N1326">
        <v>0</v>
      </c>
    </row>
    <row r="1327" spans="1:14" x14ac:dyDescent="0.25">
      <c r="A1327" t="s">
        <v>2649</v>
      </c>
      <c r="B1327" t="s">
        <v>2650</v>
      </c>
      <c r="C1327" t="s">
        <v>100</v>
      </c>
      <c r="D1327" t="s">
        <v>13</v>
      </c>
      <c r="E1327" t="str">
        <f>"98902"</f>
        <v>98902</v>
      </c>
      <c r="F1327" t="s">
        <v>100</v>
      </c>
      <c r="G1327" t="s">
        <v>2650</v>
      </c>
      <c r="I1327" t="s">
        <v>100</v>
      </c>
      <c r="J1327" t="s">
        <v>13</v>
      </c>
      <c r="K1327" t="str">
        <f>"98902"</f>
        <v>98902</v>
      </c>
      <c r="L1327">
        <v>31</v>
      </c>
      <c r="M1327">
        <v>31</v>
      </c>
      <c r="N1327">
        <v>0</v>
      </c>
    </row>
    <row r="1328" spans="1:14" x14ac:dyDescent="0.25">
      <c r="A1328" t="s">
        <v>4013</v>
      </c>
      <c r="B1328" t="s">
        <v>4014</v>
      </c>
      <c r="C1328" t="s">
        <v>100</v>
      </c>
      <c r="D1328" t="s">
        <v>13</v>
      </c>
      <c r="E1328" t="str">
        <f>"98902"</f>
        <v>98902</v>
      </c>
      <c r="F1328" t="s">
        <v>100</v>
      </c>
      <c r="G1328" t="s">
        <v>4014</v>
      </c>
      <c r="I1328" t="s">
        <v>100</v>
      </c>
      <c r="J1328" t="s">
        <v>13</v>
      </c>
      <c r="K1328" t="str">
        <f>"98902"</f>
        <v>98902</v>
      </c>
      <c r="L1328">
        <v>0</v>
      </c>
      <c r="M1328">
        <v>0</v>
      </c>
      <c r="N1328">
        <v>0</v>
      </c>
    </row>
    <row r="1329" spans="1:14" x14ac:dyDescent="0.25">
      <c r="A1329" t="s">
        <v>1449</v>
      </c>
      <c r="B1329" t="s">
        <v>1450</v>
      </c>
      <c r="C1329" t="s">
        <v>100</v>
      </c>
      <c r="D1329" t="s">
        <v>13</v>
      </c>
      <c r="E1329" t="str">
        <f>"98908"</f>
        <v>98908</v>
      </c>
      <c r="F1329" t="s">
        <v>100</v>
      </c>
      <c r="G1329" t="s">
        <v>1444</v>
      </c>
      <c r="I1329" t="s">
        <v>100</v>
      </c>
      <c r="J1329" t="s">
        <v>13</v>
      </c>
      <c r="K1329" t="str">
        <f>"98903"</f>
        <v>98903</v>
      </c>
      <c r="L1329">
        <v>34</v>
      </c>
      <c r="M1329">
        <v>34</v>
      </c>
      <c r="N1329">
        <v>0</v>
      </c>
    </row>
    <row r="1330" spans="1:14" x14ac:dyDescent="0.25">
      <c r="A1330" t="s">
        <v>3285</v>
      </c>
      <c r="B1330" t="s">
        <v>3286</v>
      </c>
      <c r="C1330" t="s">
        <v>100</v>
      </c>
      <c r="D1330" t="s">
        <v>13</v>
      </c>
      <c r="E1330" t="str">
        <f>"98903"</f>
        <v>98903</v>
      </c>
      <c r="F1330" t="s">
        <v>100</v>
      </c>
      <c r="G1330" t="s">
        <v>3282</v>
      </c>
      <c r="I1330" t="s">
        <v>3283</v>
      </c>
      <c r="J1330" t="s">
        <v>13</v>
      </c>
      <c r="K1330" t="str">
        <f>"98383"</f>
        <v>98383</v>
      </c>
      <c r="L1330">
        <v>154</v>
      </c>
      <c r="M1330">
        <v>154</v>
      </c>
      <c r="N1330">
        <v>0</v>
      </c>
    </row>
    <row r="1331" spans="1:14" x14ac:dyDescent="0.25">
      <c r="A1331" t="s">
        <v>2030</v>
      </c>
      <c r="B1331" t="s">
        <v>2031</v>
      </c>
      <c r="C1331" t="s">
        <v>1579</v>
      </c>
      <c r="D1331" t="s">
        <v>13</v>
      </c>
      <c r="E1331" t="str">
        <f>"98930"</f>
        <v>98930</v>
      </c>
      <c r="F1331" t="s">
        <v>100</v>
      </c>
      <c r="G1331" t="s">
        <v>1576</v>
      </c>
      <c r="I1331" t="s">
        <v>605</v>
      </c>
      <c r="J1331" t="s">
        <v>13</v>
      </c>
      <c r="K1331" t="str">
        <f>"98006"</f>
        <v>98006</v>
      </c>
      <c r="L1331">
        <v>84</v>
      </c>
      <c r="M1331">
        <v>83</v>
      </c>
      <c r="N1331">
        <v>1</v>
      </c>
    </row>
    <row r="1332" spans="1:14" x14ac:dyDescent="0.25">
      <c r="A1332" t="s">
        <v>1453</v>
      </c>
      <c r="B1332" t="s">
        <v>1454</v>
      </c>
      <c r="C1332" t="s">
        <v>1455</v>
      </c>
      <c r="D1332" t="s">
        <v>13</v>
      </c>
      <c r="E1332" t="str">
        <f>"98932"</f>
        <v>98932</v>
      </c>
      <c r="F1332" t="s">
        <v>100</v>
      </c>
      <c r="G1332" t="s">
        <v>1456</v>
      </c>
      <c r="I1332" t="s">
        <v>1090</v>
      </c>
      <c r="J1332" t="s">
        <v>13</v>
      </c>
      <c r="K1332" t="str">
        <f>"98944"</f>
        <v>98944</v>
      </c>
      <c r="L1332">
        <v>101</v>
      </c>
      <c r="M1332">
        <v>73</v>
      </c>
      <c r="N1332">
        <v>28</v>
      </c>
    </row>
    <row r="1333" spans="1:14" x14ac:dyDescent="0.25">
      <c r="A1333" t="s">
        <v>1466</v>
      </c>
      <c r="B1333" t="s">
        <v>1467</v>
      </c>
      <c r="C1333" t="s">
        <v>331</v>
      </c>
      <c r="D1333" t="s">
        <v>13</v>
      </c>
      <c r="E1333" t="str">
        <f>"98948"</f>
        <v>98948</v>
      </c>
      <c r="F1333" t="s">
        <v>100</v>
      </c>
      <c r="G1333" t="s">
        <v>1353</v>
      </c>
      <c r="I1333" t="s">
        <v>331</v>
      </c>
      <c r="J1333" t="s">
        <v>13</v>
      </c>
      <c r="K1333" t="str">
        <f>"98948"</f>
        <v>98948</v>
      </c>
      <c r="L1333">
        <v>13</v>
      </c>
      <c r="M1333">
        <v>13</v>
      </c>
      <c r="N1333">
        <v>0</v>
      </c>
    </row>
    <row r="1334" spans="1:14" x14ac:dyDescent="0.25">
      <c r="A1334" t="s">
        <v>3708</v>
      </c>
      <c r="B1334" t="s">
        <v>3709</v>
      </c>
      <c r="C1334" t="s">
        <v>1130</v>
      </c>
      <c r="D1334" t="s">
        <v>13</v>
      </c>
      <c r="E1334" t="str">
        <f>"98903"</f>
        <v>98903</v>
      </c>
      <c r="F1334" t="s">
        <v>100</v>
      </c>
      <c r="G1334" t="s">
        <v>3710</v>
      </c>
      <c r="I1334" t="s">
        <v>107</v>
      </c>
      <c r="J1334" t="s">
        <v>13</v>
      </c>
      <c r="K1334" t="str">
        <f>"98121"</f>
        <v>98121</v>
      </c>
      <c r="L1334">
        <v>19</v>
      </c>
      <c r="M1334">
        <v>19</v>
      </c>
      <c r="N1334">
        <v>0</v>
      </c>
    </row>
    <row r="1335" spans="1:14" x14ac:dyDescent="0.25">
      <c r="A1335" t="s">
        <v>2083</v>
      </c>
      <c r="B1335" t="s">
        <v>2084</v>
      </c>
      <c r="C1335" t="s">
        <v>1455</v>
      </c>
      <c r="D1335" t="s">
        <v>13</v>
      </c>
      <c r="E1335" t="str">
        <f>"98932"</f>
        <v>98932</v>
      </c>
      <c r="F1335" t="s">
        <v>100</v>
      </c>
      <c r="G1335" t="s">
        <v>2085</v>
      </c>
      <c r="I1335" t="s">
        <v>100</v>
      </c>
      <c r="J1335" t="s">
        <v>13</v>
      </c>
      <c r="K1335" t="str">
        <f>"98908"</f>
        <v>98908</v>
      </c>
      <c r="L1335">
        <v>15</v>
      </c>
      <c r="M1335">
        <v>15</v>
      </c>
      <c r="N1335">
        <v>0</v>
      </c>
    </row>
    <row r="1336" spans="1:14" x14ac:dyDescent="0.25">
      <c r="A1336" t="s">
        <v>1961</v>
      </c>
      <c r="B1336" t="s">
        <v>1962</v>
      </c>
      <c r="C1336" t="s">
        <v>1579</v>
      </c>
      <c r="D1336" t="s">
        <v>13</v>
      </c>
      <c r="E1336" t="str">
        <f>"98930"</f>
        <v>98930</v>
      </c>
      <c r="F1336" t="s">
        <v>100</v>
      </c>
      <c r="G1336" t="s">
        <v>1963</v>
      </c>
      <c r="I1336" t="s">
        <v>194</v>
      </c>
      <c r="J1336" t="s">
        <v>13</v>
      </c>
      <c r="K1336" t="str">
        <f>"98349"</f>
        <v>98349</v>
      </c>
      <c r="L1336">
        <v>122</v>
      </c>
      <c r="M1336">
        <v>116</v>
      </c>
      <c r="N1336">
        <v>6</v>
      </c>
    </row>
    <row r="1337" spans="1:14" x14ac:dyDescent="0.25">
      <c r="A1337" t="s">
        <v>3253</v>
      </c>
      <c r="B1337" t="s">
        <v>3254</v>
      </c>
      <c r="C1337" t="s">
        <v>100</v>
      </c>
      <c r="D1337" t="s">
        <v>13</v>
      </c>
      <c r="E1337" t="str">
        <f>"98903"</f>
        <v>98903</v>
      </c>
      <c r="F1337" t="s">
        <v>100</v>
      </c>
      <c r="G1337" t="s">
        <v>3255</v>
      </c>
      <c r="I1337" t="s">
        <v>100</v>
      </c>
      <c r="J1337" t="s">
        <v>13</v>
      </c>
      <c r="K1337" t="str">
        <f>"98908"</f>
        <v>98908</v>
      </c>
      <c r="L1337">
        <v>7</v>
      </c>
      <c r="M1337">
        <v>1</v>
      </c>
      <c r="N1337">
        <v>6</v>
      </c>
    </row>
    <row r="1338" spans="1:14" x14ac:dyDescent="0.25">
      <c r="A1338" t="s">
        <v>3201</v>
      </c>
      <c r="B1338" t="s">
        <v>3202</v>
      </c>
      <c r="C1338" t="s">
        <v>1130</v>
      </c>
      <c r="D1338" t="s">
        <v>13</v>
      </c>
      <c r="E1338" t="str">
        <f>"98903"</f>
        <v>98903</v>
      </c>
      <c r="F1338" t="s">
        <v>100</v>
      </c>
      <c r="G1338" t="s">
        <v>3203</v>
      </c>
      <c r="I1338" t="s">
        <v>100</v>
      </c>
      <c r="J1338" t="s">
        <v>13</v>
      </c>
      <c r="K1338" t="str">
        <f>"98907"</f>
        <v>98907</v>
      </c>
      <c r="L1338">
        <v>66</v>
      </c>
      <c r="M1338">
        <v>66</v>
      </c>
      <c r="N1338">
        <v>0</v>
      </c>
    </row>
    <row r="1339" spans="1:14" x14ac:dyDescent="0.25">
      <c r="A1339" t="s">
        <v>2756</v>
      </c>
      <c r="B1339" t="s">
        <v>2757</v>
      </c>
      <c r="C1339" t="s">
        <v>736</v>
      </c>
      <c r="D1339" t="s">
        <v>13</v>
      </c>
      <c r="E1339" t="str">
        <f>"98953"</f>
        <v>98953</v>
      </c>
      <c r="F1339" t="s">
        <v>100</v>
      </c>
      <c r="G1339" t="s">
        <v>2758</v>
      </c>
      <c r="I1339" t="s">
        <v>598</v>
      </c>
      <c r="J1339" t="s">
        <v>13</v>
      </c>
      <c r="K1339" t="str">
        <f>"98370"</f>
        <v>98370</v>
      </c>
      <c r="L1339">
        <v>34</v>
      </c>
      <c r="M1339">
        <v>34</v>
      </c>
      <c r="N1339">
        <v>0</v>
      </c>
    </row>
    <row r="1340" spans="1:14" x14ac:dyDescent="0.25">
      <c r="A1340" t="s">
        <v>1884</v>
      </c>
      <c r="B1340" t="s">
        <v>1885</v>
      </c>
      <c r="C1340" t="s">
        <v>100</v>
      </c>
      <c r="D1340" t="s">
        <v>13</v>
      </c>
      <c r="E1340" t="str">
        <f>"98908"</f>
        <v>98908</v>
      </c>
      <c r="F1340" t="s">
        <v>100</v>
      </c>
      <c r="G1340" t="s">
        <v>1886</v>
      </c>
      <c r="I1340" t="s">
        <v>1887</v>
      </c>
      <c r="J1340" t="s">
        <v>433</v>
      </c>
      <c r="K1340" t="str">
        <f>"94024"</f>
        <v>94024</v>
      </c>
      <c r="L1340">
        <v>246</v>
      </c>
      <c r="M1340">
        <v>224</v>
      </c>
      <c r="N1340">
        <v>22</v>
      </c>
    </row>
    <row r="1341" spans="1:14" x14ac:dyDescent="0.25">
      <c r="A1341" t="s">
        <v>2952</v>
      </c>
      <c r="B1341" t="s">
        <v>2953</v>
      </c>
      <c r="C1341" t="s">
        <v>100</v>
      </c>
      <c r="D1341" t="s">
        <v>13</v>
      </c>
      <c r="E1341" t="str">
        <f>"98902"</f>
        <v>98902</v>
      </c>
      <c r="F1341" t="s">
        <v>100</v>
      </c>
      <c r="G1341" t="s">
        <v>2954</v>
      </c>
      <c r="I1341" t="s">
        <v>1475</v>
      </c>
      <c r="J1341" t="s">
        <v>433</v>
      </c>
      <c r="K1341" t="str">
        <f>"92646"</f>
        <v>92646</v>
      </c>
      <c r="L1341">
        <v>51</v>
      </c>
      <c r="M1341">
        <v>51</v>
      </c>
      <c r="N1341">
        <v>0</v>
      </c>
    </row>
    <row r="1342" spans="1:14" x14ac:dyDescent="0.25">
      <c r="A1342" t="s">
        <v>82</v>
      </c>
      <c r="B1342" t="s">
        <v>1095</v>
      </c>
      <c r="C1342" t="s">
        <v>100</v>
      </c>
      <c r="D1342" t="s">
        <v>13</v>
      </c>
      <c r="E1342" t="str">
        <f>"98908"</f>
        <v>98908</v>
      </c>
      <c r="F1342" t="s">
        <v>100</v>
      </c>
      <c r="G1342" t="s">
        <v>1096</v>
      </c>
      <c r="I1342" t="s">
        <v>100</v>
      </c>
      <c r="J1342" t="s">
        <v>13</v>
      </c>
      <c r="K1342" t="str">
        <f>"98908"</f>
        <v>98908</v>
      </c>
      <c r="L1342">
        <v>127</v>
      </c>
      <c r="M1342">
        <v>127</v>
      </c>
      <c r="N1342">
        <v>0</v>
      </c>
    </row>
    <row r="1343" spans="1:14" x14ac:dyDescent="0.25">
      <c r="A1343" t="s">
        <v>1442</v>
      </c>
      <c r="B1343" t="s">
        <v>1443</v>
      </c>
      <c r="C1343" t="s">
        <v>1267</v>
      </c>
      <c r="D1343" t="s">
        <v>13</v>
      </c>
      <c r="E1343" t="str">
        <f>"98942"</f>
        <v>98942</v>
      </c>
      <c r="F1343" t="s">
        <v>100</v>
      </c>
      <c r="G1343" t="s">
        <v>1444</v>
      </c>
      <c r="I1343" t="s">
        <v>100</v>
      </c>
      <c r="J1343" t="s">
        <v>13</v>
      </c>
      <c r="K1343" t="str">
        <f>"98903"</f>
        <v>98903</v>
      </c>
      <c r="L1343">
        <v>36</v>
      </c>
      <c r="M1343">
        <v>36</v>
      </c>
      <c r="N1343">
        <v>0</v>
      </c>
    </row>
    <row r="1344" spans="1:14" x14ac:dyDescent="0.25">
      <c r="A1344" t="s">
        <v>4063</v>
      </c>
      <c r="B1344" t="s">
        <v>1853</v>
      </c>
      <c r="C1344" t="s">
        <v>1646</v>
      </c>
      <c r="D1344" t="s">
        <v>13</v>
      </c>
      <c r="E1344" t="str">
        <f>"98936"</f>
        <v>98936</v>
      </c>
      <c r="F1344" t="s">
        <v>100</v>
      </c>
      <c r="G1344" t="s">
        <v>1853</v>
      </c>
      <c r="I1344" t="s">
        <v>1646</v>
      </c>
      <c r="J1344" t="s">
        <v>13</v>
      </c>
      <c r="K1344" t="str">
        <f>"98936"</f>
        <v>98936</v>
      </c>
      <c r="L1344">
        <v>62</v>
      </c>
      <c r="M1344">
        <v>62</v>
      </c>
      <c r="N1344">
        <v>0</v>
      </c>
    </row>
    <row r="1345" spans="1:14" x14ac:dyDescent="0.25">
      <c r="A1345" t="s">
        <v>3653</v>
      </c>
      <c r="B1345" t="s">
        <v>3654</v>
      </c>
      <c r="C1345" t="s">
        <v>3651</v>
      </c>
      <c r="D1345" t="s">
        <v>13</v>
      </c>
      <c r="E1345" t="str">
        <f>"98937"</f>
        <v>98937</v>
      </c>
      <c r="F1345" t="s">
        <v>100</v>
      </c>
      <c r="G1345" t="s">
        <v>3652</v>
      </c>
      <c r="I1345" t="s">
        <v>107</v>
      </c>
      <c r="J1345" t="s">
        <v>13</v>
      </c>
      <c r="K1345" t="str">
        <f>"98121"</f>
        <v>98121</v>
      </c>
      <c r="L1345">
        <v>19</v>
      </c>
      <c r="M1345">
        <v>19</v>
      </c>
      <c r="N1345">
        <v>0</v>
      </c>
    </row>
    <row r="1346" spans="1:14" x14ac:dyDescent="0.25">
      <c r="A1346" t="s">
        <v>1820</v>
      </c>
      <c r="B1346" t="s">
        <v>1821</v>
      </c>
      <c r="C1346" t="s">
        <v>1090</v>
      </c>
      <c r="D1346" t="s">
        <v>13</v>
      </c>
      <c r="E1346" t="str">
        <f>"98944"</f>
        <v>98944</v>
      </c>
      <c r="F1346" t="s">
        <v>100</v>
      </c>
      <c r="G1346" t="s">
        <v>1822</v>
      </c>
      <c r="I1346" t="s">
        <v>883</v>
      </c>
      <c r="J1346" t="s">
        <v>13</v>
      </c>
      <c r="K1346" t="str">
        <f>"99352"</f>
        <v>99352</v>
      </c>
      <c r="L1346">
        <v>47</v>
      </c>
      <c r="M1346">
        <v>43</v>
      </c>
      <c r="N1346">
        <v>4</v>
      </c>
    </row>
    <row r="1347" spans="1:14" x14ac:dyDescent="0.25">
      <c r="A1347" t="s">
        <v>3037</v>
      </c>
      <c r="B1347" t="s">
        <v>3038</v>
      </c>
      <c r="C1347" t="s">
        <v>100</v>
      </c>
      <c r="D1347" t="s">
        <v>13</v>
      </c>
      <c r="E1347" t="str">
        <f>"98903"</f>
        <v>98903</v>
      </c>
      <c r="F1347" t="s">
        <v>100</v>
      </c>
      <c r="G1347" t="s">
        <v>3039</v>
      </c>
      <c r="I1347" t="s">
        <v>100</v>
      </c>
      <c r="J1347" t="s">
        <v>13</v>
      </c>
      <c r="K1347" t="str">
        <f>"98903"</f>
        <v>98903</v>
      </c>
      <c r="L1347">
        <v>36</v>
      </c>
      <c r="M1347">
        <v>36</v>
      </c>
      <c r="N1347">
        <v>0</v>
      </c>
    </row>
    <row r="1348" spans="1:14" x14ac:dyDescent="0.25">
      <c r="A1348" t="s">
        <v>1577</v>
      </c>
      <c r="B1348" t="s">
        <v>1578</v>
      </c>
      <c r="C1348" t="s">
        <v>1579</v>
      </c>
      <c r="D1348" t="s">
        <v>13</v>
      </c>
      <c r="E1348" t="str">
        <f>"98930"</f>
        <v>98930</v>
      </c>
      <c r="F1348" t="s">
        <v>100</v>
      </c>
      <c r="G1348" t="s">
        <v>1576</v>
      </c>
      <c r="I1348" t="s">
        <v>605</v>
      </c>
      <c r="J1348" t="s">
        <v>13</v>
      </c>
      <c r="K1348" t="str">
        <f>"98006"</f>
        <v>98006</v>
      </c>
      <c r="L1348">
        <v>50</v>
      </c>
      <c r="M1348">
        <v>50</v>
      </c>
      <c r="N1348">
        <v>0</v>
      </c>
    </row>
    <row r="1349" spans="1:14" x14ac:dyDescent="0.25">
      <c r="A1349" t="s">
        <v>1746</v>
      </c>
      <c r="B1349" t="s">
        <v>1747</v>
      </c>
      <c r="C1349" t="s">
        <v>1748</v>
      </c>
      <c r="D1349" t="s">
        <v>13</v>
      </c>
      <c r="E1349" t="str">
        <f>"98951"</f>
        <v>98951</v>
      </c>
      <c r="F1349" t="s">
        <v>100</v>
      </c>
      <c r="G1349" t="s">
        <v>1749</v>
      </c>
      <c r="I1349" t="s">
        <v>100</v>
      </c>
      <c r="J1349" t="s">
        <v>13</v>
      </c>
      <c r="K1349" t="str">
        <f>"98901"</f>
        <v>98901</v>
      </c>
      <c r="L1349">
        <v>11</v>
      </c>
      <c r="M1349">
        <v>11</v>
      </c>
      <c r="N1349">
        <v>0</v>
      </c>
    </row>
    <row r="1350" spans="1:14" x14ac:dyDescent="0.25">
      <c r="A1350" t="s">
        <v>2790</v>
      </c>
      <c r="B1350" t="s">
        <v>2791</v>
      </c>
      <c r="C1350" t="s">
        <v>100</v>
      </c>
      <c r="D1350" t="s">
        <v>13</v>
      </c>
      <c r="E1350" t="str">
        <f>"98901"</f>
        <v>98901</v>
      </c>
      <c r="F1350" t="s">
        <v>100</v>
      </c>
      <c r="G1350" t="s">
        <v>1816</v>
      </c>
      <c r="H1350" t="s">
        <v>326</v>
      </c>
      <c r="I1350" t="s">
        <v>107</v>
      </c>
      <c r="J1350" t="s">
        <v>13</v>
      </c>
      <c r="K1350" t="str">
        <f>"98105"</f>
        <v>98105</v>
      </c>
      <c r="L1350">
        <v>90</v>
      </c>
      <c r="M1350">
        <v>44</v>
      </c>
      <c r="N1350">
        <v>46</v>
      </c>
    </row>
    <row r="1351" spans="1:14" x14ac:dyDescent="0.25">
      <c r="A1351" t="s">
        <v>1968</v>
      </c>
      <c r="B1351" t="s">
        <v>1969</v>
      </c>
      <c r="C1351" t="s">
        <v>1579</v>
      </c>
      <c r="D1351" t="s">
        <v>13</v>
      </c>
      <c r="E1351" t="str">
        <f>"98930"</f>
        <v>98930</v>
      </c>
      <c r="F1351" t="s">
        <v>100</v>
      </c>
      <c r="G1351" t="s">
        <v>1954</v>
      </c>
      <c r="I1351" t="s">
        <v>1498</v>
      </c>
      <c r="J1351" t="s">
        <v>13</v>
      </c>
      <c r="K1351" t="str">
        <f>"98045"</f>
        <v>98045</v>
      </c>
      <c r="L1351">
        <v>103</v>
      </c>
      <c r="M1351">
        <v>95</v>
      </c>
      <c r="N1351">
        <v>8</v>
      </c>
    </row>
    <row r="1352" spans="1:14" x14ac:dyDescent="0.25">
      <c r="A1352" t="s">
        <v>734</v>
      </c>
      <c r="B1352" t="s">
        <v>735</v>
      </c>
      <c r="C1352" t="s">
        <v>736</v>
      </c>
      <c r="D1352" t="s">
        <v>13</v>
      </c>
      <c r="E1352" t="str">
        <f>"98953"</f>
        <v>98953</v>
      </c>
      <c r="F1352" t="s">
        <v>100</v>
      </c>
      <c r="G1352" t="s">
        <v>735</v>
      </c>
      <c r="I1352" t="s">
        <v>736</v>
      </c>
      <c r="J1352" t="s">
        <v>13</v>
      </c>
      <c r="K1352" t="str">
        <f>"98953"</f>
        <v>98953</v>
      </c>
      <c r="L1352">
        <v>6</v>
      </c>
      <c r="M1352">
        <v>6</v>
      </c>
      <c r="N1352">
        <v>0</v>
      </c>
    </row>
    <row r="1353" spans="1:14" x14ac:dyDescent="0.25">
      <c r="A1353" t="s">
        <v>2363</v>
      </c>
      <c r="B1353" t="s">
        <v>2364</v>
      </c>
      <c r="C1353" t="s">
        <v>100</v>
      </c>
      <c r="D1353" t="s">
        <v>13</v>
      </c>
      <c r="E1353" t="str">
        <f>"98902"</f>
        <v>98902</v>
      </c>
      <c r="F1353" t="s">
        <v>100</v>
      </c>
      <c r="G1353" t="s">
        <v>1521</v>
      </c>
      <c r="I1353" t="s">
        <v>1522</v>
      </c>
      <c r="J1353" t="s">
        <v>433</v>
      </c>
      <c r="K1353" t="str">
        <f>"92614"</f>
        <v>92614</v>
      </c>
      <c r="L1353">
        <v>79</v>
      </c>
      <c r="M1353">
        <v>65</v>
      </c>
      <c r="N1353">
        <v>14</v>
      </c>
    </row>
    <row r="1354" spans="1:14" x14ac:dyDescent="0.25">
      <c r="A1354" t="s">
        <v>1797</v>
      </c>
      <c r="B1354" t="s">
        <v>1798</v>
      </c>
      <c r="C1354" t="s">
        <v>100</v>
      </c>
      <c r="D1354" t="s">
        <v>13</v>
      </c>
      <c r="E1354" t="str">
        <f>"98901"</f>
        <v>98901</v>
      </c>
      <c r="F1354" t="s">
        <v>100</v>
      </c>
      <c r="G1354" t="s">
        <v>1799</v>
      </c>
      <c r="I1354" t="s">
        <v>100</v>
      </c>
      <c r="J1354" t="s">
        <v>13</v>
      </c>
      <c r="K1354" t="str">
        <f>"98901"</f>
        <v>98901</v>
      </c>
      <c r="L1354">
        <v>30</v>
      </c>
      <c r="M1354">
        <v>10</v>
      </c>
      <c r="N1354">
        <v>20</v>
      </c>
    </row>
    <row r="1355" spans="1:14" x14ac:dyDescent="0.25">
      <c r="A1355" t="s">
        <v>2165</v>
      </c>
      <c r="B1355" t="s">
        <v>2166</v>
      </c>
      <c r="C1355" t="s">
        <v>100</v>
      </c>
      <c r="D1355" t="s">
        <v>13</v>
      </c>
      <c r="E1355" t="str">
        <f>"98908"</f>
        <v>98908</v>
      </c>
      <c r="F1355" t="s">
        <v>100</v>
      </c>
      <c r="G1355" t="s">
        <v>2167</v>
      </c>
      <c r="I1355" t="s">
        <v>100</v>
      </c>
      <c r="J1355" t="s">
        <v>13</v>
      </c>
      <c r="K1355" t="str">
        <f>"98902"</f>
        <v>98902</v>
      </c>
      <c r="L1355">
        <v>98</v>
      </c>
      <c r="M1355">
        <v>46</v>
      </c>
      <c r="N1355">
        <v>52</v>
      </c>
    </row>
    <row r="1356" spans="1:14" x14ac:dyDescent="0.25">
      <c r="A1356" t="s">
        <v>1949</v>
      </c>
      <c r="B1356" t="s">
        <v>1950</v>
      </c>
      <c r="C1356" t="s">
        <v>1130</v>
      </c>
      <c r="D1356" t="s">
        <v>13</v>
      </c>
      <c r="E1356" t="str">
        <f>"98903"</f>
        <v>98903</v>
      </c>
      <c r="F1356" t="s">
        <v>100</v>
      </c>
      <c r="G1356" t="s">
        <v>1951</v>
      </c>
      <c r="I1356" t="s">
        <v>100</v>
      </c>
      <c r="J1356" t="s">
        <v>13</v>
      </c>
      <c r="K1356" t="str">
        <f>"98908"</f>
        <v>98908</v>
      </c>
      <c r="L1356">
        <v>5</v>
      </c>
      <c r="M1356">
        <v>5</v>
      </c>
      <c r="N1356">
        <v>0</v>
      </c>
    </row>
    <row r="1357" spans="1:14" x14ac:dyDescent="0.25">
      <c r="A1357" t="s">
        <v>1265</v>
      </c>
      <c r="B1357" t="s">
        <v>1266</v>
      </c>
      <c r="C1357" t="s">
        <v>1267</v>
      </c>
      <c r="D1357" t="s">
        <v>13</v>
      </c>
      <c r="E1357" t="str">
        <f>"98942"</f>
        <v>98942</v>
      </c>
      <c r="F1357" t="s">
        <v>100</v>
      </c>
      <c r="G1357" t="s">
        <v>1268</v>
      </c>
      <c r="I1357" t="s">
        <v>1269</v>
      </c>
      <c r="J1357" t="s">
        <v>1270</v>
      </c>
      <c r="K1357" t="str">
        <f>"83816"</f>
        <v>83816</v>
      </c>
      <c r="L1357">
        <v>102</v>
      </c>
      <c r="M1357">
        <v>95</v>
      </c>
      <c r="N1357">
        <v>7</v>
      </c>
    </row>
    <row r="1358" spans="1:14" x14ac:dyDescent="0.25">
      <c r="A1358" t="s">
        <v>2735</v>
      </c>
      <c r="B1358" t="s">
        <v>2736</v>
      </c>
      <c r="C1358" t="s">
        <v>100</v>
      </c>
      <c r="D1358" t="s">
        <v>13</v>
      </c>
      <c r="E1358" t="str">
        <f>"98901"</f>
        <v>98901</v>
      </c>
      <c r="F1358" t="s">
        <v>100</v>
      </c>
      <c r="G1358" t="s">
        <v>1521</v>
      </c>
      <c r="I1358" t="s">
        <v>1522</v>
      </c>
      <c r="J1358" t="s">
        <v>433</v>
      </c>
      <c r="K1358" t="str">
        <f>"95614"</f>
        <v>95614</v>
      </c>
      <c r="L1358">
        <v>162</v>
      </c>
      <c r="M1358">
        <v>150</v>
      </c>
      <c r="N1358">
        <v>12</v>
      </c>
    </row>
    <row r="1359" spans="1:14" x14ac:dyDescent="0.25">
      <c r="A1359" t="s">
        <v>2242</v>
      </c>
      <c r="B1359" t="s">
        <v>2243</v>
      </c>
      <c r="C1359" t="s">
        <v>100</v>
      </c>
      <c r="D1359" t="s">
        <v>13</v>
      </c>
      <c r="E1359" t="str">
        <f>"98908"</f>
        <v>98908</v>
      </c>
      <c r="F1359" t="s">
        <v>100</v>
      </c>
      <c r="G1359" t="s">
        <v>2244</v>
      </c>
      <c r="H1359">
        <v>130</v>
      </c>
      <c r="I1359" t="s">
        <v>1606</v>
      </c>
      <c r="J1359" t="s">
        <v>13</v>
      </c>
      <c r="K1359" t="str">
        <f>"98607"</f>
        <v>98607</v>
      </c>
      <c r="L1359">
        <v>28</v>
      </c>
      <c r="M1359">
        <v>22</v>
      </c>
      <c r="N1359">
        <v>6</v>
      </c>
    </row>
    <row r="1360" spans="1:14" x14ac:dyDescent="0.25">
      <c r="A1360" t="s">
        <v>651</v>
      </c>
      <c r="B1360" t="s">
        <v>652</v>
      </c>
      <c r="C1360" t="s">
        <v>100</v>
      </c>
      <c r="D1360" t="s">
        <v>13</v>
      </c>
      <c r="E1360" t="str">
        <f>"98901"</f>
        <v>98901</v>
      </c>
      <c r="F1360" t="s">
        <v>100</v>
      </c>
      <c r="G1360" t="s">
        <v>653</v>
      </c>
      <c r="I1360" t="s">
        <v>100</v>
      </c>
      <c r="J1360" t="s">
        <v>13</v>
      </c>
      <c r="K1360" t="str">
        <f>"98901"</f>
        <v>98901</v>
      </c>
      <c r="L1360">
        <v>31</v>
      </c>
      <c r="M1360">
        <v>20</v>
      </c>
      <c r="N1360">
        <v>11</v>
      </c>
    </row>
    <row r="1361" spans="1:14" x14ac:dyDescent="0.25">
      <c r="A1361" t="s">
        <v>2800</v>
      </c>
      <c r="B1361" t="s">
        <v>2801</v>
      </c>
      <c r="C1361" t="s">
        <v>100</v>
      </c>
      <c r="D1361" t="s">
        <v>13</v>
      </c>
      <c r="E1361" t="str">
        <f>"98903"</f>
        <v>98903</v>
      </c>
      <c r="F1361" t="s">
        <v>100</v>
      </c>
      <c r="G1361" t="s">
        <v>1521</v>
      </c>
      <c r="I1361" t="s">
        <v>1522</v>
      </c>
      <c r="J1361" t="s">
        <v>433</v>
      </c>
      <c r="K1361" t="str">
        <f>"92614"</f>
        <v>92614</v>
      </c>
      <c r="L1361">
        <v>96</v>
      </c>
      <c r="M1361">
        <v>89</v>
      </c>
      <c r="N1361">
        <v>7</v>
      </c>
    </row>
    <row r="1362" spans="1:14" x14ac:dyDescent="0.25">
      <c r="A1362" t="s">
        <v>2979</v>
      </c>
      <c r="B1362" t="s">
        <v>2980</v>
      </c>
      <c r="C1362" t="s">
        <v>100</v>
      </c>
      <c r="D1362" t="s">
        <v>13</v>
      </c>
      <c r="E1362" t="str">
        <f>"98908"</f>
        <v>98908</v>
      </c>
      <c r="F1362" t="s">
        <v>100</v>
      </c>
      <c r="G1362" t="s">
        <v>2978</v>
      </c>
      <c r="I1362" t="s">
        <v>107</v>
      </c>
      <c r="J1362" t="s">
        <v>13</v>
      </c>
      <c r="K1362" t="str">
        <f>"98105"</f>
        <v>98105</v>
      </c>
      <c r="L1362">
        <v>53</v>
      </c>
      <c r="M1362">
        <v>53</v>
      </c>
      <c r="N1362">
        <v>0</v>
      </c>
    </row>
    <row r="1363" spans="1:14" x14ac:dyDescent="0.25">
      <c r="A1363" t="s">
        <v>1260</v>
      </c>
      <c r="B1363" t="s">
        <v>1261</v>
      </c>
      <c r="C1363" t="s">
        <v>1090</v>
      </c>
      <c r="D1363" t="s">
        <v>13</v>
      </c>
      <c r="E1363" t="str">
        <f>"98944"</f>
        <v>98944</v>
      </c>
      <c r="F1363" t="s">
        <v>100</v>
      </c>
      <c r="G1363" t="s">
        <v>1262</v>
      </c>
      <c r="I1363" t="s">
        <v>1090</v>
      </c>
      <c r="J1363" t="s">
        <v>13</v>
      </c>
      <c r="K1363" t="str">
        <f>"98944"</f>
        <v>98944</v>
      </c>
      <c r="L1363">
        <v>25</v>
      </c>
      <c r="M1363">
        <v>25</v>
      </c>
      <c r="N1363">
        <v>0</v>
      </c>
    </row>
    <row r="1364" spans="1:14" x14ac:dyDescent="0.25">
      <c r="A1364" t="s">
        <v>1574</v>
      </c>
      <c r="B1364" t="s">
        <v>1575</v>
      </c>
      <c r="C1364" t="s">
        <v>1090</v>
      </c>
      <c r="D1364" t="s">
        <v>13</v>
      </c>
      <c r="E1364" t="str">
        <f>"98944"</f>
        <v>98944</v>
      </c>
      <c r="F1364" t="s">
        <v>100</v>
      </c>
      <c r="G1364" t="s">
        <v>1576</v>
      </c>
      <c r="I1364" t="s">
        <v>605</v>
      </c>
      <c r="J1364" t="s">
        <v>13</v>
      </c>
      <c r="K1364" t="str">
        <f>"98006"</f>
        <v>98006</v>
      </c>
      <c r="L1364">
        <v>103</v>
      </c>
      <c r="M1364">
        <v>103</v>
      </c>
      <c r="N1364">
        <v>0</v>
      </c>
    </row>
    <row r="1365" spans="1:14" x14ac:dyDescent="0.25">
      <c r="A1365" t="s">
        <v>1088</v>
      </c>
      <c r="B1365" t="s">
        <v>1089</v>
      </c>
      <c r="C1365" t="s">
        <v>1090</v>
      </c>
      <c r="D1365" t="s">
        <v>13</v>
      </c>
      <c r="E1365" t="str">
        <f>"98944"</f>
        <v>98944</v>
      </c>
      <c r="F1365" t="s">
        <v>100</v>
      </c>
      <c r="G1365" t="s">
        <v>1091</v>
      </c>
      <c r="I1365" t="s">
        <v>1090</v>
      </c>
      <c r="J1365" t="s">
        <v>13</v>
      </c>
      <c r="K1365" t="str">
        <f>"98944"</f>
        <v>98944</v>
      </c>
      <c r="L1365">
        <v>168</v>
      </c>
      <c r="M1365">
        <v>167</v>
      </c>
      <c r="N1365">
        <v>1</v>
      </c>
    </row>
    <row r="1366" spans="1:14" x14ac:dyDescent="0.25">
      <c r="A1366" t="s">
        <v>3221</v>
      </c>
      <c r="B1366" t="s">
        <v>3222</v>
      </c>
      <c r="C1366" t="s">
        <v>1579</v>
      </c>
      <c r="D1366" t="s">
        <v>13</v>
      </c>
      <c r="E1366" t="str">
        <f>"98930"</f>
        <v>98930</v>
      </c>
      <c r="F1366" t="s">
        <v>100</v>
      </c>
      <c r="G1366" t="s">
        <v>3223</v>
      </c>
      <c r="I1366" t="s">
        <v>1090</v>
      </c>
      <c r="J1366" t="s">
        <v>13</v>
      </c>
      <c r="K1366" t="str">
        <f>"98944"</f>
        <v>98944</v>
      </c>
      <c r="L1366">
        <v>21</v>
      </c>
      <c r="M1366">
        <v>20</v>
      </c>
      <c r="N1366">
        <v>1</v>
      </c>
    </row>
    <row r="1367" spans="1:14" x14ac:dyDescent="0.25">
      <c r="A1367" t="s">
        <v>2691</v>
      </c>
      <c r="B1367" t="s">
        <v>2692</v>
      </c>
      <c r="C1367" t="s">
        <v>100</v>
      </c>
      <c r="D1367" t="s">
        <v>13</v>
      </c>
      <c r="E1367" t="str">
        <f>"98903"</f>
        <v>98903</v>
      </c>
      <c r="F1367" t="s">
        <v>100</v>
      </c>
      <c r="G1367" t="s">
        <v>2693</v>
      </c>
      <c r="I1367" t="s">
        <v>100</v>
      </c>
      <c r="J1367" t="s">
        <v>13</v>
      </c>
      <c r="K1367" t="str">
        <f>"98903"</f>
        <v>98903</v>
      </c>
      <c r="L1367">
        <v>48</v>
      </c>
      <c r="M1367">
        <v>48</v>
      </c>
      <c r="N1367">
        <v>0</v>
      </c>
    </row>
    <row r="1368" spans="1:14" x14ac:dyDescent="0.25">
      <c r="A1368" t="s">
        <v>3697</v>
      </c>
      <c r="B1368" t="s">
        <v>3698</v>
      </c>
      <c r="C1368" t="s">
        <v>1130</v>
      </c>
      <c r="D1368" t="s">
        <v>13</v>
      </c>
      <c r="E1368" t="str">
        <f>"98903"</f>
        <v>98903</v>
      </c>
      <c r="F1368" t="s">
        <v>100</v>
      </c>
      <c r="G1368" t="s">
        <v>3365</v>
      </c>
      <c r="I1368" t="s">
        <v>14</v>
      </c>
      <c r="J1368" t="s">
        <v>13</v>
      </c>
      <c r="K1368" t="str">
        <f>"98291"</f>
        <v>98291</v>
      </c>
      <c r="L1368">
        <v>75</v>
      </c>
      <c r="M1368">
        <v>75</v>
      </c>
      <c r="N1368">
        <v>0</v>
      </c>
    </row>
    <row r="1369" spans="1:14" x14ac:dyDescent="0.25">
      <c r="A1369" t="s">
        <v>98</v>
      </c>
      <c r="B1369" t="s">
        <v>99</v>
      </c>
      <c r="C1369" t="s">
        <v>100</v>
      </c>
      <c r="D1369" t="s">
        <v>13</v>
      </c>
      <c r="E1369" t="str">
        <f>"98901"</f>
        <v>98901</v>
      </c>
      <c r="F1369" t="s">
        <v>100</v>
      </c>
      <c r="G1369" t="s">
        <v>101</v>
      </c>
      <c r="I1369" t="s">
        <v>100</v>
      </c>
      <c r="J1369" t="s">
        <v>13</v>
      </c>
      <c r="K1369" t="str">
        <f>"98901"</f>
        <v>98901</v>
      </c>
      <c r="L1369">
        <v>39</v>
      </c>
      <c r="M1369">
        <v>38</v>
      </c>
      <c r="N1369">
        <v>1</v>
      </c>
    </row>
    <row r="1370" spans="1:14" x14ac:dyDescent="0.25">
      <c r="A1370" t="s">
        <v>1991</v>
      </c>
      <c r="B1370" t="s">
        <v>1992</v>
      </c>
      <c r="C1370" t="s">
        <v>1130</v>
      </c>
      <c r="D1370" t="s">
        <v>13</v>
      </c>
      <c r="E1370" t="str">
        <f>"98903"</f>
        <v>98903</v>
      </c>
      <c r="F1370" t="s">
        <v>100</v>
      </c>
      <c r="G1370" t="s">
        <v>1774</v>
      </c>
      <c r="I1370" t="s">
        <v>1775</v>
      </c>
      <c r="J1370" t="s">
        <v>433</v>
      </c>
      <c r="K1370" t="str">
        <f>"90274"</f>
        <v>90274</v>
      </c>
      <c r="L1370">
        <v>122</v>
      </c>
      <c r="M1370">
        <v>121</v>
      </c>
      <c r="N1370">
        <v>1</v>
      </c>
    </row>
    <row r="1371" spans="1:14" x14ac:dyDescent="0.25">
      <c r="A1371" t="s">
        <v>2350</v>
      </c>
      <c r="B1371" t="s">
        <v>2351</v>
      </c>
      <c r="C1371" t="s">
        <v>1090</v>
      </c>
      <c r="D1371" t="s">
        <v>13</v>
      </c>
      <c r="E1371" t="str">
        <f>"98944"</f>
        <v>98944</v>
      </c>
      <c r="F1371" t="s">
        <v>100</v>
      </c>
      <c r="G1371" t="s">
        <v>2206</v>
      </c>
      <c r="I1371" t="s">
        <v>1343</v>
      </c>
      <c r="J1371" t="s">
        <v>433</v>
      </c>
      <c r="K1371" t="str">
        <f>"92626"</f>
        <v>92626</v>
      </c>
      <c r="L1371">
        <v>100</v>
      </c>
      <c r="M1371">
        <v>87</v>
      </c>
      <c r="N1371">
        <v>13</v>
      </c>
    </row>
    <row r="1372" spans="1:14" x14ac:dyDescent="0.25">
      <c r="A1372" t="s">
        <v>3649</v>
      </c>
      <c r="B1372" t="s">
        <v>3650</v>
      </c>
      <c r="C1372" t="s">
        <v>3651</v>
      </c>
      <c r="D1372" t="s">
        <v>13</v>
      </c>
      <c r="E1372" t="str">
        <f>"98937"</f>
        <v>98937</v>
      </c>
      <c r="F1372" t="s">
        <v>100</v>
      </c>
      <c r="G1372" t="s">
        <v>3652</v>
      </c>
      <c r="I1372" t="s">
        <v>107</v>
      </c>
      <c r="J1372" t="s">
        <v>13</v>
      </c>
      <c r="K1372" t="str">
        <f>"98121"</f>
        <v>98121</v>
      </c>
      <c r="L1372">
        <v>14</v>
      </c>
      <c r="M1372">
        <v>14</v>
      </c>
      <c r="N1372">
        <v>0</v>
      </c>
    </row>
    <row r="1373" spans="1:14" x14ac:dyDescent="0.25">
      <c r="A1373" t="s">
        <v>2204</v>
      </c>
      <c r="B1373" t="s">
        <v>2205</v>
      </c>
      <c r="C1373" t="s">
        <v>100</v>
      </c>
      <c r="D1373" t="s">
        <v>13</v>
      </c>
      <c r="E1373" t="str">
        <f>"98902"</f>
        <v>98902</v>
      </c>
      <c r="F1373" t="s">
        <v>100</v>
      </c>
      <c r="G1373" t="s">
        <v>2206</v>
      </c>
      <c r="I1373" t="s">
        <v>1343</v>
      </c>
      <c r="J1373" t="s">
        <v>433</v>
      </c>
      <c r="K1373" t="str">
        <f>"92626"</f>
        <v>92626</v>
      </c>
      <c r="L1373">
        <v>66</v>
      </c>
      <c r="M1373">
        <v>63</v>
      </c>
      <c r="N1373">
        <v>3</v>
      </c>
    </row>
    <row r="1374" spans="1:14" x14ac:dyDescent="0.25">
      <c r="A1374" t="s">
        <v>1818</v>
      </c>
      <c r="B1374" t="s">
        <v>1819</v>
      </c>
      <c r="C1374" t="s">
        <v>100</v>
      </c>
      <c r="D1374" t="s">
        <v>13</v>
      </c>
      <c r="E1374" t="str">
        <f>"98901"</f>
        <v>98901</v>
      </c>
      <c r="F1374" t="s">
        <v>100</v>
      </c>
      <c r="G1374" t="s">
        <v>1268</v>
      </c>
      <c r="I1374" t="s">
        <v>1269</v>
      </c>
      <c r="J1374" t="s">
        <v>1270</v>
      </c>
      <c r="K1374" t="str">
        <f>"83816"</f>
        <v>83816</v>
      </c>
      <c r="L1374">
        <v>41</v>
      </c>
      <c r="M1374">
        <v>28</v>
      </c>
      <c r="N1374">
        <v>13</v>
      </c>
    </row>
    <row r="1375" spans="1:14" x14ac:dyDescent="0.25">
      <c r="A1375" t="s">
        <v>2199</v>
      </c>
      <c r="B1375" t="s">
        <v>2200</v>
      </c>
      <c r="C1375" t="s">
        <v>331</v>
      </c>
      <c r="D1375" t="s">
        <v>13</v>
      </c>
      <c r="E1375" t="str">
        <f>"98948"</f>
        <v>98948</v>
      </c>
      <c r="F1375" t="s">
        <v>100</v>
      </c>
      <c r="G1375" t="s">
        <v>2198</v>
      </c>
      <c r="I1375" t="s">
        <v>107</v>
      </c>
      <c r="J1375" t="s">
        <v>13</v>
      </c>
      <c r="K1375" t="str">
        <f>"98105"</f>
        <v>98105</v>
      </c>
      <c r="L1375">
        <v>43</v>
      </c>
      <c r="M1375">
        <v>37</v>
      </c>
      <c r="N1375">
        <v>6</v>
      </c>
    </row>
    <row r="1376" spans="1:14" x14ac:dyDescent="0.25">
      <c r="A1376" t="s">
        <v>3655</v>
      </c>
      <c r="B1376" t="s">
        <v>3656</v>
      </c>
      <c r="C1376" t="s">
        <v>100</v>
      </c>
      <c r="D1376" t="s">
        <v>13</v>
      </c>
      <c r="E1376" t="str">
        <f>"98901"</f>
        <v>98901</v>
      </c>
      <c r="F1376" t="s">
        <v>100</v>
      </c>
      <c r="G1376" t="s">
        <v>3657</v>
      </c>
      <c r="I1376" t="s">
        <v>100</v>
      </c>
      <c r="J1376" t="s">
        <v>13</v>
      </c>
      <c r="K1376" t="str">
        <f>"98901"</f>
        <v>98901</v>
      </c>
      <c r="L1376">
        <v>18</v>
      </c>
      <c r="M1376">
        <v>18</v>
      </c>
      <c r="N1376">
        <v>0</v>
      </c>
    </row>
    <row r="1377" spans="1:14" x14ac:dyDescent="0.25">
      <c r="A1377" t="s">
        <v>964</v>
      </c>
      <c r="B1377" t="s">
        <v>965</v>
      </c>
      <c r="C1377" t="s">
        <v>100</v>
      </c>
      <c r="D1377" t="s">
        <v>13</v>
      </c>
      <c r="E1377" t="str">
        <f>"98901"</f>
        <v>98901</v>
      </c>
      <c r="F1377" t="s">
        <v>100</v>
      </c>
      <c r="G1377" t="s">
        <v>966</v>
      </c>
      <c r="I1377" t="s">
        <v>100</v>
      </c>
      <c r="J1377" t="s">
        <v>13</v>
      </c>
      <c r="K1377" t="str">
        <f>"98907"</f>
        <v>98907</v>
      </c>
      <c r="L1377">
        <v>171</v>
      </c>
      <c r="M1377">
        <v>168</v>
      </c>
      <c r="N1377">
        <v>3</v>
      </c>
    </row>
    <row r="1378" spans="1:14" x14ac:dyDescent="0.25">
      <c r="A1378" t="s">
        <v>3363</v>
      </c>
      <c r="B1378" t="s">
        <v>3364</v>
      </c>
      <c r="C1378" t="s">
        <v>100</v>
      </c>
      <c r="D1378" t="s">
        <v>13</v>
      </c>
      <c r="E1378" t="str">
        <f>"98901"</f>
        <v>98901</v>
      </c>
      <c r="F1378" t="s">
        <v>100</v>
      </c>
      <c r="G1378" t="s">
        <v>3365</v>
      </c>
      <c r="I1378" t="s">
        <v>14</v>
      </c>
      <c r="J1378" t="s">
        <v>13</v>
      </c>
      <c r="K1378" t="str">
        <f>"98291"</f>
        <v>98291</v>
      </c>
      <c r="L1378">
        <v>15</v>
      </c>
      <c r="M1378">
        <v>15</v>
      </c>
      <c r="N1378">
        <v>0</v>
      </c>
    </row>
    <row r="1379" spans="1:14" x14ac:dyDescent="0.25">
      <c r="L1379" s="1">
        <f>SUM(L2:L1378)</f>
        <v>69279</v>
      </c>
      <c r="M1379" s="1">
        <f>SUM(M2:M1378)</f>
        <v>62277</v>
      </c>
      <c r="N1379" s="1">
        <f>SUM(N2:N1378)</f>
        <v>7090</v>
      </c>
    </row>
  </sheetData>
  <sortState ref="A2:AI1378">
    <sortCondition ref="F2:F1378"/>
    <sortCondition ref="A2:A137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MHParks_Licensees_Public_053120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Henderson, Brigid (COM)</dc:creator>
  <cp:lastModifiedBy>Flynn, Brigid (COM)</cp:lastModifiedBy>
  <dcterms:created xsi:type="dcterms:W3CDTF">2016-06-30T17:52:09Z</dcterms:created>
  <dcterms:modified xsi:type="dcterms:W3CDTF">2016-06-30T18:41:17Z</dcterms:modified>
</cp:coreProperties>
</file>